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5a4ef57e48dc3e/Documents/PRODUCTIVITY/FINANCE/MY FINANCIAL MODELS/ANAND RATHI/"/>
    </mc:Choice>
  </mc:AlternateContent>
  <xr:revisionPtr revIDLastSave="34" documentId="13_ncr:1_{0D6B9280-2A1B-402D-A81A-585BB552BCEE}" xr6:coauthVersionLast="47" xr6:coauthVersionMax="47" xr10:uidLastSave="{9E1C6206-398F-4E9F-A662-B61227A05661}"/>
  <bookViews>
    <workbookView xWindow="-110" yWindow="-110" windowWidth="19420" windowHeight="10300" firstSheet="8" activeTab="10" xr2:uid="{A6579E86-E133-4D8C-94CD-3BCBC03C7F16}"/>
  </bookViews>
  <sheets>
    <sheet name="Income Statement" sheetId="2" r:id="rId1"/>
    <sheet name="Cash Flow Statement" sheetId="3" r:id="rId2"/>
    <sheet name="Balance Sheet" sheetId="1" r:id="rId3"/>
    <sheet name="Asset Schedule" sheetId="5" r:id="rId4"/>
    <sheet name="Revenue Breakup" sheetId="4" r:id="rId5"/>
    <sheet name="Working Capital" sheetId="6" r:id="rId6"/>
    <sheet name="Cost Schedule" sheetId="7" r:id="rId7"/>
    <sheet name="Debt Schedule" sheetId="8" r:id="rId8"/>
    <sheet name="Other Schedule" sheetId="9" r:id="rId9"/>
    <sheet name="Ratio Analysis" sheetId="10" r:id="rId10"/>
    <sheet name="Stock Performanc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3" i="11" l="1"/>
  <c r="K322" i="11"/>
  <c r="J47" i="3"/>
  <c r="I47" i="3"/>
  <c r="H47" i="3"/>
  <c r="J41" i="3"/>
  <c r="I41" i="3"/>
  <c r="H41" i="3"/>
  <c r="J11" i="9"/>
  <c r="I11" i="9"/>
  <c r="H11" i="9"/>
  <c r="J49" i="5"/>
  <c r="I49" i="5"/>
  <c r="H49" i="5"/>
  <c r="G49" i="5"/>
  <c r="F49" i="5"/>
  <c r="E49" i="5"/>
  <c r="J13" i="9"/>
  <c r="I13" i="9"/>
  <c r="H13" i="9"/>
  <c r="H8" i="9"/>
  <c r="J18" i="1"/>
  <c r="I18" i="1"/>
  <c r="H18" i="1"/>
  <c r="J46" i="3" l="1"/>
  <c r="I46" i="3"/>
  <c r="H46" i="3"/>
  <c r="J45" i="3"/>
  <c r="D8" i="9"/>
  <c r="J16" i="3"/>
  <c r="I16" i="3"/>
  <c r="H16" i="3"/>
  <c r="J9" i="2"/>
  <c r="I9" i="2"/>
  <c r="H9" i="2"/>
  <c r="J9" i="9"/>
  <c r="J12" i="3" s="1"/>
  <c r="I9" i="9"/>
  <c r="I12" i="3" s="1"/>
  <c r="G9" i="9"/>
  <c r="F9" i="9"/>
  <c r="E9" i="9"/>
  <c r="D9" i="9"/>
  <c r="J25" i="9"/>
  <c r="I25" i="9"/>
  <c r="H25" i="9"/>
  <c r="J24" i="9"/>
  <c r="I24" i="9"/>
  <c r="H24" i="9"/>
  <c r="I23" i="9" s="1"/>
  <c r="H28" i="9"/>
  <c r="G29" i="9"/>
  <c r="J17" i="1"/>
  <c r="I17" i="1"/>
  <c r="H17" i="1"/>
  <c r="H51" i="9"/>
  <c r="G50" i="9" s="1"/>
  <c r="G54" i="9" s="1"/>
  <c r="H50" i="9"/>
  <c r="F54" i="9"/>
  <c r="E54" i="9"/>
  <c r="J49" i="9"/>
  <c r="I49" i="9"/>
  <c r="H49" i="9"/>
  <c r="F53" i="9"/>
  <c r="E53" i="9"/>
  <c r="F50" i="9"/>
  <c r="E50" i="9"/>
  <c r="F49" i="9"/>
  <c r="E49" i="9"/>
  <c r="H48" i="9"/>
  <c r="G48" i="9"/>
  <c r="F48" i="9"/>
  <c r="E48" i="9"/>
  <c r="G51" i="9"/>
  <c r="F51" i="9"/>
  <c r="E51" i="9"/>
  <c r="D51" i="9"/>
  <c r="J23" i="9"/>
  <c r="H23" i="9"/>
  <c r="I12" i="9"/>
  <c r="J12" i="9" s="1"/>
  <c r="H12" i="9"/>
  <c r="J8" i="9"/>
  <c r="I8" i="9"/>
  <c r="I45" i="3" s="1"/>
  <c r="G49" i="9" l="1"/>
  <c r="G53" i="9" s="1"/>
  <c r="I48" i="9"/>
  <c r="I50" i="9" l="1"/>
  <c r="I51" i="9"/>
  <c r="J48" i="9" s="1"/>
  <c r="J50" i="9" l="1"/>
  <c r="J51" i="9" s="1"/>
  <c r="J10" i="9" l="1"/>
  <c r="I10" i="9"/>
  <c r="H10" i="9"/>
  <c r="J18" i="3"/>
  <c r="I18" i="3"/>
  <c r="H18" i="3"/>
  <c r="G11" i="9"/>
  <c r="F11" i="9"/>
  <c r="E11" i="9"/>
  <c r="D11" i="9"/>
  <c r="J47" i="5"/>
  <c r="I47" i="5"/>
  <c r="H47" i="5"/>
  <c r="E48" i="5"/>
  <c r="G47" i="5"/>
  <c r="F47" i="5"/>
  <c r="E47" i="5"/>
  <c r="D47" i="5"/>
  <c r="J36" i="9"/>
  <c r="I36" i="9"/>
  <c r="H36" i="9"/>
  <c r="G36" i="9"/>
  <c r="F36" i="9"/>
  <c r="E36" i="9"/>
  <c r="G35" i="9"/>
  <c r="F35" i="9"/>
  <c r="E35" i="9"/>
  <c r="D35" i="9"/>
  <c r="H42" i="9"/>
  <c r="H41" i="9"/>
  <c r="I39" i="9"/>
  <c r="I41" i="9" s="1"/>
  <c r="H39" i="9"/>
  <c r="J40" i="9"/>
  <c r="I40" i="9"/>
  <c r="H40" i="9"/>
  <c r="G24" i="9"/>
  <c r="F24" i="9"/>
  <c r="G23" i="8"/>
  <c r="F23" i="8"/>
  <c r="E23" i="8"/>
  <c r="E26" i="8" s="1"/>
  <c r="D23" i="8"/>
  <c r="G26" i="8"/>
  <c r="F26" i="8"/>
  <c r="H19" i="8"/>
  <c r="H25" i="8" s="1"/>
  <c r="G19" i="8"/>
  <c r="G25" i="8" s="1"/>
  <c r="E19" i="8"/>
  <c r="E22" i="8" s="1"/>
  <c r="J48" i="1"/>
  <c r="I48" i="1"/>
  <c r="H48" i="1"/>
  <c r="G13" i="8"/>
  <c r="F13" i="8"/>
  <c r="E13" i="8"/>
  <c r="D13" i="8"/>
  <c r="I42" i="9" l="1"/>
  <c r="J39" i="9" s="1"/>
  <c r="F19" i="8"/>
  <c r="G22" i="8"/>
  <c r="H23" i="8"/>
  <c r="E25" i="8"/>
  <c r="J41" i="9" l="1"/>
  <c r="J42" i="9" s="1"/>
  <c r="H22" i="8"/>
  <c r="H26" i="8"/>
  <c r="H55" i="1"/>
  <c r="I19" i="8"/>
  <c r="F22" i="8"/>
  <c r="F25" i="8"/>
  <c r="I25" i="8" l="1"/>
  <c r="I23" i="8"/>
  <c r="I55" i="1" l="1"/>
  <c r="I26" i="8"/>
  <c r="J19" i="8"/>
  <c r="I22" i="8"/>
  <c r="J23" i="8" l="1"/>
  <c r="J25" i="8"/>
  <c r="J26" i="8" l="1"/>
  <c r="J22" i="8"/>
  <c r="J55" i="1"/>
  <c r="G30" i="2" l="1"/>
  <c r="J10" i="8"/>
  <c r="J56" i="3" s="1"/>
  <c r="I10" i="8"/>
  <c r="I56" i="3" s="1"/>
  <c r="H10" i="8"/>
  <c r="G10" i="8"/>
  <c r="F10" i="8"/>
  <c r="E10" i="8"/>
  <c r="J29" i="3"/>
  <c r="I29" i="3"/>
  <c r="H29" i="3"/>
  <c r="J27" i="3"/>
  <c r="I27" i="3"/>
  <c r="H27" i="3"/>
  <c r="H8" i="6"/>
  <c r="I8" i="6" s="1"/>
  <c r="G8" i="6"/>
  <c r="I9" i="6"/>
  <c r="H9" i="6"/>
  <c r="J9" i="6"/>
  <c r="D17" i="6"/>
  <c r="D16" i="6"/>
  <c r="D15" i="6"/>
  <c r="J17" i="6"/>
  <c r="I17" i="6"/>
  <c r="H17" i="6"/>
  <c r="G17" i="6"/>
  <c r="F17" i="6"/>
  <c r="E17" i="6"/>
  <c r="H56" i="3" l="1"/>
  <c r="H19" i="6"/>
  <c r="H24" i="4"/>
  <c r="J43" i="3"/>
  <c r="I43" i="3"/>
  <c r="H43" i="3"/>
  <c r="J59" i="1"/>
  <c r="I59" i="1"/>
  <c r="H59" i="1"/>
  <c r="J58" i="1"/>
  <c r="I58" i="1"/>
  <c r="H58" i="1"/>
  <c r="J13" i="6"/>
  <c r="I13" i="6"/>
  <c r="J10" i="6"/>
  <c r="I10" i="6"/>
  <c r="H10" i="6"/>
  <c r="F11" i="6"/>
  <c r="E11" i="6"/>
  <c r="J24" i="6"/>
  <c r="I24" i="6"/>
  <c r="J21" i="6"/>
  <c r="I21" i="6"/>
  <c r="H21" i="6"/>
  <c r="G22" i="6"/>
  <c r="F22" i="6"/>
  <c r="H22" i="4"/>
  <c r="I22" i="4" s="1"/>
  <c r="J22" i="4" s="1"/>
  <c r="H21" i="4"/>
  <c r="I21" i="4" s="1"/>
  <c r="J21" i="4" s="1"/>
  <c r="H20" i="4"/>
  <c r="I20" i="4" s="1"/>
  <c r="J20" i="4" s="1"/>
  <c r="H19" i="4"/>
  <c r="I19" i="4" s="1"/>
  <c r="J19" i="4" s="1"/>
  <c r="H12" i="4" l="1"/>
  <c r="J24" i="4"/>
  <c r="H11" i="4"/>
  <c r="I24" i="4"/>
  <c r="I10" i="4" s="1"/>
  <c r="G69" i="1"/>
  <c r="F69" i="1"/>
  <c r="E69" i="1"/>
  <c r="D69" i="1"/>
  <c r="J40" i="3"/>
  <c r="I40" i="3"/>
  <c r="H40" i="3"/>
  <c r="F66" i="1"/>
  <c r="J15" i="1"/>
  <c r="I15" i="1"/>
  <c r="H15" i="1"/>
  <c r="H12" i="1"/>
  <c r="I12" i="1"/>
  <c r="J12" i="1"/>
  <c r="H13" i="1"/>
  <c r="I13" i="1"/>
  <c r="J13" i="1"/>
  <c r="J11" i="1"/>
  <c r="I11" i="1"/>
  <c r="H11" i="1"/>
  <c r="J11" i="3"/>
  <c r="I11" i="3"/>
  <c r="H11" i="3"/>
  <c r="J15" i="2"/>
  <c r="I15" i="2"/>
  <c r="H15" i="2"/>
  <c r="J18" i="5"/>
  <c r="I18" i="5"/>
  <c r="H18" i="5"/>
  <c r="J17" i="5"/>
  <c r="I17" i="5"/>
  <c r="H17" i="5"/>
  <c r="J19" i="5"/>
  <c r="I19" i="5"/>
  <c r="H19" i="5"/>
  <c r="H31" i="5"/>
  <c r="J24" i="5"/>
  <c r="I24" i="5"/>
  <c r="H24" i="5"/>
  <c r="J31" i="5"/>
  <c r="I31" i="5"/>
  <c r="J37" i="5"/>
  <c r="I37" i="5"/>
  <c r="J36" i="5"/>
  <c r="I36" i="5"/>
  <c r="J35" i="5"/>
  <c r="I35" i="5"/>
  <c r="J34" i="5"/>
  <c r="I34" i="5"/>
  <c r="J44" i="5"/>
  <c r="I44" i="5"/>
  <c r="H35" i="5"/>
  <c r="H36" i="5"/>
  <c r="H34" i="5"/>
  <c r="H11" i="5"/>
  <c r="F12" i="5"/>
  <c r="J10" i="5"/>
  <c r="I10" i="5"/>
  <c r="H10" i="5"/>
  <c r="H44" i="5"/>
  <c r="H37" i="5" s="1"/>
  <c r="H23" i="4" l="1"/>
  <c r="H13" i="4"/>
  <c r="H8" i="2"/>
  <c r="H10" i="4"/>
  <c r="J8" i="2"/>
  <c r="J20" i="6" s="1"/>
  <c r="J11" i="4"/>
  <c r="J12" i="4"/>
  <c r="J23" i="4"/>
  <c r="J13" i="4"/>
  <c r="J10" i="4"/>
  <c r="I13" i="4"/>
  <c r="I8" i="2"/>
  <c r="I20" i="6" s="1"/>
  <c r="I11" i="4"/>
  <c r="I12" i="4"/>
  <c r="I23" i="4"/>
  <c r="H8" i="5"/>
  <c r="H13" i="5" s="1"/>
  <c r="H12" i="5" s="1"/>
  <c r="G33" i="3"/>
  <c r="J40" i="2"/>
  <c r="I40" i="2"/>
  <c r="H40" i="2"/>
  <c r="J29" i="2"/>
  <c r="I29" i="2"/>
  <c r="H29" i="2"/>
  <c r="J63" i="1"/>
  <c r="J64" i="1" s="1"/>
  <c r="I63" i="1"/>
  <c r="I64" i="1" s="1"/>
  <c r="H63" i="1"/>
  <c r="J51" i="1"/>
  <c r="I51" i="1"/>
  <c r="H51" i="1"/>
  <c r="F34" i="3"/>
  <c r="E34" i="3"/>
  <c r="G51" i="1"/>
  <c r="F51" i="1"/>
  <c r="E51" i="1"/>
  <c r="D51" i="1"/>
  <c r="E33" i="1"/>
  <c r="E22" i="1"/>
  <c r="G33" i="1"/>
  <c r="F33" i="1"/>
  <c r="D33" i="1"/>
  <c r="J22" i="1"/>
  <c r="I22" i="1"/>
  <c r="H22" i="1"/>
  <c r="J52" i="3"/>
  <c r="I52" i="3"/>
  <c r="E24" i="9"/>
  <c r="D24" i="9"/>
  <c r="C1" i="10"/>
  <c r="D1" i="10" s="1"/>
  <c r="E1" i="10" s="1"/>
  <c r="E32" i="10"/>
  <c r="D32" i="10"/>
  <c r="C32" i="10"/>
  <c r="B32" i="10"/>
  <c r="E23" i="10"/>
  <c r="D23" i="10"/>
  <c r="C23" i="10"/>
  <c r="B23" i="10"/>
  <c r="H64" i="1" l="1"/>
  <c r="H20" i="6"/>
  <c r="H10" i="2"/>
  <c r="H14" i="4"/>
  <c r="I10" i="2"/>
  <c r="J14" i="4"/>
  <c r="I14" i="4"/>
  <c r="J10" i="2"/>
  <c r="H38" i="5"/>
  <c r="I8" i="5"/>
  <c r="H26" i="5"/>
  <c r="C33" i="10"/>
  <c r="B33" i="10"/>
  <c r="E33" i="10"/>
  <c r="D33" i="10"/>
  <c r="E58" i="10"/>
  <c r="D58" i="10"/>
  <c r="C58" i="10"/>
  <c r="B58" i="10"/>
  <c r="E55" i="10"/>
  <c r="D55" i="10"/>
  <c r="C55" i="10"/>
  <c r="B55" i="10"/>
  <c r="J8" i="7" l="1"/>
  <c r="J13" i="2" s="1"/>
  <c r="J12" i="7"/>
  <c r="J16" i="2" s="1"/>
  <c r="I8" i="7"/>
  <c r="I13" i="2" s="1"/>
  <c r="I12" i="7"/>
  <c r="I16" i="2" s="1"/>
  <c r="H8" i="7"/>
  <c r="H13" i="2" s="1"/>
  <c r="H12" i="7"/>
  <c r="H16" i="2" s="1"/>
  <c r="H13" i="6"/>
  <c r="H24" i="6"/>
  <c r="I26" i="5"/>
  <c r="I11" i="5"/>
  <c r="I13" i="5" s="1"/>
  <c r="I12" i="5" s="1"/>
  <c r="D30" i="10"/>
  <c r="E30" i="10"/>
  <c r="C30" i="10"/>
  <c r="D42" i="9"/>
  <c r="E39" i="9" s="1"/>
  <c r="G42" i="9"/>
  <c r="F42" i="9"/>
  <c r="G39" i="9" s="1"/>
  <c r="E42" i="9"/>
  <c r="F29" i="9"/>
  <c r="G28" i="9" s="1"/>
  <c r="E29" i="9"/>
  <c r="F28" i="9" s="1"/>
  <c r="D29" i="9"/>
  <c r="E28" i="9" s="1"/>
  <c r="F23" i="9"/>
  <c r="G23" i="9"/>
  <c r="E23" i="9"/>
  <c r="E13" i="9"/>
  <c r="F13" i="9"/>
  <c r="G13" i="9"/>
  <c r="D13" i="9"/>
  <c r="G10" i="9"/>
  <c r="F10" i="9"/>
  <c r="E10" i="9"/>
  <c r="D10" i="9"/>
  <c r="E8" i="9"/>
  <c r="F8" i="9"/>
  <c r="G29" i="8"/>
  <c r="F29" i="8"/>
  <c r="E29" i="8"/>
  <c r="F11" i="8"/>
  <c r="G11" i="8"/>
  <c r="E11" i="8"/>
  <c r="H9" i="8"/>
  <c r="G9" i="8"/>
  <c r="F9" i="8"/>
  <c r="E9" i="8"/>
  <c r="G12" i="7"/>
  <c r="F12" i="7"/>
  <c r="E12" i="7"/>
  <c r="D12" i="7"/>
  <c r="G8" i="7"/>
  <c r="F8" i="7"/>
  <c r="E8" i="7"/>
  <c r="D8" i="7"/>
  <c r="D19" i="6"/>
  <c r="G19" i="6"/>
  <c r="F19" i="6"/>
  <c r="E19" i="6"/>
  <c r="E20" i="6" s="1"/>
  <c r="F15" i="6"/>
  <c r="G15" i="6"/>
  <c r="F16" i="6"/>
  <c r="G16" i="6"/>
  <c r="E16" i="6"/>
  <c r="E15" i="6"/>
  <c r="E8" i="6"/>
  <c r="F8" i="6"/>
  <c r="D8" i="6"/>
  <c r="F34" i="5"/>
  <c r="G34" i="5"/>
  <c r="F35" i="5"/>
  <c r="G35" i="5"/>
  <c r="F36" i="5"/>
  <c r="G36" i="5"/>
  <c r="F37" i="5"/>
  <c r="G37" i="5"/>
  <c r="E35" i="5"/>
  <c r="E36" i="5"/>
  <c r="E37" i="5"/>
  <c r="E34" i="5"/>
  <c r="G30" i="5"/>
  <c r="G31" i="5" s="1"/>
  <c r="F30" i="5"/>
  <c r="F31" i="5" s="1"/>
  <c r="E30" i="5"/>
  <c r="E31" i="5" s="1"/>
  <c r="E24" i="5"/>
  <c r="G18" i="5"/>
  <c r="F18" i="5"/>
  <c r="E18" i="5"/>
  <c r="G9" i="5"/>
  <c r="G15" i="5" s="1"/>
  <c r="F9" i="5"/>
  <c r="F15" i="5" s="1"/>
  <c r="E9" i="5"/>
  <c r="E15" i="5" s="1"/>
  <c r="G17" i="5"/>
  <c r="F17" i="5"/>
  <c r="E17" i="5"/>
  <c r="G10" i="5"/>
  <c r="G27" i="5" s="1"/>
  <c r="F10" i="5"/>
  <c r="E10" i="5"/>
  <c r="G13" i="5"/>
  <c r="G38" i="5" s="1"/>
  <c r="F13" i="5"/>
  <c r="F38" i="5" s="1"/>
  <c r="E13" i="5"/>
  <c r="E38" i="5" s="1"/>
  <c r="D13" i="5"/>
  <c r="E8" i="5" s="1"/>
  <c r="G11" i="5"/>
  <c r="F11" i="5"/>
  <c r="E11" i="5"/>
  <c r="H11" i="8" l="1"/>
  <c r="H55" i="3" s="1"/>
  <c r="H28" i="1"/>
  <c r="I19" i="6"/>
  <c r="I38" i="5"/>
  <c r="J8" i="5"/>
  <c r="E43" i="5"/>
  <c r="E12" i="9"/>
  <c r="D12" i="9"/>
  <c r="E15" i="9" s="1"/>
  <c r="F12" i="9"/>
  <c r="F15" i="9" s="1"/>
  <c r="G12" i="9"/>
  <c r="E41" i="5"/>
  <c r="G16" i="8"/>
  <c r="E16" i="8"/>
  <c r="F16" i="8"/>
  <c r="G44" i="5"/>
  <c r="G42" i="5"/>
  <c r="E9" i="6"/>
  <c r="E10" i="6" s="1"/>
  <c r="G20" i="6"/>
  <c r="G24" i="6" s="1"/>
  <c r="E25" i="9"/>
  <c r="E41" i="9"/>
  <c r="G43" i="5"/>
  <c r="G41" i="5"/>
  <c r="F9" i="6"/>
  <c r="F10" i="6" s="1"/>
  <c r="G30" i="9"/>
  <c r="E44" i="5"/>
  <c r="F44" i="5"/>
  <c r="F42" i="5"/>
  <c r="G12" i="8"/>
  <c r="F30" i="9"/>
  <c r="E42" i="5"/>
  <c r="F43" i="5"/>
  <c r="F41" i="5"/>
  <c r="F20" i="6"/>
  <c r="F21" i="6" s="1"/>
  <c r="F25" i="9"/>
  <c r="E24" i="6"/>
  <c r="E21" i="6"/>
  <c r="E22" i="6" s="1"/>
  <c r="F24" i="6"/>
  <c r="G25" i="9"/>
  <c r="E30" i="9"/>
  <c r="E40" i="9"/>
  <c r="E44" i="9" s="1"/>
  <c r="G41" i="9"/>
  <c r="G40" i="9"/>
  <c r="G44" i="9" s="1"/>
  <c r="F39" i="9"/>
  <c r="F40" i="9" s="1"/>
  <c r="F44" i="9" s="1"/>
  <c r="E12" i="8"/>
  <c r="F12" i="8"/>
  <c r="D38" i="5"/>
  <c r="E19" i="5"/>
  <c r="E26" i="5"/>
  <c r="G19" i="5"/>
  <c r="G23" i="5" s="1"/>
  <c r="F19" i="5"/>
  <c r="F23" i="5" s="1"/>
  <c r="E27" i="5"/>
  <c r="F27" i="5"/>
  <c r="E14" i="5"/>
  <c r="E12" i="5"/>
  <c r="F8" i="5"/>
  <c r="F26" i="5" s="1"/>
  <c r="G8" i="5"/>
  <c r="G14" i="5" s="1"/>
  <c r="G32" i="9" l="1"/>
  <c r="E27" i="8"/>
  <c r="E30" i="8" s="1"/>
  <c r="F27" i="8"/>
  <c r="F30" i="8" s="1"/>
  <c r="H13" i="8"/>
  <c r="J19" i="6"/>
  <c r="I28" i="1"/>
  <c r="J26" i="5"/>
  <c r="J11" i="5"/>
  <c r="J13" i="5" s="1"/>
  <c r="J12" i="5" s="1"/>
  <c r="E13" i="6"/>
  <c r="G27" i="8"/>
  <c r="G30" i="8" s="1"/>
  <c r="E45" i="5"/>
  <c r="F32" i="9"/>
  <c r="F19" i="9" s="1"/>
  <c r="G15" i="9"/>
  <c r="F13" i="6"/>
  <c r="G45" i="5"/>
  <c r="G21" i="6"/>
  <c r="E32" i="9"/>
  <c r="E19" i="9" s="1"/>
  <c r="F45" i="5"/>
  <c r="F41" i="9"/>
  <c r="F22" i="5"/>
  <c r="F24" i="5" s="1"/>
  <c r="G24" i="5"/>
  <c r="G12" i="5"/>
  <c r="G26" i="5"/>
  <c r="F14" i="5"/>
  <c r="H27" i="8" l="1"/>
  <c r="H29" i="8" s="1"/>
  <c r="I9" i="8"/>
  <c r="H12" i="8"/>
  <c r="J28" i="1"/>
  <c r="J38" i="5"/>
  <c r="E29" i="2"/>
  <c r="D29" i="2"/>
  <c r="G29" i="2"/>
  <c r="F29" i="2"/>
  <c r="G63" i="1"/>
  <c r="F63" i="1"/>
  <c r="E63" i="1"/>
  <c r="E64" i="1" s="1"/>
  <c r="E66" i="1" s="1"/>
  <c r="D63" i="1"/>
  <c r="G64" i="1"/>
  <c r="G66" i="1" s="1"/>
  <c r="F64" i="1"/>
  <c r="G43" i="1"/>
  <c r="F43" i="1"/>
  <c r="E43" i="1"/>
  <c r="D43" i="1"/>
  <c r="G22" i="1"/>
  <c r="F22" i="1"/>
  <c r="D22" i="1"/>
  <c r="D24" i="2"/>
  <c r="E65" i="3"/>
  <c r="G61" i="3"/>
  <c r="F61" i="3"/>
  <c r="E61" i="3"/>
  <c r="D61" i="3"/>
  <c r="G52" i="3"/>
  <c r="F52" i="3"/>
  <c r="E52" i="3"/>
  <c r="D52" i="3"/>
  <c r="F33" i="3"/>
  <c r="E33" i="3"/>
  <c r="D33" i="3"/>
  <c r="F23" i="3"/>
  <c r="E23" i="3"/>
  <c r="D23" i="3"/>
  <c r="G40" i="2"/>
  <c r="F40" i="2"/>
  <c r="E40" i="2"/>
  <c r="D40" i="2"/>
  <c r="G24" i="2"/>
  <c r="F24" i="2"/>
  <c r="E24" i="2"/>
  <c r="G17" i="2"/>
  <c r="F17" i="2"/>
  <c r="E17" i="2"/>
  <c r="D17" i="2"/>
  <c r="G10" i="2"/>
  <c r="F10" i="2"/>
  <c r="E10" i="2"/>
  <c r="D10" i="2"/>
  <c r="I11" i="8" l="1"/>
  <c r="H57" i="3"/>
  <c r="H61" i="3" s="1"/>
  <c r="H14" i="2"/>
  <c r="H13" i="3"/>
  <c r="C17" i="10"/>
  <c r="C38" i="10"/>
  <c r="C39" i="10" s="1"/>
  <c r="C35" i="10"/>
  <c r="C36" i="10" s="1"/>
  <c r="C56" i="10"/>
  <c r="C59" i="10"/>
  <c r="F16" i="7"/>
  <c r="D61" i="10"/>
  <c r="D17" i="10"/>
  <c r="D38" i="10"/>
  <c r="D39" i="10" s="1"/>
  <c r="D35" i="10"/>
  <c r="D36" i="10" s="1"/>
  <c r="D59" i="10"/>
  <c r="D56" i="10"/>
  <c r="G16" i="7"/>
  <c r="E61" i="10"/>
  <c r="E17" i="10"/>
  <c r="E38" i="10"/>
  <c r="E39" i="10" s="1"/>
  <c r="E35" i="10"/>
  <c r="E36" i="10" s="1"/>
  <c r="E56" i="10"/>
  <c r="E59" i="10"/>
  <c r="B17" i="10"/>
  <c r="B38" i="10"/>
  <c r="B39" i="10" s="1"/>
  <c r="B35" i="10"/>
  <c r="B36" i="10" s="1"/>
  <c r="B56" i="10"/>
  <c r="B59" i="10"/>
  <c r="E16" i="7"/>
  <c r="C61" i="10"/>
  <c r="D16" i="7"/>
  <c r="B61" i="10"/>
  <c r="B62" i="10" s="1"/>
  <c r="B25" i="10"/>
  <c r="C5" i="10"/>
  <c r="C15" i="10"/>
  <c r="C19" i="10"/>
  <c r="D25" i="10"/>
  <c r="D5" i="10"/>
  <c r="D15" i="10"/>
  <c r="D19" i="10"/>
  <c r="B5" i="10"/>
  <c r="D64" i="1"/>
  <c r="D66" i="1" s="1"/>
  <c r="C25" i="10"/>
  <c r="E25" i="10"/>
  <c r="E5" i="10"/>
  <c r="E19" i="10"/>
  <c r="E15" i="10"/>
  <c r="B9" i="10"/>
  <c r="B7" i="10"/>
  <c r="C9" i="10"/>
  <c r="C7" i="10"/>
  <c r="D9" i="10"/>
  <c r="D7" i="10"/>
  <c r="E9" i="10"/>
  <c r="E7" i="10"/>
  <c r="E24" i="4"/>
  <c r="E10" i="7"/>
  <c r="E14" i="7"/>
  <c r="G18" i="2"/>
  <c r="G24" i="4"/>
  <c r="G14" i="7"/>
  <c r="G10" i="7"/>
  <c r="F24" i="4"/>
  <c r="F14" i="7"/>
  <c r="F10" i="7"/>
  <c r="D24" i="4"/>
  <c r="D14" i="7"/>
  <c r="D10" i="7"/>
  <c r="G35" i="1"/>
  <c r="D18" i="2"/>
  <c r="E18" i="2"/>
  <c r="F18" i="2"/>
  <c r="F35" i="1"/>
  <c r="D35" i="1"/>
  <c r="E35" i="1"/>
  <c r="I13" i="8" l="1"/>
  <c r="I55" i="3"/>
  <c r="B19" i="10"/>
  <c r="G68" i="1"/>
  <c r="E68" i="1"/>
  <c r="F68" i="1"/>
  <c r="D68" i="1"/>
  <c r="E13" i="10"/>
  <c r="G17" i="7"/>
  <c r="E41" i="10"/>
  <c r="E42" i="10" s="1"/>
  <c r="C41" i="10"/>
  <c r="C42" i="10" s="1"/>
  <c r="E30" i="2"/>
  <c r="F25" i="2"/>
  <c r="D41" i="10"/>
  <c r="D42" i="10" s="1"/>
  <c r="E62" i="10"/>
  <c r="B41" i="10"/>
  <c r="B42" i="10" s="1"/>
  <c r="F17" i="7"/>
  <c r="C62" i="10"/>
  <c r="D62" i="10"/>
  <c r="D13" i="10"/>
  <c r="B13" i="10"/>
  <c r="C13" i="10"/>
  <c r="B15" i="10"/>
  <c r="E9" i="3"/>
  <c r="E24" i="3" s="1"/>
  <c r="E37" i="3" s="1"/>
  <c r="E25" i="2"/>
  <c r="D9" i="3"/>
  <c r="D24" i="3" s="1"/>
  <c r="D34" i="3" s="1"/>
  <c r="D37" i="3" s="1"/>
  <c r="D63" i="3" s="1"/>
  <c r="D65" i="3" s="1"/>
  <c r="D25" i="2"/>
  <c r="D30" i="2"/>
  <c r="F11" i="4"/>
  <c r="F12" i="4"/>
  <c r="F23" i="4"/>
  <c r="F13" i="4"/>
  <c r="F10" i="4"/>
  <c r="G12" i="4"/>
  <c r="G23" i="4"/>
  <c r="G10" i="4"/>
  <c r="G13" i="4"/>
  <c r="G11" i="4"/>
  <c r="E17" i="7"/>
  <c r="D17" i="7"/>
  <c r="D11" i="4"/>
  <c r="D23" i="4"/>
  <c r="D10" i="4"/>
  <c r="D12" i="4"/>
  <c r="D13" i="4"/>
  <c r="F30" i="2"/>
  <c r="G9" i="3"/>
  <c r="G25" i="2"/>
  <c r="E10" i="4"/>
  <c r="E11" i="4"/>
  <c r="E12" i="4"/>
  <c r="E23" i="4"/>
  <c r="E13" i="4"/>
  <c r="F9" i="3"/>
  <c r="F24" i="3" s="1"/>
  <c r="F37" i="3" s="1"/>
  <c r="J9" i="8" l="1"/>
  <c r="I27" i="8"/>
  <c r="I29" i="8" s="1"/>
  <c r="I12" i="8"/>
  <c r="D41" i="2"/>
  <c r="C53" i="10"/>
  <c r="B44" i="10"/>
  <c r="B45" i="10" s="1"/>
  <c r="G41" i="2"/>
  <c r="E44" i="10"/>
  <c r="E45" i="10" s="1"/>
  <c r="D14" i="4"/>
  <c r="E41" i="2"/>
  <c r="D53" i="10"/>
  <c r="C50" i="10"/>
  <c r="C44" i="10"/>
  <c r="C45" i="10" s="1"/>
  <c r="F41" i="2"/>
  <c r="E53" i="10"/>
  <c r="D44" i="10"/>
  <c r="D45" i="10" s="1"/>
  <c r="G14" i="4"/>
  <c r="E14" i="4"/>
  <c r="F14" i="4"/>
  <c r="F63" i="3"/>
  <c r="F65" i="3" s="1"/>
  <c r="J11" i="8" l="1"/>
  <c r="I13" i="3"/>
  <c r="I23" i="3" s="1"/>
  <c r="I57" i="3"/>
  <c r="I61" i="3" s="1"/>
  <c r="I14" i="2"/>
  <c r="I17" i="2" s="1"/>
  <c r="I18" i="2" s="1"/>
  <c r="J8" i="6"/>
  <c r="J33" i="3" s="1"/>
  <c r="I33" i="3"/>
  <c r="H33" i="3"/>
  <c r="G9" i="6"/>
  <c r="G13" i="6" s="1"/>
  <c r="I16" i="7" l="1"/>
  <c r="I9" i="3"/>
  <c r="I24" i="3" s="1"/>
  <c r="I34" i="3" s="1"/>
  <c r="J13" i="8"/>
  <c r="J55" i="3"/>
  <c r="G10" i="6"/>
  <c r="I36" i="3" l="1"/>
  <c r="I37" i="3" s="1"/>
  <c r="I63" i="3" s="1"/>
  <c r="I24" i="2"/>
  <c r="J12" i="8"/>
  <c r="J27" i="8"/>
  <c r="J29" i="8" s="1"/>
  <c r="H17" i="2"/>
  <c r="H18" i="2" s="1"/>
  <c r="I30" i="2" l="1"/>
  <c r="I41" i="2" s="1"/>
  <c r="I25" i="2"/>
  <c r="J57" i="3"/>
  <c r="J61" i="3" s="1"/>
  <c r="J14" i="2"/>
  <c r="J17" i="2" s="1"/>
  <c r="J18" i="2" s="1"/>
  <c r="J13" i="3"/>
  <c r="J23" i="3" s="1"/>
  <c r="H9" i="3"/>
  <c r="H16" i="7"/>
  <c r="J16" i="7" l="1"/>
  <c r="J9" i="3"/>
  <c r="J24" i="3" s="1"/>
  <c r="J34" i="3" s="1"/>
  <c r="H24" i="2"/>
  <c r="H36" i="3"/>
  <c r="H30" i="2" l="1"/>
  <c r="H41" i="2" s="1"/>
  <c r="H41" i="1" s="1"/>
  <c r="H43" i="1" s="1"/>
  <c r="H66" i="1" s="1"/>
  <c r="H25" i="2"/>
  <c r="J24" i="2"/>
  <c r="J36" i="3"/>
  <c r="J37" i="3" s="1"/>
  <c r="J63" i="3" s="1"/>
  <c r="J30" i="2" l="1"/>
  <c r="J41" i="2" s="1"/>
  <c r="J25" i="2"/>
  <c r="I41" i="1"/>
  <c r="I43" i="1"/>
  <c r="I66" i="1" s="1"/>
  <c r="J41" i="1" l="1"/>
  <c r="J43" i="1" s="1"/>
  <c r="J66" i="1" s="1"/>
  <c r="G23" i="3" l="1"/>
  <c r="G24" i="3" s="1"/>
  <c r="G34" i="3" s="1"/>
  <c r="G37" i="3" s="1"/>
  <c r="G63" i="3" s="1"/>
  <c r="G65" i="3" s="1"/>
  <c r="H64" i="3" s="1"/>
  <c r="G8" i="9"/>
  <c r="G19" i="9" s="1"/>
  <c r="H9" i="9" l="1"/>
  <c r="H12" i="3" s="1"/>
  <c r="H23" i="3" s="1"/>
  <c r="H24" i="3" s="1"/>
  <c r="H34" i="3" s="1"/>
  <c r="H37" i="3" s="1"/>
  <c r="H45" i="3"/>
  <c r="H52" i="3" s="1"/>
  <c r="H63" i="3" l="1"/>
  <c r="H65" i="3" s="1"/>
  <c r="H29" i="1" s="1"/>
  <c r="H33" i="1" s="1"/>
  <c r="H35" i="1" s="1"/>
  <c r="I64" i="3" l="1"/>
  <c r="I65" i="3" s="1"/>
  <c r="I29" i="9" s="1"/>
  <c r="J28" i="9" s="1"/>
  <c r="H29" i="9"/>
  <c r="I28" i="9" s="1"/>
  <c r="I29" i="1"/>
  <c r="I33" i="1" s="1"/>
  <c r="I35" i="1" s="1"/>
  <c r="J64" i="3"/>
  <c r="J65" i="3" s="1"/>
  <c r="H30" i="9"/>
  <c r="H32" i="9" s="1"/>
  <c r="H17" i="9" s="1"/>
  <c r="H68" i="1"/>
  <c r="H69" i="1"/>
  <c r="I30" i="9" l="1"/>
  <c r="I32" i="9" s="1"/>
  <c r="I17" i="9" s="1"/>
  <c r="J29" i="9"/>
  <c r="J30" i="9" s="1"/>
  <c r="J32" i="9" s="1"/>
  <c r="J17" i="9" s="1"/>
  <c r="J29" i="1"/>
  <c r="J33" i="1" s="1"/>
  <c r="J35" i="1" s="1"/>
  <c r="I68" i="1"/>
  <c r="I69" i="1"/>
  <c r="J68" i="1" l="1"/>
  <c r="J69" i="1"/>
</calcChain>
</file>

<file path=xl/sharedStrings.xml><?xml version="1.0" encoding="utf-8"?>
<sst xmlns="http://schemas.openxmlformats.org/spreadsheetml/2006/main" count="435" uniqueCount="264">
  <si>
    <t>Financial Year Ended 31st March</t>
  </si>
  <si>
    <t>Consolidated Financials</t>
  </si>
  <si>
    <t xml:space="preserve">          Actual</t>
  </si>
  <si>
    <t>Particulars</t>
  </si>
  <si>
    <t>ANAND RATHI WEALTH LIMITED</t>
  </si>
  <si>
    <t xml:space="preserve">Balance Sheet </t>
  </si>
  <si>
    <t>All figures are in Rs. Lakhs</t>
  </si>
  <si>
    <t xml:space="preserve">        Actual</t>
  </si>
  <si>
    <t>1) Non- Current Assets</t>
  </si>
  <si>
    <t>Total Non-Current Assets</t>
  </si>
  <si>
    <t>Financial Assets</t>
  </si>
  <si>
    <t xml:space="preserve">  - Investments</t>
  </si>
  <si>
    <t xml:space="preserve">  - Trade Receivables</t>
  </si>
  <si>
    <t xml:space="preserve">  - Cash and Cash Equivalents</t>
  </si>
  <si>
    <t xml:space="preserve">  - Bank balances other than above</t>
  </si>
  <si>
    <t xml:space="preserve">  - Other Financial Assets</t>
  </si>
  <si>
    <t>Other Current Assets</t>
  </si>
  <si>
    <t>Total Current Assets</t>
  </si>
  <si>
    <t>Property, plant and equipment</t>
  </si>
  <si>
    <t>Right-of-use assets</t>
  </si>
  <si>
    <t>Capital work-in-progress</t>
  </si>
  <si>
    <t>Goodwill</t>
  </si>
  <si>
    <t>Other Intangible assets</t>
  </si>
  <si>
    <t>Financial assets</t>
  </si>
  <si>
    <t xml:space="preserve">  - Other financial assets</t>
  </si>
  <si>
    <t>Deferred tax assets(net)</t>
  </si>
  <si>
    <t>Other non-current assets</t>
  </si>
  <si>
    <t>2) Current Assets</t>
  </si>
  <si>
    <t>Total Assets</t>
  </si>
  <si>
    <t>ASSETS</t>
  </si>
  <si>
    <t>EQUITY AND LIABILITIES</t>
  </si>
  <si>
    <t>Equity</t>
  </si>
  <si>
    <t>Other Equity</t>
  </si>
  <si>
    <t>Non Controlling Interest</t>
  </si>
  <si>
    <t>Total Equity</t>
  </si>
  <si>
    <t>Liabilities</t>
  </si>
  <si>
    <t>Non-Current Liabilities</t>
  </si>
  <si>
    <t>Financial Liabilities</t>
  </si>
  <si>
    <t xml:space="preserve">  - Borrowings</t>
  </si>
  <si>
    <t xml:space="preserve">  - Other Financial Liabilities</t>
  </si>
  <si>
    <t>Provisions</t>
  </si>
  <si>
    <t>Total Non-Current Liabilities</t>
  </si>
  <si>
    <t>Current Liabilities</t>
  </si>
  <si>
    <t xml:space="preserve">  - Trade Payables</t>
  </si>
  <si>
    <t xml:space="preserve">      (i) Total Outstanding dues of micro enterprises and small enterprises</t>
  </si>
  <si>
    <t xml:space="preserve">      (ii) Total Outstanding dues of creditors other than micro enterprises and 
            small enterprises </t>
  </si>
  <si>
    <t>Other Current Liabilities</t>
  </si>
  <si>
    <t>Total Current Liabilities</t>
  </si>
  <si>
    <t>Total Equity and Liabilities</t>
  </si>
  <si>
    <t>Revenue from Operations</t>
  </si>
  <si>
    <t>Other Income</t>
  </si>
  <si>
    <t>Total Revenue</t>
  </si>
  <si>
    <t>Expenses</t>
  </si>
  <si>
    <t>Finance Costs</t>
  </si>
  <si>
    <t>Depreciation and Amortisation Expenses</t>
  </si>
  <si>
    <t>Other Expenses</t>
  </si>
  <si>
    <t>Total Expenses</t>
  </si>
  <si>
    <t>Profit Before Tax</t>
  </si>
  <si>
    <t>Tax Expenses:</t>
  </si>
  <si>
    <t>1. Current Tax</t>
  </si>
  <si>
    <t>2. Prior Year Taxes</t>
  </si>
  <si>
    <t>3. Deferred Tax</t>
  </si>
  <si>
    <t>Total Tax Expenses</t>
  </si>
  <si>
    <t>Profit for the Year</t>
  </si>
  <si>
    <t>Other Comprehensive Income/ (Loss)</t>
  </si>
  <si>
    <t xml:space="preserve">  (A)   (i) Items that will not be subsequently reclassified to profit or loss
               - Remeasurement  of the net defined benefit liability</t>
  </si>
  <si>
    <t xml:space="preserve">          (ii) Less: Income tax relating to items that will not be reclassified to profit or loss</t>
  </si>
  <si>
    <t xml:space="preserve">  (B)   (i) Items that will be reclassified to profit or loss</t>
  </si>
  <si>
    <t xml:space="preserve">          (ii) Income tax relating to items that will be reclassified to profit or loss</t>
  </si>
  <si>
    <t>Total Other Comprehensive Income/ (Loss)</t>
  </si>
  <si>
    <t>Total Comprehensive Income for the year</t>
  </si>
  <si>
    <t xml:space="preserve">Cash Flow Statement </t>
  </si>
  <si>
    <t xml:space="preserve">Income Statement </t>
  </si>
  <si>
    <t>Cash Flow from Operating Activities</t>
  </si>
  <si>
    <t xml:space="preserve">    Adjustments for:</t>
  </si>
  <si>
    <t xml:space="preserve">    Depreciation</t>
  </si>
  <si>
    <t xml:space="preserve">    Interest Income</t>
  </si>
  <si>
    <t xml:space="preserve">    Finance Costs</t>
  </si>
  <si>
    <t xml:space="preserve">    Gain on Sale of Investments</t>
  </si>
  <si>
    <t xml:space="preserve">    Net Fair Value (Gain)/ Loss on Financial Instruments</t>
  </si>
  <si>
    <t xml:space="preserve">    Dividend</t>
  </si>
  <si>
    <t xml:space="preserve">    Stock Compensation Expenses</t>
  </si>
  <si>
    <t xml:space="preserve">    (Gain)/ Loss on Sale of Fixed Assets/ Written off</t>
  </si>
  <si>
    <t xml:space="preserve">    (Gain)/ Loss on Investment in PMS</t>
  </si>
  <si>
    <t xml:space="preserve">    Gratuity</t>
  </si>
  <si>
    <t xml:space="preserve">    Leave</t>
  </si>
  <si>
    <t xml:space="preserve">    Bad Debts Written Off</t>
  </si>
  <si>
    <t>Operating Profit Before Working Capital Changes</t>
  </si>
  <si>
    <t xml:space="preserve">    Adjustment for:</t>
  </si>
  <si>
    <t xml:space="preserve">   Decrease/ (Increase) in Other Financial Assets</t>
  </si>
  <si>
    <t xml:space="preserve">   Decrease/ (Increase) in Trade Receivables</t>
  </si>
  <si>
    <t xml:space="preserve">   Decrease/ (Increase) in Current Assets</t>
  </si>
  <si>
    <t xml:space="preserve">   (Decrease)/ Increase in Trade Payables</t>
  </si>
  <si>
    <t xml:space="preserve">   (Decrease)/ Increase in Other Financial Liabilities</t>
  </si>
  <si>
    <t xml:space="preserve">   (Decrease)/ Increase in Provisions</t>
  </si>
  <si>
    <t xml:space="preserve">   (Decrease)/ Increase Other Current Liabilities</t>
  </si>
  <si>
    <t>Add/ (Less):</t>
  </si>
  <si>
    <t>Direct Taxes Paid (Net)</t>
  </si>
  <si>
    <t>Cash generated from Operations</t>
  </si>
  <si>
    <t>Net Cash from Operating Activities</t>
  </si>
  <si>
    <t>Cash Flow from Investing Activities</t>
  </si>
  <si>
    <t>Dilution of NCI</t>
  </si>
  <si>
    <t xml:space="preserve">Acquisition of Intangible Assets </t>
  </si>
  <si>
    <t>Intangible Assets Under Development</t>
  </si>
  <si>
    <t>Interest Income</t>
  </si>
  <si>
    <t>Dividend Received</t>
  </si>
  <si>
    <t>Proceeds from Sale of/ (Payments to acquire) Investment</t>
  </si>
  <si>
    <t>Advanced Paid for Purchase of Property</t>
  </si>
  <si>
    <t>Security Deposit (Given)/ Received</t>
  </si>
  <si>
    <t>(Loans Given)/ Loan Repayment Received</t>
  </si>
  <si>
    <t>Bank Deposits Placed</t>
  </si>
  <si>
    <t>Net Cash (Used in)/ From Investing Activities</t>
  </si>
  <si>
    <t>Cash Flow From Financing Activities</t>
  </si>
  <si>
    <t>Net Increase/ (Decrease) in Cash and Cash Equivalents</t>
  </si>
  <si>
    <t>Cash and Cash Equivalents At The Beginning of The Year</t>
  </si>
  <si>
    <t>Cash and Cash Equivalents At The End of The Year</t>
  </si>
  <si>
    <t>Interest Paid</t>
  </si>
  <si>
    <t>Issues of Shares</t>
  </si>
  <si>
    <t>Dividend Paid</t>
  </si>
  <si>
    <t>Repayment of Lease Liabilities</t>
  </si>
  <si>
    <t>Net Cash (Used in)/ from Financing Activities</t>
  </si>
  <si>
    <t xml:space="preserve">  - Lease Liability</t>
  </si>
  <si>
    <t>Total Assets directly associated with disposal group classified as held for sale</t>
  </si>
  <si>
    <t>Total Liabilities directly associated with disposal group classified as held for sale</t>
  </si>
  <si>
    <t>Profit from discontinued operations</t>
  </si>
  <si>
    <t>Discontinued Operations:</t>
  </si>
  <si>
    <t>Tax expense of discontinued operations</t>
  </si>
  <si>
    <t>Net Profit from discontinued operations</t>
  </si>
  <si>
    <t>Profit for the Year after tax from continuing operations for the year</t>
  </si>
  <si>
    <t>Revenue Schedule</t>
  </si>
  <si>
    <t>Revenue Breakup (in %)</t>
  </si>
  <si>
    <t>IT Services</t>
  </si>
  <si>
    <t>Others</t>
  </si>
  <si>
    <t>Total</t>
  </si>
  <si>
    <t>Revenue Breakup</t>
  </si>
  <si>
    <t>Revenue Change(in %)</t>
  </si>
  <si>
    <t>Adjustments</t>
  </si>
  <si>
    <t>Asset Schedule</t>
  </si>
  <si>
    <t>Forecasted</t>
  </si>
  <si>
    <t>Fixed Assets (excluding goodwill summary)</t>
  </si>
  <si>
    <t>Opening Balance</t>
  </si>
  <si>
    <t>Additions</t>
  </si>
  <si>
    <t>Disposal</t>
  </si>
  <si>
    <t>Depreciation</t>
  </si>
  <si>
    <t>Adjustment</t>
  </si>
  <si>
    <t>Closing Balance</t>
  </si>
  <si>
    <t>Depreciation during the year/ average assets (in %)</t>
  </si>
  <si>
    <t>Capex</t>
  </si>
  <si>
    <t>Composition of capex proceeds from additions</t>
  </si>
  <si>
    <t>Plant, Property &amp; Equipment</t>
  </si>
  <si>
    <t>Intangible Assets</t>
  </si>
  <si>
    <t>Composition of Capex (in %)</t>
  </si>
  <si>
    <t>Disposal as a % of opening balance of assets</t>
  </si>
  <si>
    <t>Composition of capex proceeds from Disposal</t>
  </si>
  <si>
    <t>Composition of Fixed Assets</t>
  </si>
  <si>
    <t>Composition of Fixed Assets (in %)</t>
  </si>
  <si>
    <t>Proceeds from sale of Property, Plant and Equipment</t>
  </si>
  <si>
    <t>Proceeds from purchase of Property, Plant and Equipment</t>
  </si>
  <si>
    <t>Working Capital</t>
  </si>
  <si>
    <t>Trade Payable</t>
  </si>
  <si>
    <t>Average Trade Payable</t>
  </si>
  <si>
    <t>Trade Payable Ratio</t>
  </si>
  <si>
    <t>Average Trade Payable Period</t>
  </si>
  <si>
    <t>Composition of Trade Payable</t>
  </si>
  <si>
    <t>(i) Total outstanding dues of micro enterprises and small enterprises</t>
  </si>
  <si>
    <t>(ii) Total outstanding dues of creditors other than micro enterprises and small enterprises</t>
  </si>
  <si>
    <t>Trade Receivable</t>
  </si>
  <si>
    <t>Average Trade Receivable</t>
  </si>
  <si>
    <t>Trade Receivable Ratio</t>
  </si>
  <si>
    <t>Average Trade Receivable Period</t>
  </si>
  <si>
    <t>Average Trade Payable Period [(Avg.TP/Sales)*365]</t>
  </si>
  <si>
    <t>Mutual Fund (Equity &amp; Debt)</t>
  </si>
  <si>
    <t>Distribution of Financial Products</t>
  </si>
  <si>
    <t>Average Trade Receivable Period [(Avg.TR/Sales)*365]</t>
  </si>
  <si>
    <t>Cost Schedule</t>
  </si>
  <si>
    <t>Employee Benefit Expense</t>
  </si>
  <si>
    <t>Employee Benefit Expense % of Revenue</t>
  </si>
  <si>
    <t>Other Expenses % of Revenue</t>
  </si>
  <si>
    <t>Effective tax rate (Total tax/PBT)</t>
  </si>
  <si>
    <t>Tax Expense</t>
  </si>
  <si>
    <t>Debt Schedule</t>
  </si>
  <si>
    <t>Repayments</t>
  </si>
  <si>
    <t>Repayment as a % of opening balance</t>
  </si>
  <si>
    <t>Average Debt</t>
  </si>
  <si>
    <t>Finance Cost</t>
  </si>
  <si>
    <t>Finance Cost as a % of Average Debt</t>
  </si>
  <si>
    <t>Borrowings Taken</t>
  </si>
  <si>
    <t>Borrowings Repaid</t>
  </si>
  <si>
    <t>Other Schedule</t>
  </si>
  <si>
    <t>Dividend Income</t>
  </si>
  <si>
    <t>Net gain on sale / disposal of property, plant and equipment</t>
  </si>
  <si>
    <t>Other</t>
  </si>
  <si>
    <t>Other (YOY% Change)</t>
  </si>
  <si>
    <t>Interest Income as % of Average Interest Earning Asset and Cash &amp; Cash Equivalent</t>
  </si>
  <si>
    <t>Value paste of Interest Income</t>
  </si>
  <si>
    <t>Interest Earning Assets</t>
  </si>
  <si>
    <t>Average Interest Earning Assets (A)</t>
  </si>
  <si>
    <t>Cash &amp; Cash Equivalents</t>
  </si>
  <si>
    <t>Average Cash &amp; Cash Equivalent (B)</t>
  </si>
  <si>
    <t>Total (A+B)</t>
  </si>
  <si>
    <t>Dividend Income as a % of Average Non Current Investments</t>
  </si>
  <si>
    <t>Non Current Investment (Asset)</t>
  </si>
  <si>
    <t>Disposals</t>
  </si>
  <si>
    <t>Disposal as a % Opening Balance</t>
  </si>
  <si>
    <t>Gross Profit</t>
  </si>
  <si>
    <t>Sales</t>
  </si>
  <si>
    <t>Sales Growth in %</t>
  </si>
  <si>
    <t>Gross Profit Margin % Sales</t>
  </si>
  <si>
    <t>EBITDA</t>
  </si>
  <si>
    <t>EBITDA % Sales</t>
  </si>
  <si>
    <t>Depreciation % Sales</t>
  </si>
  <si>
    <t>EBIT</t>
  </si>
  <si>
    <t>EBIT % Sales</t>
  </si>
  <si>
    <t>Interest</t>
  </si>
  <si>
    <t>Interest % Sales</t>
  </si>
  <si>
    <t>PBT</t>
  </si>
  <si>
    <t>PBT % Sales</t>
  </si>
  <si>
    <t>Tax</t>
  </si>
  <si>
    <t>Effective Tax Rate</t>
  </si>
  <si>
    <t>Net Income</t>
  </si>
  <si>
    <t>Net Margin % Sales</t>
  </si>
  <si>
    <t>Equity Shares</t>
  </si>
  <si>
    <t>Retained Earnings</t>
  </si>
  <si>
    <t>Earning Per Equity Share of Face Value of Rs.5 each</t>
  </si>
  <si>
    <t xml:space="preserve">  - Basic</t>
  </si>
  <si>
    <t xml:space="preserve">  - Diluted</t>
  </si>
  <si>
    <t xml:space="preserve">  - Loans</t>
  </si>
  <si>
    <t>Retention Ratio(NI-Dividend)/NI</t>
  </si>
  <si>
    <t>Dividend</t>
  </si>
  <si>
    <t>Payout Ratio</t>
  </si>
  <si>
    <t>Date</t>
  </si>
  <si>
    <t>Open</t>
  </si>
  <si>
    <t>High</t>
  </si>
  <si>
    <t>Low</t>
  </si>
  <si>
    <t>Close</t>
  </si>
  <si>
    <t>No. of Trades</t>
  </si>
  <si>
    <t>Total Turnover(In lac)</t>
  </si>
  <si>
    <t>Deliverable Quantity</t>
  </si>
  <si>
    <t>H-L</t>
  </si>
  <si>
    <t>C-O</t>
  </si>
  <si>
    <t>Liquidity Ratios</t>
  </si>
  <si>
    <t>Current Ratio</t>
  </si>
  <si>
    <t>Acid-Test Ratio</t>
  </si>
  <si>
    <t>Cash Ratio</t>
  </si>
  <si>
    <t>Leverage Ratios</t>
  </si>
  <si>
    <t>Debt Ratio</t>
  </si>
  <si>
    <t>Debt to Equity Ratio</t>
  </si>
  <si>
    <t>Total Liabilities</t>
  </si>
  <si>
    <t>Interest Coverage Ratio</t>
  </si>
  <si>
    <t>Debt Service Coverage Ratio</t>
  </si>
  <si>
    <t>Efficiency Ratio</t>
  </si>
  <si>
    <t>Asset Turnover Ratio (Net Sales/ Avg. Total Assets)</t>
  </si>
  <si>
    <t>Employee Benefits Expense</t>
  </si>
  <si>
    <t>Profitability Ratio</t>
  </si>
  <si>
    <t>Equity Share Capital</t>
  </si>
  <si>
    <t>Long Term</t>
  </si>
  <si>
    <t>Short Term</t>
  </si>
  <si>
    <t>Net gain on sale/ disposal of property, plant and equipment</t>
  </si>
  <si>
    <t>Net gain as a % of disposal</t>
  </si>
  <si>
    <t>Cash proceeds from disposal of PPE</t>
  </si>
  <si>
    <t>Non Current Loan (Asset)</t>
  </si>
  <si>
    <t>Disposal as a % of opening balance</t>
  </si>
  <si>
    <t>Column1</t>
  </si>
  <si>
    <t>Accounts Receivable Turnover Ratio
(Credit Sales/ Accounts Receivable)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</si>
</sst>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2" fontId="0" fillId="0" borderId="0" xfId="0" applyNumberFormat="1"/>
    <xf numFmtId="2" fontId="2" fillId="0" borderId="0" xfId="0" applyNumberFormat="1" applyFont="1"/>
    <xf numFmtId="0" fontId="2" fillId="2" borderId="0" xfId="0" applyFont="1" applyFill="1" applyAlignment="1">
      <alignment horizontal="right"/>
    </xf>
    <xf numFmtId="2" fontId="2" fillId="2" borderId="0" xfId="0" applyNumberFormat="1" applyFont="1" applyFill="1"/>
    <xf numFmtId="10" fontId="0" fillId="0" borderId="0" xfId="1" applyNumberFormat="1" applyFont="1"/>
    <xf numFmtId="10" fontId="0" fillId="0" borderId="0" xfId="0" applyNumberFormat="1"/>
    <xf numFmtId="9" fontId="0" fillId="0" borderId="0" xfId="1" applyFont="1"/>
    <xf numFmtId="0" fontId="3" fillId="0" borderId="0" xfId="0" applyFont="1"/>
    <xf numFmtId="10" fontId="3" fillId="0" borderId="0" xfId="1" applyNumberFormat="1" applyFont="1"/>
    <xf numFmtId="10" fontId="3" fillId="0" borderId="0" xfId="0" applyNumberFormat="1" applyFont="1"/>
    <xf numFmtId="0" fontId="2" fillId="3" borderId="0" xfId="0" applyFont="1" applyFill="1"/>
    <xf numFmtId="9" fontId="0" fillId="0" borderId="0" xfId="0" applyNumberFormat="1"/>
    <xf numFmtId="1" fontId="0" fillId="0" borderId="0" xfId="0" applyNumberFormat="1"/>
    <xf numFmtId="10" fontId="2" fillId="0" borderId="0" xfId="1" applyNumberFormat="1" applyFont="1"/>
    <xf numFmtId="10" fontId="2" fillId="2" borderId="0" xfId="0" applyNumberFormat="1" applyFont="1" applyFill="1"/>
    <xf numFmtId="0" fontId="4" fillId="2" borderId="0" xfId="0" applyFont="1" applyFill="1"/>
    <xf numFmtId="0" fontId="5" fillId="0" borderId="0" xfId="0" applyFont="1"/>
    <xf numFmtId="0" fontId="0" fillId="3" borderId="0" xfId="0" applyFill="1"/>
    <xf numFmtId="0" fontId="6" fillId="4" borderId="1" xfId="0" applyFont="1" applyFill="1" applyBorder="1" applyAlignment="1">
      <alignment vertical="top" wrapText="1"/>
    </xf>
    <xf numFmtId="0" fontId="0" fillId="0" borderId="0" xfId="1" applyNumberFormat="1" applyFont="1"/>
    <xf numFmtId="10" fontId="2" fillId="0" borderId="0" xfId="0" applyNumberFormat="1" applyFont="1"/>
    <xf numFmtId="0" fontId="4" fillId="3" borderId="0" xfId="0" applyFont="1" applyFill="1"/>
    <xf numFmtId="0" fontId="2" fillId="0" borderId="0" xfId="1" applyNumberFormat="1" applyFont="1"/>
    <xf numFmtId="15" fontId="6" fillId="4" borderId="2" xfId="0" applyNumberFormat="1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vertical="top" wrapText="1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15" fontId="6" fillId="4" borderId="7" xfId="0" applyNumberFormat="1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vertical="top" wrapText="1"/>
    </xf>
    <xf numFmtId="0" fontId="6" fillId="4" borderId="9" xfId="0" applyFont="1" applyFill="1" applyBorder="1" applyAlignment="1">
      <alignment vertical="top" wrapText="1"/>
    </xf>
    <xf numFmtId="0" fontId="6" fillId="4" borderId="5" xfId="0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0" formatCode="dd/mmm/yy"/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Analysis'!$B$1:$B$3</c:f>
              <c:strCache>
                <c:ptCount val="3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'Ratio Analysis'!$A$4:$A$9</c:f>
              <c:strCache>
                <c:ptCount val="6"/>
                <c:pt idx="1">
                  <c:v>Current Ratio</c:v>
                </c:pt>
                <c:pt idx="3">
                  <c:v>Acid-Test Ratio</c:v>
                </c:pt>
                <c:pt idx="5">
                  <c:v>Cash Ratio</c:v>
                </c:pt>
              </c:strCache>
            </c:strRef>
          </c:cat>
          <c:val>
            <c:numRef>
              <c:f>'Ratio Analysis'!$B$4:$B$9</c:f>
              <c:numCache>
                <c:formatCode>0.00</c:formatCode>
                <c:ptCount val="6"/>
                <c:pt idx="1">
                  <c:v>0.93217077154170436</c:v>
                </c:pt>
                <c:pt idx="3">
                  <c:v>0.24241571591918917</c:v>
                </c:pt>
                <c:pt idx="5">
                  <c:v>0.17472748399720231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F-456A-A897-7A75729DD59A}"/>
            </c:ext>
          </c:extLst>
        </c:ser>
        <c:ser>
          <c:idx val="1"/>
          <c:order val="1"/>
          <c:tx>
            <c:strRef>
              <c:f>'Ratio Analysis'!$C$1:$C$3</c:f>
              <c:strCache>
                <c:ptCount val="3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'Ratio Analysis'!$A$4:$A$9</c:f>
              <c:strCache>
                <c:ptCount val="6"/>
                <c:pt idx="1">
                  <c:v>Current Ratio</c:v>
                </c:pt>
                <c:pt idx="3">
                  <c:v>Acid-Test Ratio</c:v>
                </c:pt>
                <c:pt idx="5">
                  <c:v>Cash Ratio</c:v>
                </c:pt>
              </c:strCache>
            </c:strRef>
          </c:cat>
          <c:val>
            <c:numRef>
              <c:f>'Ratio Analysis'!$C$4:$C$9</c:f>
              <c:numCache>
                <c:formatCode>0.00</c:formatCode>
                <c:ptCount val="6"/>
                <c:pt idx="1">
                  <c:v>1.7419412706808357</c:v>
                </c:pt>
                <c:pt idx="3">
                  <c:v>1.458468184894899</c:v>
                </c:pt>
                <c:pt idx="5">
                  <c:v>1.2079901168446401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F-456A-A897-7A75729DD59A}"/>
            </c:ext>
          </c:extLst>
        </c:ser>
        <c:ser>
          <c:idx val="2"/>
          <c:order val="2"/>
          <c:tx>
            <c:strRef>
              <c:f>'Ratio Analysis'!$D$1:$D$3</c:f>
              <c:strCache>
                <c:ptCount val="3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'Ratio Analysis'!$A$4:$A$9</c:f>
              <c:strCache>
                <c:ptCount val="6"/>
                <c:pt idx="1">
                  <c:v>Current Ratio</c:v>
                </c:pt>
                <c:pt idx="3">
                  <c:v>Acid-Test Ratio</c:v>
                </c:pt>
                <c:pt idx="5">
                  <c:v>Cash Ratio</c:v>
                </c:pt>
              </c:strCache>
            </c:strRef>
          </c:cat>
          <c:val>
            <c:numRef>
              <c:f>'Ratio Analysis'!$D$4:$D$9</c:f>
              <c:numCache>
                <c:formatCode>0.00</c:formatCode>
                <c:ptCount val="6"/>
                <c:pt idx="1">
                  <c:v>2.0623466832323092</c:v>
                </c:pt>
                <c:pt idx="3">
                  <c:v>1.0456846807782161</c:v>
                </c:pt>
                <c:pt idx="5">
                  <c:v>0.89295580889234671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F-456A-A897-7A75729DD59A}"/>
            </c:ext>
          </c:extLst>
        </c:ser>
        <c:ser>
          <c:idx val="3"/>
          <c:order val="3"/>
          <c:tx>
            <c:strRef>
              <c:f>'Ratio Analysis'!$E$1:$E$3</c:f>
              <c:strCache>
                <c:ptCount val="3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'Ratio Analysis'!$A$4:$A$9</c:f>
              <c:strCache>
                <c:ptCount val="6"/>
                <c:pt idx="1">
                  <c:v>Current Ratio</c:v>
                </c:pt>
                <c:pt idx="3">
                  <c:v>Acid-Test Ratio</c:v>
                </c:pt>
                <c:pt idx="5">
                  <c:v>Cash Ratio</c:v>
                </c:pt>
              </c:strCache>
            </c:strRef>
          </c:cat>
          <c:val>
            <c:numRef>
              <c:f>'Ratio Analysis'!$E$4:$E$9</c:f>
              <c:numCache>
                <c:formatCode>0.00</c:formatCode>
                <c:ptCount val="6"/>
                <c:pt idx="1">
                  <c:v>2.9160940270064528</c:v>
                </c:pt>
                <c:pt idx="3">
                  <c:v>0.65815753934396359</c:v>
                </c:pt>
                <c:pt idx="5">
                  <c:v>0.51231111406300822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F-456A-A897-7A75729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657967"/>
        <c:axId val="1881646447"/>
      </c:barChart>
      <c:catAx>
        <c:axId val="188165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46447"/>
        <c:crosses val="autoZero"/>
        <c:auto val="1"/>
        <c:lblAlgn val="ctr"/>
        <c:lblOffset val="100"/>
        <c:noMultiLvlLbl val="0"/>
      </c:catAx>
      <c:valAx>
        <c:axId val="188164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Analysis'!$A$32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'Ratio Analysis'!$B$31:$E$31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'Ratio Analysis'!$B$32:$E$32</c:f>
              <c:numCache>
                <c:formatCode>0.00</c:formatCode>
                <c:ptCount val="4"/>
                <c:pt idx="0">
                  <c:v>16462.489999999998</c:v>
                </c:pt>
                <c:pt idx="1">
                  <c:v>11457.54</c:v>
                </c:pt>
                <c:pt idx="2">
                  <c:v>22544.15</c:v>
                </c:pt>
                <c:pt idx="3">
                  <c:v>30680.720000000005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0-40F1-A805-CBA5A72C96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914847"/>
        <c:axId val="1700930687"/>
      </c:barChart>
      <c:lineChart>
        <c:grouping val="standard"/>
        <c:varyColors val="0"/>
        <c:ser>
          <c:idx val="1"/>
          <c:order val="1"/>
          <c:tx>
            <c:strRef>
              <c:f>'Ratio Analysis'!$A$33</c:f>
              <c:strCache>
                <c:ptCount val="1"/>
                <c:pt idx="0">
                  <c:v>Gross Profit Margin %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'Ratio Analysis'!$B$31:$E$31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'Ratio Analysis'!$B$33:$E$33</c:f>
              <c:numCache>
                <c:formatCode>0.00%</c:formatCode>
                <c:ptCount val="4"/>
                <c:pt idx="0">
                  <c:v>0.49611709967883832</c:v>
                </c:pt>
                <c:pt idx="1">
                  <c:v>0.43182193357559751</c:v>
                </c:pt>
                <c:pt idx="2">
                  <c:v>0.53999891253604027</c:v>
                </c:pt>
                <c:pt idx="3">
                  <c:v>0.55922261860235545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0-40F1-A805-CBA5A72C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931647"/>
        <c:axId val="1700926847"/>
      </c:lineChart>
      <c:catAx>
        <c:axId val="170091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30687"/>
        <c:crosses val="autoZero"/>
        <c:auto val="1"/>
        <c:lblAlgn val="ctr"/>
        <c:lblOffset val="100"/>
        <c:noMultiLvlLbl val="0"/>
      </c:catAx>
      <c:valAx>
        <c:axId val="17009306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14847"/>
        <c:crosses val="autoZero"/>
        <c:crossBetween val="between"/>
      </c:valAx>
      <c:valAx>
        <c:axId val="170092684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31647"/>
        <c:crosses val="max"/>
        <c:crossBetween val="between"/>
      </c:valAx>
      <c:catAx>
        <c:axId val="17009316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9268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Analysis'!$A$35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'Ratio Analysis'!$B$34:$E$34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'Ratio Analysis'!$B$35:$E$35</c:f>
              <c:numCache>
                <c:formatCode>0.00</c:formatCode>
                <c:ptCount val="4"/>
                <c:pt idx="0">
                  <c:v>11149.45</c:v>
                </c:pt>
                <c:pt idx="1">
                  <c:v>8350.1499999999978</c:v>
                </c:pt>
                <c:pt idx="2">
                  <c:v>18501.97</c:v>
                </c:pt>
                <c:pt idx="3">
                  <c:v>24843.790000000005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A-466B-9DAF-08133F5B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1119"/>
        <c:axId val="1813942079"/>
      </c:barChart>
      <c:lineChart>
        <c:grouping val="standard"/>
        <c:varyColors val="0"/>
        <c:ser>
          <c:idx val="1"/>
          <c:order val="1"/>
          <c:tx>
            <c:strRef>
              <c:f>'Ratio Analysis'!$A$36</c:f>
              <c:strCache>
                <c:ptCount val="1"/>
                <c:pt idx="0">
                  <c:v>EBITDA %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'Ratio Analysis'!$B$34:$E$34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'Ratio Analysis'!$B$36:$E$36</c:f>
              <c:numCache>
                <c:formatCode>0.00%</c:formatCode>
                <c:ptCount val="4"/>
                <c:pt idx="0">
                  <c:v>0.33140750807306901</c:v>
                </c:pt>
                <c:pt idx="1">
                  <c:v>0.2990221970753647</c:v>
                </c:pt>
                <c:pt idx="2">
                  <c:v>0.43511615541258614</c:v>
                </c:pt>
                <c:pt idx="3">
                  <c:v>0.4449693270543244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A-466B-9DAF-08133F5B4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48799"/>
        <c:axId val="1813948319"/>
      </c:lineChart>
      <c:catAx>
        <c:axId val="18139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2079"/>
        <c:crosses val="autoZero"/>
        <c:auto val="1"/>
        <c:lblAlgn val="ctr"/>
        <c:lblOffset val="100"/>
        <c:noMultiLvlLbl val="0"/>
      </c:catAx>
      <c:valAx>
        <c:axId val="181394207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1119"/>
        <c:crosses val="autoZero"/>
        <c:crossBetween val="between"/>
      </c:valAx>
      <c:valAx>
        <c:axId val="181394831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8799"/>
        <c:crosses val="max"/>
        <c:crossBetween val="between"/>
      </c:valAx>
      <c:catAx>
        <c:axId val="1813948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3948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 Analysis'!$A$44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'Ratio Analysis'!$B$43:$E$43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'Ratio Analysis'!$B$44:$E$44</c:f>
              <c:numCache>
                <c:formatCode>0.00</c:formatCode>
                <c:ptCount val="4"/>
                <c:pt idx="0">
                  <c:v>6139.2699999999986</c:v>
                </c:pt>
                <c:pt idx="1">
                  <c:v>4462.4399999999969</c:v>
                </c:pt>
                <c:pt idx="2">
                  <c:v>12679.860000000002</c:v>
                </c:pt>
                <c:pt idx="3">
                  <c:v>16860.110000000008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1-42C0-9A3E-06BE8721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927807"/>
        <c:axId val="1700908607"/>
      </c:barChart>
      <c:lineChart>
        <c:grouping val="standard"/>
        <c:varyColors val="0"/>
        <c:ser>
          <c:idx val="1"/>
          <c:order val="1"/>
          <c:tx>
            <c:strRef>
              <c:f>'Ratio Analysis'!$A$45</c:f>
              <c:strCache>
                <c:ptCount val="1"/>
                <c:pt idx="0">
                  <c:v>Net Margin %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'Ratio Analysis'!$B$43:$E$43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'Ratio Analysis'!$B$45:$E$45</c:f>
              <c:numCache>
                <c:formatCode>0.00%</c:formatCode>
                <c:ptCount val="4"/>
                <c:pt idx="0">
                  <c:v>0.1850143463440404</c:v>
                </c:pt>
                <c:pt idx="1">
                  <c:v>0.16818439815746555</c:v>
                </c:pt>
                <c:pt idx="2">
                  <c:v>0.30372006090756298</c:v>
                </c:pt>
                <c:pt idx="3">
                  <c:v>0.30731204691818714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1-42C0-9A3E-06BE8721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909087"/>
        <c:axId val="1700904767"/>
      </c:lineChart>
      <c:catAx>
        <c:axId val="170092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08607"/>
        <c:crosses val="autoZero"/>
        <c:auto val="1"/>
        <c:lblAlgn val="ctr"/>
        <c:lblOffset val="100"/>
        <c:noMultiLvlLbl val="0"/>
      </c:catAx>
      <c:valAx>
        <c:axId val="170090860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27807"/>
        <c:crosses val="autoZero"/>
        <c:crossBetween val="between"/>
      </c:valAx>
      <c:valAx>
        <c:axId val="170090476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09087"/>
        <c:crosses val="max"/>
        <c:crossBetween val="between"/>
      </c:valAx>
      <c:catAx>
        <c:axId val="170090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904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'Stock Performance'!$B$1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'Stock Performance'!$A$2:$A$362</c:f>
              <c:numCache>
                <c:formatCode>d\-mmm\-yy</c:formatCode>
                <c:ptCount val="20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44641</c:v>
                </c:pt>
                <c:pt idx="53">
                  <c:v>44642</c:v>
                </c:pt>
                <c:pt idx="54">
                  <c:v>44643</c:v>
                </c:pt>
                <c:pt idx="55">
                  <c:v>44644</c:v>
                </c:pt>
                <c:pt idx="56">
                  <c:v>44645</c:v>
                </c:pt>
                <c:pt idx="57">
                  <c:v>44648</c:v>
                </c:pt>
                <c:pt idx="58">
                  <c:v>44649</c:v>
                </c:pt>
                <c:pt idx="59">
                  <c:v>44650</c:v>
                </c:pt>
                <c:pt idx="60">
                  <c:v>44651</c:v>
                </c:pt>
                <c:pt idx="61">
                  <c:v>44652</c:v>
                </c:pt>
                <c:pt idx="62">
                  <c:v>44655</c:v>
                </c:pt>
                <c:pt idx="63">
                  <c:v>44656</c:v>
                </c:pt>
                <c:pt idx="64">
                  <c:v>44657</c:v>
                </c:pt>
                <c:pt idx="65">
                  <c:v>44658</c:v>
                </c:pt>
                <c:pt idx="66">
                  <c:v>44659</c:v>
                </c:pt>
                <c:pt idx="67">
                  <c:v>44662</c:v>
                </c:pt>
                <c:pt idx="68">
                  <c:v>44663</c:v>
                </c:pt>
                <c:pt idx="69">
                  <c:v>44664</c:v>
                </c:pt>
                <c:pt idx="70">
                  <c:v>44669</c:v>
                </c:pt>
                <c:pt idx="71">
                  <c:v>44670</c:v>
                </c:pt>
                <c:pt idx="72">
                  <c:v>44671</c:v>
                </c:pt>
                <c:pt idx="73">
                  <c:v>44672</c:v>
                </c:pt>
                <c:pt idx="74">
                  <c:v>44673</c:v>
                </c:pt>
                <c:pt idx="75">
                  <c:v>44676</c:v>
                </c:pt>
                <c:pt idx="76">
                  <c:v>44677</c:v>
                </c:pt>
                <c:pt idx="77">
                  <c:v>44678</c:v>
                </c:pt>
                <c:pt idx="78">
                  <c:v>44679</c:v>
                </c:pt>
                <c:pt idx="79">
                  <c:v>44680</c:v>
                </c:pt>
                <c:pt idx="80">
                  <c:v>44683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44711</c:v>
                </c:pt>
                <c:pt idx="100">
                  <c:v>44712</c:v>
                </c:pt>
                <c:pt idx="101">
                  <c:v>44928</c:v>
                </c:pt>
                <c:pt idx="102">
                  <c:v>44929</c:v>
                </c:pt>
                <c:pt idx="103">
                  <c:v>44930</c:v>
                </c:pt>
                <c:pt idx="104">
                  <c:v>44931</c:v>
                </c:pt>
                <c:pt idx="105">
                  <c:v>44932</c:v>
                </c:pt>
                <c:pt idx="106">
                  <c:v>44935</c:v>
                </c:pt>
                <c:pt idx="107">
                  <c:v>44936</c:v>
                </c:pt>
                <c:pt idx="108">
                  <c:v>44937</c:v>
                </c:pt>
                <c:pt idx="109">
                  <c:v>44938</c:v>
                </c:pt>
                <c:pt idx="110">
                  <c:v>44939</c:v>
                </c:pt>
                <c:pt idx="111">
                  <c:v>44942</c:v>
                </c:pt>
                <c:pt idx="112">
                  <c:v>44943</c:v>
                </c:pt>
                <c:pt idx="113">
                  <c:v>44944</c:v>
                </c:pt>
                <c:pt idx="114">
                  <c:v>44945</c:v>
                </c:pt>
                <c:pt idx="115">
                  <c:v>44946</c:v>
                </c:pt>
                <c:pt idx="116">
                  <c:v>44949</c:v>
                </c:pt>
                <c:pt idx="117">
                  <c:v>44950</c:v>
                </c:pt>
                <c:pt idx="118">
                  <c:v>44951</c:v>
                </c:pt>
                <c:pt idx="119">
                  <c:v>44953</c:v>
                </c:pt>
                <c:pt idx="120">
                  <c:v>44956</c:v>
                </c:pt>
                <c:pt idx="121">
                  <c:v>44957</c:v>
                </c:pt>
                <c:pt idx="122">
                  <c:v>44958</c:v>
                </c:pt>
                <c:pt idx="123">
                  <c:v>44959</c:v>
                </c:pt>
                <c:pt idx="124">
                  <c:v>44960</c:v>
                </c:pt>
                <c:pt idx="125">
                  <c:v>44963</c:v>
                </c:pt>
                <c:pt idx="126">
                  <c:v>44964</c:v>
                </c:pt>
                <c:pt idx="127">
                  <c:v>44965</c:v>
                </c:pt>
                <c:pt idx="128">
                  <c:v>44966</c:v>
                </c:pt>
                <c:pt idx="129">
                  <c:v>44967</c:v>
                </c:pt>
                <c:pt idx="130">
                  <c:v>44970</c:v>
                </c:pt>
                <c:pt idx="131">
                  <c:v>44971</c:v>
                </c:pt>
                <c:pt idx="132">
                  <c:v>44972</c:v>
                </c:pt>
                <c:pt idx="133">
                  <c:v>44973</c:v>
                </c:pt>
                <c:pt idx="134">
                  <c:v>44974</c:v>
                </c:pt>
                <c:pt idx="135">
                  <c:v>44977</c:v>
                </c:pt>
                <c:pt idx="136">
                  <c:v>44978</c:v>
                </c:pt>
                <c:pt idx="137">
                  <c:v>44979</c:v>
                </c:pt>
                <c:pt idx="138">
                  <c:v>44980</c:v>
                </c:pt>
                <c:pt idx="139">
                  <c:v>44981</c:v>
                </c:pt>
                <c:pt idx="140">
                  <c:v>44984</c:v>
                </c:pt>
                <c:pt idx="141">
                  <c:v>44985</c:v>
                </c:pt>
                <c:pt idx="142">
                  <c:v>44986</c:v>
                </c:pt>
                <c:pt idx="143">
                  <c:v>44987</c:v>
                </c:pt>
                <c:pt idx="144">
                  <c:v>44988</c:v>
                </c:pt>
                <c:pt idx="145">
                  <c:v>44991</c:v>
                </c:pt>
                <c:pt idx="146">
                  <c:v>44993</c:v>
                </c:pt>
                <c:pt idx="147">
                  <c:v>44994</c:v>
                </c:pt>
                <c:pt idx="148">
                  <c:v>44995</c:v>
                </c:pt>
                <c:pt idx="149">
                  <c:v>44998</c:v>
                </c:pt>
                <c:pt idx="150">
                  <c:v>44999</c:v>
                </c:pt>
                <c:pt idx="151">
                  <c:v>45000</c:v>
                </c:pt>
                <c:pt idx="152">
                  <c:v>45001</c:v>
                </c:pt>
                <c:pt idx="153">
                  <c:v>45002</c:v>
                </c:pt>
                <c:pt idx="154">
                  <c:v>45005</c:v>
                </c:pt>
                <c:pt idx="155">
                  <c:v>45006</c:v>
                </c:pt>
                <c:pt idx="156">
                  <c:v>45007</c:v>
                </c:pt>
                <c:pt idx="157">
                  <c:v>45008</c:v>
                </c:pt>
                <c:pt idx="158">
                  <c:v>45009</c:v>
                </c:pt>
                <c:pt idx="159">
                  <c:v>45012</c:v>
                </c:pt>
                <c:pt idx="160">
                  <c:v>45013</c:v>
                </c:pt>
                <c:pt idx="161">
                  <c:v>45014</c:v>
                </c:pt>
                <c:pt idx="162">
                  <c:v>45016</c:v>
                </c:pt>
                <c:pt idx="163">
                  <c:v>45019</c:v>
                </c:pt>
                <c:pt idx="164">
                  <c:v>45021</c:v>
                </c:pt>
                <c:pt idx="165">
                  <c:v>45022</c:v>
                </c:pt>
                <c:pt idx="166">
                  <c:v>45026</c:v>
                </c:pt>
                <c:pt idx="167">
                  <c:v>45027</c:v>
                </c:pt>
                <c:pt idx="168">
                  <c:v>45028</c:v>
                </c:pt>
                <c:pt idx="169">
                  <c:v>45029</c:v>
                </c:pt>
                <c:pt idx="170">
                  <c:v>45033</c:v>
                </c:pt>
                <c:pt idx="171">
                  <c:v>45034</c:v>
                </c:pt>
                <c:pt idx="172">
                  <c:v>45035</c:v>
                </c:pt>
                <c:pt idx="173">
                  <c:v>45036</c:v>
                </c:pt>
                <c:pt idx="174">
                  <c:v>45037</c:v>
                </c:pt>
                <c:pt idx="175">
                  <c:v>45040</c:v>
                </c:pt>
                <c:pt idx="176">
                  <c:v>45041</c:v>
                </c:pt>
                <c:pt idx="177">
                  <c:v>45042</c:v>
                </c:pt>
                <c:pt idx="178">
                  <c:v>45043</c:v>
                </c:pt>
                <c:pt idx="179">
                  <c:v>45044</c:v>
                </c:pt>
                <c:pt idx="180">
                  <c:v>45048</c:v>
                </c:pt>
                <c:pt idx="181">
                  <c:v>45049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</c:numCache>
            </c:numRef>
          </c:cat>
          <c:val>
            <c:numRef>
              <c:f>'Stock Performance'!$B$2:$B$362</c:f>
            </c:numRef>
          </c:val>
          <c:smooth val="0"/>
          <c:extLst>
            <c:ext xmlns:c16="http://schemas.microsoft.com/office/drawing/2014/chart" uri="{C3380CC4-5D6E-409C-BE32-E72D297353CC}">
              <c16:uniqueId val="{00000000-029E-4B47-B113-4519BE4D12A2}"/>
            </c:ext>
          </c:extLst>
        </c:ser>
        <c:ser>
          <c:idx val="1"/>
          <c:order val="1"/>
          <c:tx>
            <c:strRef>
              <c:f>'Stock Performance'!$C$1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 Performance'!$A$2:$A$362</c:f>
              <c:numCache>
                <c:formatCode>d\-mmm\-yy</c:formatCode>
                <c:ptCount val="20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44641</c:v>
                </c:pt>
                <c:pt idx="53">
                  <c:v>44642</c:v>
                </c:pt>
                <c:pt idx="54">
                  <c:v>44643</c:v>
                </c:pt>
                <c:pt idx="55">
                  <c:v>44644</c:v>
                </c:pt>
                <c:pt idx="56">
                  <c:v>44645</c:v>
                </c:pt>
                <c:pt idx="57">
                  <c:v>44648</c:v>
                </c:pt>
                <c:pt idx="58">
                  <c:v>44649</c:v>
                </c:pt>
                <c:pt idx="59">
                  <c:v>44650</c:v>
                </c:pt>
                <c:pt idx="60">
                  <c:v>44651</c:v>
                </c:pt>
                <c:pt idx="61">
                  <c:v>44652</c:v>
                </c:pt>
                <c:pt idx="62">
                  <c:v>44655</c:v>
                </c:pt>
                <c:pt idx="63">
                  <c:v>44656</c:v>
                </c:pt>
                <c:pt idx="64">
                  <c:v>44657</c:v>
                </c:pt>
                <c:pt idx="65">
                  <c:v>44658</c:v>
                </c:pt>
                <c:pt idx="66">
                  <c:v>44659</c:v>
                </c:pt>
                <c:pt idx="67">
                  <c:v>44662</c:v>
                </c:pt>
                <c:pt idx="68">
                  <c:v>44663</c:v>
                </c:pt>
                <c:pt idx="69">
                  <c:v>44664</c:v>
                </c:pt>
                <c:pt idx="70">
                  <c:v>44669</c:v>
                </c:pt>
                <c:pt idx="71">
                  <c:v>44670</c:v>
                </c:pt>
                <c:pt idx="72">
                  <c:v>44671</c:v>
                </c:pt>
                <c:pt idx="73">
                  <c:v>44672</c:v>
                </c:pt>
                <c:pt idx="74">
                  <c:v>44673</c:v>
                </c:pt>
                <c:pt idx="75">
                  <c:v>44676</c:v>
                </c:pt>
                <c:pt idx="76">
                  <c:v>44677</c:v>
                </c:pt>
                <c:pt idx="77">
                  <c:v>44678</c:v>
                </c:pt>
                <c:pt idx="78">
                  <c:v>44679</c:v>
                </c:pt>
                <c:pt idx="79">
                  <c:v>44680</c:v>
                </c:pt>
                <c:pt idx="80">
                  <c:v>44683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44711</c:v>
                </c:pt>
                <c:pt idx="100">
                  <c:v>44712</c:v>
                </c:pt>
                <c:pt idx="101">
                  <c:v>44928</c:v>
                </c:pt>
                <c:pt idx="102">
                  <c:v>44929</c:v>
                </c:pt>
                <c:pt idx="103">
                  <c:v>44930</c:v>
                </c:pt>
                <c:pt idx="104">
                  <c:v>44931</c:v>
                </c:pt>
                <c:pt idx="105">
                  <c:v>44932</c:v>
                </c:pt>
                <c:pt idx="106">
                  <c:v>44935</c:v>
                </c:pt>
                <c:pt idx="107">
                  <c:v>44936</c:v>
                </c:pt>
                <c:pt idx="108">
                  <c:v>44937</c:v>
                </c:pt>
                <c:pt idx="109">
                  <c:v>44938</c:v>
                </c:pt>
                <c:pt idx="110">
                  <c:v>44939</c:v>
                </c:pt>
                <c:pt idx="111">
                  <c:v>44942</c:v>
                </c:pt>
                <c:pt idx="112">
                  <c:v>44943</c:v>
                </c:pt>
                <c:pt idx="113">
                  <c:v>44944</c:v>
                </c:pt>
                <c:pt idx="114">
                  <c:v>44945</c:v>
                </c:pt>
                <c:pt idx="115">
                  <c:v>44946</c:v>
                </c:pt>
                <c:pt idx="116">
                  <c:v>44949</c:v>
                </c:pt>
                <c:pt idx="117">
                  <c:v>44950</c:v>
                </c:pt>
                <c:pt idx="118">
                  <c:v>44951</c:v>
                </c:pt>
                <c:pt idx="119">
                  <c:v>44953</c:v>
                </c:pt>
                <c:pt idx="120">
                  <c:v>44956</c:v>
                </c:pt>
                <c:pt idx="121">
                  <c:v>44957</c:v>
                </c:pt>
                <c:pt idx="122">
                  <c:v>44958</c:v>
                </c:pt>
                <c:pt idx="123">
                  <c:v>44959</c:v>
                </c:pt>
                <c:pt idx="124">
                  <c:v>44960</c:v>
                </c:pt>
                <c:pt idx="125">
                  <c:v>44963</c:v>
                </c:pt>
                <c:pt idx="126">
                  <c:v>44964</c:v>
                </c:pt>
                <c:pt idx="127">
                  <c:v>44965</c:v>
                </c:pt>
                <c:pt idx="128">
                  <c:v>44966</c:v>
                </c:pt>
                <c:pt idx="129">
                  <c:v>44967</c:v>
                </c:pt>
                <c:pt idx="130">
                  <c:v>44970</c:v>
                </c:pt>
                <c:pt idx="131">
                  <c:v>44971</c:v>
                </c:pt>
                <c:pt idx="132">
                  <c:v>44972</c:v>
                </c:pt>
                <c:pt idx="133">
                  <c:v>44973</c:v>
                </c:pt>
                <c:pt idx="134">
                  <c:v>44974</c:v>
                </c:pt>
                <c:pt idx="135">
                  <c:v>44977</c:v>
                </c:pt>
                <c:pt idx="136">
                  <c:v>44978</c:v>
                </c:pt>
                <c:pt idx="137">
                  <c:v>44979</c:v>
                </c:pt>
                <c:pt idx="138">
                  <c:v>44980</c:v>
                </c:pt>
                <c:pt idx="139">
                  <c:v>44981</c:v>
                </c:pt>
                <c:pt idx="140">
                  <c:v>44984</c:v>
                </c:pt>
                <c:pt idx="141">
                  <c:v>44985</c:v>
                </c:pt>
                <c:pt idx="142">
                  <c:v>44986</c:v>
                </c:pt>
                <c:pt idx="143">
                  <c:v>44987</c:v>
                </c:pt>
                <c:pt idx="144">
                  <c:v>44988</c:v>
                </c:pt>
                <c:pt idx="145">
                  <c:v>44991</c:v>
                </c:pt>
                <c:pt idx="146">
                  <c:v>44993</c:v>
                </c:pt>
                <c:pt idx="147">
                  <c:v>44994</c:v>
                </c:pt>
                <c:pt idx="148">
                  <c:v>44995</c:v>
                </c:pt>
                <c:pt idx="149">
                  <c:v>44998</c:v>
                </c:pt>
                <c:pt idx="150">
                  <c:v>44999</c:v>
                </c:pt>
                <c:pt idx="151">
                  <c:v>45000</c:v>
                </c:pt>
                <c:pt idx="152">
                  <c:v>45001</c:v>
                </c:pt>
                <c:pt idx="153">
                  <c:v>45002</c:v>
                </c:pt>
                <c:pt idx="154">
                  <c:v>45005</c:v>
                </c:pt>
                <c:pt idx="155">
                  <c:v>45006</c:v>
                </c:pt>
                <c:pt idx="156">
                  <c:v>45007</c:v>
                </c:pt>
                <c:pt idx="157">
                  <c:v>45008</c:v>
                </c:pt>
                <c:pt idx="158">
                  <c:v>45009</c:v>
                </c:pt>
                <c:pt idx="159">
                  <c:v>45012</c:v>
                </c:pt>
                <c:pt idx="160">
                  <c:v>45013</c:v>
                </c:pt>
                <c:pt idx="161">
                  <c:v>45014</c:v>
                </c:pt>
                <c:pt idx="162">
                  <c:v>45016</c:v>
                </c:pt>
                <c:pt idx="163">
                  <c:v>45019</c:v>
                </c:pt>
                <c:pt idx="164">
                  <c:v>45021</c:v>
                </c:pt>
                <c:pt idx="165">
                  <c:v>45022</c:v>
                </c:pt>
                <c:pt idx="166">
                  <c:v>45026</c:v>
                </c:pt>
                <c:pt idx="167">
                  <c:v>45027</c:v>
                </c:pt>
                <c:pt idx="168">
                  <c:v>45028</c:v>
                </c:pt>
                <c:pt idx="169">
                  <c:v>45029</c:v>
                </c:pt>
                <c:pt idx="170">
                  <c:v>45033</c:v>
                </c:pt>
                <c:pt idx="171">
                  <c:v>45034</c:v>
                </c:pt>
                <c:pt idx="172">
                  <c:v>45035</c:v>
                </c:pt>
                <c:pt idx="173">
                  <c:v>45036</c:v>
                </c:pt>
                <c:pt idx="174">
                  <c:v>45037</c:v>
                </c:pt>
                <c:pt idx="175">
                  <c:v>45040</c:v>
                </c:pt>
                <c:pt idx="176">
                  <c:v>45041</c:v>
                </c:pt>
                <c:pt idx="177">
                  <c:v>45042</c:v>
                </c:pt>
                <c:pt idx="178">
                  <c:v>45043</c:v>
                </c:pt>
                <c:pt idx="179">
                  <c:v>45044</c:v>
                </c:pt>
                <c:pt idx="180">
                  <c:v>45048</c:v>
                </c:pt>
                <c:pt idx="181">
                  <c:v>45049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</c:numCache>
            </c:numRef>
          </c:cat>
          <c:val>
            <c:numRef>
              <c:f>'Stock Performance'!$C$2:$C$362</c:f>
            </c:numRef>
          </c:val>
          <c:smooth val="0"/>
          <c:extLst>
            <c:ext xmlns:c16="http://schemas.microsoft.com/office/drawing/2014/chart" uri="{C3380CC4-5D6E-409C-BE32-E72D297353CC}">
              <c16:uniqueId val="{00000001-029E-4B47-B113-4519BE4D12A2}"/>
            </c:ext>
          </c:extLst>
        </c:ser>
        <c:ser>
          <c:idx val="2"/>
          <c:order val="2"/>
          <c:tx>
            <c:strRef>
              <c:f>'Stock Performance'!$D$1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 Performance'!$A$2:$A$362</c:f>
              <c:numCache>
                <c:formatCode>d\-mmm\-yy</c:formatCode>
                <c:ptCount val="20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44641</c:v>
                </c:pt>
                <c:pt idx="53">
                  <c:v>44642</c:v>
                </c:pt>
                <c:pt idx="54">
                  <c:v>44643</c:v>
                </c:pt>
                <c:pt idx="55">
                  <c:v>44644</c:v>
                </c:pt>
                <c:pt idx="56">
                  <c:v>44645</c:v>
                </c:pt>
                <c:pt idx="57">
                  <c:v>44648</c:v>
                </c:pt>
                <c:pt idx="58">
                  <c:v>44649</c:v>
                </c:pt>
                <c:pt idx="59">
                  <c:v>44650</c:v>
                </c:pt>
                <c:pt idx="60">
                  <c:v>44651</c:v>
                </c:pt>
                <c:pt idx="61">
                  <c:v>44652</c:v>
                </c:pt>
                <c:pt idx="62">
                  <c:v>44655</c:v>
                </c:pt>
                <c:pt idx="63">
                  <c:v>44656</c:v>
                </c:pt>
                <c:pt idx="64">
                  <c:v>44657</c:v>
                </c:pt>
                <c:pt idx="65">
                  <c:v>44658</c:v>
                </c:pt>
                <c:pt idx="66">
                  <c:v>44659</c:v>
                </c:pt>
                <c:pt idx="67">
                  <c:v>44662</c:v>
                </c:pt>
                <c:pt idx="68">
                  <c:v>44663</c:v>
                </c:pt>
                <c:pt idx="69">
                  <c:v>44664</c:v>
                </c:pt>
                <c:pt idx="70">
                  <c:v>44669</c:v>
                </c:pt>
                <c:pt idx="71">
                  <c:v>44670</c:v>
                </c:pt>
                <c:pt idx="72">
                  <c:v>44671</c:v>
                </c:pt>
                <c:pt idx="73">
                  <c:v>44672</c:v>
                </c:pt>
                <c:pt idx="74">
                  <c:v>44673</c:v>
                </c:pt>
                <c:pt idx="75">
                  <c:v>44676</c:v>
                </c:pt>
                <c:pt idx="76">
                  <c:v>44677</c:v>
                </c:pt>
                <c:pt idx="77">
                  <c:v>44678</c:v>
                </c:pt>
                <c:pt idx="78">
                  <c:v>44679</c:v>
                </c:pt>
                <c:pt idx="79">
                  <c:v>44680</c:v>
                </c:pt>
                <c:pt idx="80">
                  <c:v>44683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44711</c:v>
                </c:pt>
                <c:pt idx="100">
                  <c:v>44712</c:v>
                </c:pt>
                <c:pt idx="101">
                  <c:v>44928</c:v>
                </c:pt>
                <c:pt idx="102">
                  <c:v>44929</c:v>
                </c:pt>
                <c:pt idx="103">
                  <c:v>44930</c:v>
                </c:pt>
                <c:pt idx="104">
                  <c:v>44931</c:v>
                </c:pt>
                <c:pt idx="105">
                  <c:v>44932</c:v>
                </c:pt>
                <c:pt idx="106">
                  <c:v>44935</c:v>
                </c:pt>
                <c:pt idx="107">
                  <c:v>44936</c:v>
                </c:pt>
                <c:pt idx="108">
                  <c:v>44937</c:v>
                </c:pt>
                <c:pt idx="109">
                  <c:v>44938</c:v>
                </c:pt>
                <c:pt idx="110">
                  <c:v>44939</c:v>
                </c:pt>
                <c:pt idx="111">
                  <c:v>44942</c:v>
                </c:pt>
                <c:pt idx="112">
                  <c:v>44943</c:v>
                </c:pt>
                <c:pt idx="113">
                  <c:v>44944</c:v>
                </c:pt>
                <c:pt idx="114">
                  <c:v>44945</c:v>
                </c:pt>
                <c:pt idx="115">
                  <c:v>44946</c:v>
                </c:pt>
                <c:pt idx="116">
                  <c:v>44949</c:v>
                </c:pt>
                <c:pt idx="117">
                  <c:v>44950</c:v>
                </c:pt>
                <c:pt idx="118">
                  <c:v>44951</c:v>
                </c:pt>
                <c:pt idx="119">
                  <c:v>44953</c:v>
                </c:pt>
                <c:pt idx="120">
                  <c:v>44956</c:v>
                </c:pt>
                <c:pt idx="121">
                  <c:v>44957</c:v>
                </c:pt>
                <c:pt idx="122">
                  <c:v>44958</c:v>
                </c:pt>
                <c:pt idx="123">
                  <c:v>44959</c:v>
                </c:pt>
                <c:pt idx="124">
                  <c:v>44960</c:v>
                </c:pt>
                <c:pt idx="125">
                  <c:v>44963</c:v>
                </c:pt>
                <c:pt idx="126">
                  <c:v>44964</c:v>
                </c:pt>
                <c:pt idx="127">
                  <c:v>44965</c:v>
                </c:pt>
                <c:pt idx="128">
                  <c:v>44966</c:v>
                </c:pt>
                <c:pt idx="129">
                  <c:v>44967</c:v>
                </c:pt>
                <c:pt idx="130">
                  <c:v>44970</c:v>
                </c:pt>
                <c:pt idx="131">
                  <c:v>44971</c:v>
                </c:pt>
                <c:pt idx="132">
                  <c:v>44972</c:v>
                </c:pt>
                <c:pt idx="133">
                  <c:v>44973</c:v>
                </c:pt>
                <c:pt idx="134">
                  <c:v>44974</c:v>
                </c:pt>
                <c:pt idx="135">
                  <c:v>44977</c:v>
                </c:pt>
                <c:pt idx="136">
                  <c:v>44978</c:v>
                </c:pt>
                <c:pt idx="137">
                  <c:v>44979</c:v>
                </c:pt>
                <c:pt idx="138">
                  <c:v>44980</c:v>
                </c:pt>
                <c:pt idx="139">
                  <c:v>44981</c:v>
                </c:pt>
                <c:pt idx="140">
                  <c:v>44984</c:v>
                </c:pt>
                <c:pt idx="141">
                  <c:v>44985</c:v>
                </c:pt>
                <c:pt idx="142">
                  <c:v>44986</c:v>
                </c:pt>
                <c:pt idx="143">
                  <c:v>44987</c:v>
                </c:pt>
                <c:pt idx="144">
                  <c:v>44988</c:v>
                </c:pt>
                <c:pt idx="145">
                  <c:v>44991</c:v>
                </c:pt>
                <c:pt idx="146">
                  <c:v>44993</c:v>
                </c:pt>
                <c:pt idx="147">
                  <c:v>44994</c:v>
                </c:pt>
                <c:pt idx="148">
                  <c:v>44995</c:v>
                </c:pt>
                <c:pt idx="149">
                  <c:v>44998</c:v>
                </c:pt>
                <c:pt idx="150">
                  <c:v>44999</c:v>
                </c:pt>
                <c:pt idx="151">
                  <c:v>45000</c:v>
                </c:pt>
                <c:pt idx="152">
                  <c:v>45001</c:v>
                </c:pt>
                <c:pt idx="153">
                  <c:v>45002</c:v>
                </c:pt>
                <c:pt idx="154">
                  <c:v>45005</c:v>
                </c:pt>
                <c:pt idx="155">
                  <c:v>45006</c:v>
                </c:pt>
                <c:pt idx="156">
                  <c:v>45007</c:v>
                </c:pt>
                <c:pt idx="157">
                  <c:v>45008</c:v>
                </c:pt>
                <c:pt idx="158">
                  <c:v>45009</c:v>
                </c:pt>
                <c:pt idx="159">
                  <c:v>45012</c:v>
                </c:pt>
                <c:pt idx="160">
                  <c:v>45013</c:v>
                </c:pt>
                <c:pt idx="161">
                  <c:v>45014</c:v>
                </c:pt>
                <c:pt idx="162">
                  <c:v>45016</c:v>
                </c:pt>
                <c:pt idx="163">
                  <c:v>45019</c:v>
                </c:pt>
                <c:pt idx="164">
                  <c:v>45021</c:v>
                </c:pt>
                <c:pt idx="165">
                  <c:v>45022</c:v>
                </c:pt>
                <c:pt idx="166">
                  <c:v>45026</c:v>
                </c:pt>
                <c:pt idx="167">
                  <c:v>45027</c:v>
                </c:pt>
                <c:pt idx="168">
                  <c:v>45028</c:v>
                </c:pt>
                <c:pt idx="169">
                  <c:v>45029</c:v>
                </c:pt>
                <c:pt idx="170">
                  <c:v>45033</c:v>
                </c:pt>
                <c:pt idx="171">
                  <c:v>45034</c:v>
                </c:pt>
                <c:pt idx="172">
                  <c:v>45035</c:v>
                </c:pt>
                <c:pt idx="173">
                  <c:v>45036</c:v>
                </c:pt>
                <c:pt idx="174">
                  <c:v>45037</c:v>
                </c:pt>
                <c:pt idx="175">
                  <c:v>45040</c:v>
                </c:pt>
                <c:pt idx="176">
                  <c:v>45041</c:v>
                </c:pt>
                <c:pt idx="177">
                  <c:v>45042</c:v>
                </c:pt>
                <c:pt idx="178">
                  <c:v>45043</c:v>
                </c:pt>
                <c:pt idx="179">
                  <c:v>45044</c:v>
                </c:pt>
                <c:pt idx="180">
                  <c:v>45048</c:v>
                </c:pt>
                <c:pt idx="181">
                  <c:v>45049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</c:numCache>
            </c:numRef>
          </c:cat>
          <c:val>
            <c:numRef>
              <c:f>'Stock Performance'!$D$2:$D$362</c:f>
            </c:numRef>
          </c:val>
          <c:smooth val="0"/>
          <c:extLst>
            <c:ext xmlns:c16="http://schemas.microsoft.com/office/drawing/2014/chart" uri="{C3380CC4-5D6E-409C-BE32-E72D297353CC}">
              <c16:uniqueId val="{00000002-029E-4B47-B113-4519BE4D12A2}"/>
            </c:ext>
          </c:extLst>
        </c:ser>
        <c:ser>
          <c:idx val="3"/>
          <c:order val="3"/>
          <c:tx>
            <c:strRef>
              <c:f>'Stock Performance'!$E$1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'Stock Performance'!$A$2:$A$362</c:f>
              <c:numCache>
                <c:formatCode>d\-mmm\-yy</c:formatCode>
                <c:ptCount val="20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44641</c:v>
                </c:pt>
                <c:pt idx="53">
                  <c:v>44642</c:v>
                </c:pt>
                <c:pt idx="54">
                  <c:v>44643</c:v>
                </c:pt>
                <c:pt idx="55">
                  <c:v>44644</c:v>
                </c:pt>
                <c:pt idx="56">
                  <c:v>44645</c:v>
                </c:pt>
                <c:pt idx="57">
                  <c:v>44648</c:v>
                </c:pt>
                <c:pt idx="58">
                  <c:v>44649</c:v>
                </c:pt>
                <c:pt idx="59">
                  <c:v>44650</c:v>
                </c:pt>
                <c:pt idx="60">
                  <c:v>44651</c:v>
                </c:pt>
                <c:pt idx="61">
                  <c:v>44652</c:v>
                </c:pt>
                <c:pt idx="62">
                  <c:v>44655</c:v>
                </c:pt>
                <c:pt idx="63">
                  <c:v>44656</c:v>
                </c:pt>
                <c:pt idx="64">
                  <c:v>44657</c:v>
                </c:pt>
                <c:pt idx="65">
                  <c:v>44658</c:v>
                </c:pt>
                <c:pt idx="66">
                  <c:v>44659</c:v>
                </c:pt>
                <c:pt idx="67">
                  <c:v>44662</c:v>
                </c:pt>
                <c:pt idx="68">
                  <c:v>44663</c:v>
                </c:pt>
                <c:pt idx="69">
                  <c:v>44664</c:v>
                </c:pt>
                <c:pt idx="70">
                  <c:v>44669</c:v>
                </c:pt>
                <c:pt idx="71">
                  <c:v>44670</c:v>
                </c:pt>
                <c:pt idx="72">
                  <c:v>44671</c:v>
                </c:pt>
                <c:pt idx="73">
                  <c:v>44672</c:v>
                </c:pt>
                <c:pt idx="74">
                  <c:v>44673</c:v>
                </c:pt>
                <c:pt idx="75">
                  <c:v>44676</c:v>
                </c:pt>
                <c:pt idx="76">
                  <c:v>44677</c:v>
                </c:pt>
                <c:pt idx="77">
                  <c:v>44678</c:v>
                </c:pt>
                <c:pt idx="78">
                  <c:v>44679</c:v>
                </c:pt>
                <c:pt idx="79">
                  <c:v>44680</c:v>
                </c:pt>
                <c:pt idx="80">
                  <c:v>44683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44711</c:v>
                </c:pt>
                <c:pt idx="100">
                  <c:v>44712</c:v>
                </c:pt>
                <c:pt idx="101">
                  <c:v>44928</c:v>
                </c:pt>
                <c:pt idx="102">
                  <c:v>44929</c:v>
                </c:pt>
                <c:pt idx="103">
                  <c:v>44930</c:v>
                </c:pt>
                <c:pt idx="104">
                  <c:v>44931</c:v>
                </c:pt>
                <c:pt idx="105">
                  <c:v>44932</c:v>
                </c:pt>
                <c:pt idx="106">
                  <c:v>44935</c:v>
                </c:pt>
                <c:pt idx="107">
                  <c:v>44936</c:v>
                </c:pt>
                <c:pt idx="108">
                  <c:v>44937</c:v>
                </c:pt>
                <c:pt idx="109">
                  <c:v>44938</c:v>
                </c:pt>
                <c:pt idx="110">
                  <c:v>44939</c:v>
                </c:pt>
                <c:pt idx="111">
                  <c:v>44942</c:v>
                </c:pt>
                <c:pt idx="112">
                  <c:v>44943</c:v>
                </c:pt>
                <c:pt idx="113">
                  <c:v>44944</c:v>
                </c:pt>
                <c:pt idx="114">
                  <c:v>44945</c:v>
                </c:pt>
                <c:pt idx="115">
                  <c:v>44946</c:v>
                </c:pt>
                <c:pt idx="116">
                  <c:v>44949</c:v>
                </c:pt>
                <c:pt idx="117">
                  <c:v>44950</c:v>
                </c:pt>
                <c:pt idx="118">
                  <c:v>44951</c:v>
                </c:pt>
                <c:pt idx="119">
                  <c:v>44953</c:v>
                </c:pt>
                <c:pt idx="120">
                  <c:v>44956</c:v>
                </c:pt>
                <c:pt idx="121">
                  <c:v>44957</c:v>
                </c:pt>
                <c:pt idx="122">
                  <c:v>44958</c:v>
                </c:pt>
                <c:pt idx="123">
                  <c:v>44959</c:v>
                </c:pt>
                <c:pt idx="124">
                  <c:v>44960</c:v>
                </c:pt>
                <c:pt idx="125">
                  <c:v>44963</c:v>
                </c:pt>
                <c:pt idx="126">
                  <c:v>44964</c:v>
                </c:pt>
                <c:pt idx="127">
                  <c:v>44965</c:v>
                </c:pt>
                <c:pt idx="128">
                  <c:v>44966</c:v>
                </c:pt>
                <c:pt idx="129">
                  <c:v>44967</c:v>
                </c:pt>
                <c:pt idx="130">
                  <c:v>44970</c:v>
                </c:pt>
                <c:pt idx="131">
                  <c:v>44971</c:v>
                </c:pt>
                <c:pt idx="132">
                  <c:v>44972</c:v>
                </c:pt>
                <c:pt idx="133">
                  <c:v>44973</c:v>
                </c:pt>
                <c:pt idx="134">
                  <c:v>44974</c:v>
                </c:pt>
                <c:pt idx="135">
                  <c:v>44977</c:v>
                </c:pt>
                <c:pt idx="136">
                  <c:v>44978</c:v>
                </c:pt>
                <c:pt idx="137">
                  <c:v>44979</c:v>
                </c:pt>
                <c:pt idx="138">
                  <c:v>44980</c:v>
                </c:pt>
                <c:pt idx="139">
                  <c:v>44981</c:v>
                </c:pt>
                <c:pt idx="140">
                  <c:v>44984</c:v>
                </c:pt>
                <c:pt idx="141">
                  <c:v>44985</c:v>
                </c:pt>
                <c:pt idx="142">
                  <c:v>44986</c:v>
                </c:pt>
                <c:pt idx="143">
                  <c:v>44987</c:v>
                </c:pt>
                <c:pt idx="144">
                  <c:v>44988</c:v>
                </c:pt>
                <c:pt idx="145">
                  <c:v>44991</c:v>
                </c:pt>
                <c:pt idx="146">
                  <c:v>44993</c:v>
                </c:pt>
                <c:pt idx="147">
                  <c:v>44994</c:v>
                </c:pt>
                <c:pt idx="148">
                  <c:v>44995</c:v>
                </c:pt>
                <c:pt idx="149">
                  <c:v>44998</c:v>
                </c:pt>
                <c:pt idx="150">
                  <c:v>44999</c:v>
                </c:pt>
                <c:pt idx="151">
                  <c:v>45000</c:v>
                </c:pt>
                <c:pt idx="152">
                  <c:v>45001</c:v>
                </c:pt>
                <c:pt idx="153">
                  <c:v>45002</c:v>
                </c:pt>
                <c:pt idx="154">
                  <c:v>45005</c:v>
                </c:pt>
                <c:pt idx="155">
                  <c:v>45006</c:v>
                </c:pt>
                <c:pt idx="156">
                  <c:v>45007</c:v>
                </c:pt>
                <c:pt idx="157">
                  <c:v>45008</c:v>
                </c:pt>
                <c:pt idx="158">
                  <c:v>45009</c:v>
                </c:pt>
                <c:pt idx="159">
                  <c:v>45012</c:v>
                </c:pt>
                <c:pt idx="160">
                  <c:v>45013</c:v>
                </c:pt>
                <c:pt idx="161">
                  <c:v>45014</c:v>
                </c:pt>
                <c:pt idx="162">
                  <c:v>45016</c:v>
                </c:pt>
                <c:pt idx="163">
                  <c:v>45019</c:v>
                </c:pt>
                <c:pt idx="164">
                  <c:v>45021</c:v>
                </c:pt>
                <c:pt idx="165">
                  <c:v>45022</c:v>
                </c:pt>
                <c:pt idx="166">
                  <c:v>45026</c:v>
                </c:pt>
                <c:pt idx="167">
                  <c:v>45027</c:v>
                </c:pt>
                <c:pt idx="168">
                  <c:v>45028</c:v>
                </c:pt>
                <c:pt idx="169">
                  <c:v>45029</c:v>
                </c:pt>
                <c:pt idx="170">
                  <c:v>45033</c:v>
                </c:pt>
                <c:pt idx="171">
                  <c:v>45034</c:v>
                </c:pt>
                <c:pt idx="172">
                  <c:v>45035</c:v>
                </c:pt>
                <c:pt idx="173">
                  <c:v>45036</c:v>
                </c:pt>
                <c:pt idx="174">
                  <c:v>45037</c:v>
                </c:pt>
                <c:pt idx="175">
                  <c:v>45040</c:v>
                </c:pt>
                <c:pt idx="176">
                  <c:v>45041</c:v>
                </c:pt>
                <c:pt idx="177">
                  <c:v>45042</c:v>
                </c:pt>
                <c:pt idx="178">
                  <c:v>45043</c:v>
                </c:pt>
                <c:pt idx="179">
                  <c:v>45044</c:v>
                </c:pt>
                <c:pt idx="180">
                  <c:v>45048</c:v>
                </c:pt>
                <c:pt idx="181">
                  <c:v>45049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</c:numCache>
            </c:numRef>
          </c:cat>
          <c:val>
            <c:numRef>
              <c:f>'Stock Performance'!$E$2:$E$362</c:f>
              <c:numCache>
                <c:formatCode>General</c:formatCode>
                <c:ptCount val="200"/>
                <c:pt idx="0">
                  <c:v>632.75</c:v>
                </c:pt>
                <c:pt idx="1">
                  <c:v>639.79999999999995</c:v>
                </c:pt>
                <c:pt idx="2">
                  <c:v>637.1</c:v>
                </c:pt>
                <c:pt idx="3">
                  <c:v>634.70000000000005</c:v>
                </c:pt>
                <c:pt idx="4">
                  <c:v>619.45000000000005</c:v>
                </c:pt>
                <c:pt idx="5">
                  <c:v>629.29999999999995</c:v>
                </c:pt>
                <c:pt idx="6">
                  <c:v>626</c:v>
                </c:pt>
                <c:pt idx="7">
                  <c:v>618.45000000000005</c:v>
                </c:pt>
                <c:pt idx="8">
                  <c:v>619.9</c:v>
                </c:pt>
                <c:pt idx="9">
                  <c:v>622.95000000000005</c:v>
                </c:pt>
                <c:pt idx="10">
                  <c:v>619</c:v>
                </c:pt>
                <c:pt idx="11">
                  <c:v>613.5</c:v>
                </c:pt>
                <c:pt idx="12">
                  <c:v>610.85</c:v>
                </c:pt>
                <c:pt idx="13">
                  <c:v>605.04999999999995</c:v>
                </c:pt>
                <c:pt idx="14">
                  <c:v>603.1</c:v>
                </c:pt>
                <c:pt idx="15">
                  <c:v>580.04999999999995</c:v>
                </c:pt>
                <c:pt idx="16">
                  <c:v>592.45000000000005</c:v>
                </c:pt>
                <c:pt idx="17">
                  <c:v>593.70000000000005</c:v>
                </c:pt>
                <c:pt idx="18">
                  <c:v>594.20000000000005</c:v>
                </c:pt>
                <c:pt idx="19">
                  <c:v>584.5</c:v>
                </c:pt>
                <c:pt idx="20">
                  <c:v>589.1</c:v>
                </c:pt>
                <c:pt idx="21">
                  <c:v>593.45000000000005</c:v>
                </c:pt>
                <c:pt idx="22">
                  <c:v>587</c:v>
                </c:pt>
                <c:pt idx="23">
                  <c:v>587.5</c:v>
                </c:pt>
                <c:pt idx="24">
                  <c:v>583.4</c:v>
                </c:pt>
                <c:pt idx="25">
                  <c:v>583.15</c:v>
                </c:pt>
                <c:pt idx="26">
                  <c:v>581.85</c:v>
                </c:pt>
                <c:pt idx="27">
                  <c:v>605.70000000000005</c:v>
                </c:pt>
                <c:pt idx="28">
                  <c:v>591.79999999999995</c:v>
                </c:pt>
                <c:pt idx="29">
                  <c:v>568.70000000000005</c:v>
                </c:pt>
                <c:pt idx="30">
                  <c:v>586.15</c:v>
                </c:pt>
                <c:pt idx="31">
                  <c:v>571.75</c:v>
                </c:pt>
                <c:pt idx="32">
                  <c:v>572.85</c:v>
                </c:pt>
                <c:pt idx="33">
                  <c:v>566.20000000000005</c:v>
                </c:pt>
                <c:pt idx="34">
                  <c:v>563.20000000000005</c:v>
                </c:pt>
                <c:pt idx="35">
                  <c:v>560.45000000000005</c:v>
                </c:pt>
                <c:pt idx="36">
                  <c:v>560.9</c:v>
                </c:pt>
                <c:pt idx="37">
                  <c:v>551.4</c:v>
                </c:pt>
                <c:pt idx="38">
                  <c:v>559.79999999999995</c:v>
                </c:pt>
                <c:pt idx="39">
                  <c:v>559</c:v>
                </c:pt>
                <c:pt idx="40">
                  <c:v>555.70000000000005</c:v>
                </c:pt>
                <c:pt idx="41">
                  <c:v>562.29999999999995</c:v>
                </c:pt>
                <c:pt idx="42">
                  <c:v>556.9</c:v>
                </c:pt>
                <c:pt idx="43">
                  <c:v>559.15</c:v>
                </c:pt>
                <c:pt idx="44">
                  <c:v>583.65</c:v>
                </c:pt>
                <c:pt idx="45">
                  <c:v>584.5</c:v>
                </c:pt>
                <c:pt idx="46">
                  <c:v>578.1</c:v>
                </c:pt>
                <c:pt idx="47">
                  <c:v>572.85</c:v>
                </c:pt>
                <c:pt idx="48">
                  <c:v>568.45000000000005</c:v>
                </c:pt>
                <c:pt idx="49">
                  <c:v>564.25</c:v>
                </c:pt>
                <c:pt idx="50">
                  <c:v>573.85</c:v>
                </c:pt>
                <c:pt idx="51">
                  <c:v>570.04999999999995</c:v>
                </c:pt>
                <c:pt idx="52">
                  <c:v>576.20000000000005</c:v>
                </c:pt>
                <c:pt idx="53">
                  <c:v>586.70000000000005</c:v>
                </c:pt>
                <c:pt idx="54">
                  <c:v>588.35</c:v>
                </c:pt>
                <c:pt idx="55">
                  <c:v>591.54999999999995</c:v>
                </c:pt>
                <c:pt idx="56">
                  <c:v>594</c:v>
                </c:pt>
                <c:pt idx="57">
                  <c:v>593.79999999999995</c:v>
                </c:pt>
                <c:pt idx="58">
                  <c:v>595.15</c:v>
                </c:pt>
                <c:pt idx="59">
                  <c:v>606.5</c:v>
                </c:pt>
                <c:pt idx="60">
                  <c:v>606.29999999999995</c:v>
                </c:pt>
                <c:pt idx="61">
                  <c:v>608.4</c:v>
                </c:pt>
                <c:pt idx="62">
                  <c:v>614.5</c:v>
                </c:pt>
                <c:pt idx="63">
                  <c:v>612.29999999999995</c:v>
                </c:pt>
                <c:pt idx="64">
                  <c:v>621.25</c:v>
                </c:pt>
                <c:pt idx="65">
                  <c:v>609.79999999999995</c:v>
                </c:pt>
                <c:pt idx="66">
                  <c:v>610.9</c:v>
                </c:pt>
                <c:pt idx="67">
                  <c:v>610</c:v>
                </c:pt>
                <c:pt idx="68">
                  <c:v>612.65</c:v>
                </c:pt>
                <c:pt idx="69">
                  <c:v>666.15</c:v>
                </c:pt>
                <c:pt idx="70">
                  <c:v>699.2</c:v>
                </c:pt>
                <c:pt idx="71">
                  <c:v>660.7</c:v>
                </c:pt>
                <c:pt idx="72">
                  <c:v>658.3</c:v>
                </c:pt>
                <c:pt idx="73">
                  <c:v>649.4</c:v>
                </c:pt>
                <c:pt idx="74">
                  <c:v>653.1</c:v>
                </c:pt>
                <c:pt idx="75">
                  <c:v>641.85</c:v>
                </c:pt>
                <c:pt idx="76">
                  <c:v>640.65</c:v>
                </c:pt>
                <c:pt idx="77">
                  <c:v>668.65</c:v>
                </c:pt>
                <c:pt idx="78">
                  <c:v>654.25</c:v>
                </c:pt>
                <c:pt idx="79">
                  <c:v>648.6</c:v>
                </c:pt>
                <c:pt idx="80">
                  <c:v>647.4</c:v>
                </c:pt>
                <c:pt idx="81">
                  <c:v>642.75</c:v>
                </c:pt>
                <c:pt idx="82">
                  <c:v>637.1</c:v>
                </c:pt>
                <c:pt idx="83">
                  <c:v>629.54999999999995</c:v>
                </c:pt>
                <c:pt idx="84">
                  <c:v>625.6</c:v>
                </c:pt>
                <c:pt idx="85">
                  <c:v>628.65</c:v>
                </c:pt>
                <c:pt idx="86">
                  <c:v>620.1</c:v>
                </c:pt>
                <c:pt idx="87">
                  <c:v>612.15</c:v>
                </c:pt>
                <c:pt idx="88">
                  <c:v>612.54999999999995</c:v>
                </c:pt>
                <c:pt idx="89">
                  <c:v>615.25</c:v>
                </c:pt>
                <c:pt idx="90">
                  <c:v>659.9</c:v>
                </c:pt>
                <c:pt idx="91">
                  <c:v>638.20000000000005</c:v>
                </c:pt>
                <c:pt idx="92">
                  <c:v>637</c:v>
                </c:pt>
                <c:pt idx="93">
                  <c:v>656.75</c:v>
                </c:pt>
                <c:pt idx="94">
                  <c:v>633.4</c:v>
                </c:pt>
                <c:pt idx="95">
                  <c:v>626.54999999999995</c:v>
                </c:pt>
                <c:pt idx="96">
                  <c:v>626.04999999999995</c:v>
                </c:pt>
                <c:pt idx="97">
                  <c:v>626.35</c:v>
                </c:pt>
                <c:pt idx="98">
                  <c:v>645.95000000000005</c:v>
                </c:pt>
                <c:pt idx="99">
                  <c:v>651.95000000000005</c:v>
                </c:pt>
                <c:pt idx="100">
                  <c:v>661.2</c:v>
                </c:pt>
                <c:pt idx="101">
                  <c:v>703.25</c:v>
                </c:pt>
                <c:pt idx="102">
                  <c:v>704.35</c:v>
                </c:pt>
                <c:pt idx="103">
                  <c:v>716.05</c:v>
                </c:pt>
                <c:pt idx="104">
                  <c:v>733.9</c:v>
                </c:pt>
                <c:pt idx="105">
                  <c:v>741.65</c:v>
                </c:pt>
                <c:pt idx="106">
                  <c:v>754.4</c:v>
                </c:pt>
                <c:pt idx="107">
                  <c:v>746.05</c:v>
                </c:pt>
                <c:pt idx="108">
                  <c:v>741.2</c:v>
                </c:pt>
                <c:pt idx="109">
                  <c:v>754.55</c:v>
                </c:pt>
                <c:pt idx="110">
                  <c:v>772.75</c:v>
                </c:pt>
                <c:pt idx="111">
                  <c:v>792.85</c:v>
                </c:pt>
                <c:pt idx="112">
                  <c:v>811.1</c:v>
                </c:pt>
                <c:pt idx="113">
                  <c:v>816.95</c:v>
                </c:pt>
                <c:pt idx="114">
                  <c:v>844.2</c:v>
                </c:pt>
                <c:pt idx="115">
                  <c:v>844.05</c:v>
                </c:pt>
                <c:pt idx="116">
                  <c:v>831.75</c:v>
                </c:pt>
                <c:pt idx="117">
                  <c:v>845.65</c:v>
                </c:pt>
                <c:pt idx="118">
                  <c:v>838.65</c:v>
                </c:pt>
                <c:pt idx="119">
                  <c:v>828.05</c:v>
                </c:pt>
                <c:pt idx="120">
                  <c:v>832</c:v>
                </c:pt>
                <c:pt idx="121">
                  <c:v>832.5</c:v>
                </c:pt>
                <c:pt idx="122">
                  <c:v>798.5</c:v>
                </c:pt>
                <c:pt idx="123">
                  <c:v>762.9</c:v>
                </c:pt>
                <c:pt idx="124">
                  <c:v>763.15</c:v>
                </c:pt>
                <c:pt idx="125">
                  <c:v>790.35</c:v>
                </c:pt>
                <c:pt idx="126">
                  <c:v>792.55</c:v>
                </c:pt>
                <c:pt idx="127">
                  <c:v>799.8</c:v>
                </c:pt>
                <c:pt idx="128">
                  <c:v>814.8</c:v>
                </c:pt>
                <c:pt idx="129">
                  <c:v>806.05</c:v>
                </c:pt>
                <c:pt idx="130">
                  <c:v>799.75</c:v>
                </c:pt>
                <c:pt idx="131">
                  <c:v>793.8</c:v>
                </c:pt>
                <c:pt idx="132">
                  <c:v>794.25</c:v>
                </c:pt>
                <c:pt idx="133">
                  <c:v>779.4</c:v>
                </c:pt>
                <c:pt idx="134">
                  <c:v>782.3</c:v>
                </c:pt>
                <c:pt idx="135">
                  <c:v>784.6</c:v>
                </c:pt>
                <c:pt idx="136">
                  <c:v>784.75</c:v>
                </c:pt>
                <c:pt idx="137">
                  <c:v>774.55</c:v>
                </c:pt>
                <c:pt idx="138">
                  <c:v>772</c:v>
                </c:pt>
                <c:pt idx="139">
                  <c:v>768.1</c:v>
                </c:pt>
                <c:pt idx="140">
                  <c:v>751.2</c:v>
                </c:pt>
                <c:pt idx="141">
                  <c:v>752.1</c:v>
                </c:pt>
                <c:pt idx="142">
                  <c:v>758</c:v>
                </c:pt>
                <c:pt idx="143">
                  <c:v>773.6</c:v>
                </c:pt>
                <c:pt idx="144">
                  <c:v>784.05</c:v>
                </c:pt>
                <c:pt idx="145">
                  <c:v>785.7</c:v>
                </c:pt>
                <c:pt idx="146">
                  <c:v>797</c:v>
                </c:pt>
                <c:pt idx="147">
                  <c:v>795.05</c:v>
                </c:pt>
                <c:pt idx="148">
                  <c:v>801.4</c:v>
                </c:pt>
                <c:pt idx="149">
                  <c:v>779.6</c:v>
                </c:pt>
                <c:pt idx="150">
                  <c:v>789.1</c:v>
                </c:pt>
                <c:pt idx="151">
                  <c:v>796.95</c:v>
                </c:pt>
                <c:pt idx="152">
                  <c:v>795.8</c:v>
                </c:pt>
                <c:pt idx="153">
                  <c:v>812.65</c:v>
                </c:pt>
                <c:pt idx="154">
                  <c:v>807.8</c:v>
                </c:pt>
                <c:pt idx="155">
                  <c:v>798.55</c:v>
                </c:pt>
                <c:pt idx="156">
                  <c:v>812.55</c:v>
                </c:pt>
                <c:pt idx="157">
                  <c:v>801.6</c:v>
                </c:pt>
                <c:pt idx="158">
                  <c:v>814.05</c:v>
                </c:pt>
                <c:pt idx="159">
                  <c:v>811.6</c:v>
                </c:pt>
                <c:pt idx="160">
                  <c:v>816.5</c:v>
                </c:pt>
                <c:pt idx="161">
                  <c:v>816.35</c:v>
                </c:pt>
                <c:pt idx="162">
                  <c:v>807.7</c:v>
                </c:pt>
                <c:pt idx="163">
                  <c:v>810.35</c:v>
                </c:pt>
                <c:pt idx="164">
                  <c:v>809.75</c:v>
                </c:pt>
                <c:pt idx="165">
                  <c:v>810.8</c:v>
                </c:pt>
                <c:pt idx="166">
                  <c:v>810</c:v>
                </c:pt>
                <c:pt idx="167">
                  <c:v>813.2</c:v>
                </c:pt>
                <c:pt idx="168">
                  <c:v>830.25</c:v>
                </c:pt>
                <c:pt idx="169">
                  <c:v>851.85</c:v>
                </c:pt>
                <c:pt idx="170">
                  <c:v>854.25</c:v>
                </c:pt>
                <c:pt idx="171">
                  <c:v>854.35</c:v>
                </c:pt>
                <c:pt idx="172">
                  <c:v>859.45</c:v>
                </c:pt>
                <c:pt idx="173">
                  <c:v>860.75</c:v>
                </c:pt>
                <c:pt idx="174">
                  <c:v>858.35</c:v>
                </c:pt>
                <c:pt idx="175">
                  <c:v>854.9</c:v>
                </c:pt>
                <c:pt idx="176">
                  <c:v>854.1</c:v>
                </c:pt>
                <c:pt idx="177">
                  <c:v>855.25</c:v>
                </c:pt>
                <c:pt idx="178">
                  <c:v>856.25</c:v>
                </c:pt>
                <c:pt idx="179">
                  <c:v>863.55</c:v>
                </c:pt>
                <c:pt idx="180">
                  <c:v>872</c:v>
                </c:pt>
                <c:pt idx="181">
                  <c:v>877.95</c:v>
                </c:pt>
                <c:pt idx="182">
                  <c:v>878.55</c:v>
                </c:pt>
                <c:pt idx="183">
                  <c:v>876.45</c:v>
                </c:pt>
                <c:pt idx="184">
                  <c:v>869.95</c:v>
                </c:pt>
                <c:pt idx="185">
                  <c:v>870.65</c:v>
                </c:pt>
                <c:pt idx="186">
                  <c:v>870.7</c:v>
                </c:pt>
                <c:pt idx="187">
                  <c:v>881.55</c:v>
                </c:pt>
                <c:pt idx="188">
                  <c:v>871.5</c:v>
                </c:pt>
                <c:pt idx="189">
                  <c:v>842.9</c:v>
                </c:pt>
                <c:pt idx="190">
                  <c:v>840.6</c:v>
                </c:pt>
                <c:pt idx="191">
                  <c:v>850.85</c:v>
                </c:pt>
                <c:pt idx="192">
                  <c:v>853.3</c:v>
                </c:pt>
                <c:pt idx="193">
                  <c:v>862.45</c:v>
                </c:pt>
                <c:pt idx="194">
                  <c:v>864.35</c:v>
                </c:pt>
                <c:pt idx="195">
                  <c:v>853.85</c:v>
                </c:pt>
                <c:pt idx="196">
                  <c:v>850</c:v>
                </c:pt>
                <c:pt idx="197">
                  <c:v>849.9</c:v>
                </c:pt>
                <c:pt idx="198">
                  <c:v>850.9</c:v>
                </c:pt>
                <c:pt idx="199">
                  <c:v>859.6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E-4B47-B113-4519BE4D12A2}"/>
            </c:ext>
          </c:extLst>
        </c:ser>
        <c:ser>
          <c:idx val="4"/>
          <c:order val="4"/>
          <c:tx>
            <c:strRef>
              <c:f>'Stock Performance'!$F$1</c:f>
              <c:strCache>
                <c:ptCount val="1"/>
                <c:pt idx="0">
                  <c:v>No. of Trades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'Stock Performance'!$A$2:$A$362</c:f>
              <c:numCache>
                <c:formatCode>d\-mmm\-yy</c:formatCode>
                <c:ptCount val="20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44641</c:v>
                </c:pt>
                <c:pt idx="53">
                  <c:v>44642</c:v>
                </c:pt>
                <c:pt idx="54">
                  <c:v>44643</c:v>
                </c:pt>
                <c:pt idx="55">
                  <c:v>44644</c:v>
                </c:pt>
                <c:pt idx="56">
                  <c:v>44645</c:v>
                </c:pt>
                <c:pt idx="57">
                  <c:v>44648</c:v>
                </c:pt>
                <c:pt idx="58">
                  <c:v>44649</c:v>
                </c:pt>
                <c:pt idx="59">
                  <c:v>44650</c:v>
                </c:pt>
                <c:pt idx="60">
                  <c:v>44651</c:v>
                </c:pt>
                <c:pt idx="61">
                  <c:v>44652</c:v>
                </c:pt>
                <c:pt idx="62">
                  <c:v>44655</c:v>
                </c:pt>
                <c:pt idx="63">
                  <c:v>44656</c:v>
                </c:pt>
                <c:pt idx="64">
                  <c:v>44657</c:v>
                </c:pt>
                <c:pt idx="65">
                  <c:v>44658</c:v>
                </c:pt>
                <c:pt idx="66">
                  <c:v>44659</c:v>
                </c:pt>
                <c:pt idx="67">
                  <c:v>44662</c:v>
                </c:pt>
                <c:pt idx="68">
                  <c:v>44663</c:v>
                </c:pt>
                <c:pt idx="69">
                  <c:v>44664</c:v>
                </c:pt>
                <c:pt idx="70">
                  <c:v>44669</c:v>
                </c:pt>
                <c:pt idx="71">
                  <c:v>44670</c:v>
                </c:pt>
                <c:pt idx="72">
                  <c:v>44671</c:v>
                </c:pt>
                <c:pt idx="73">
                  <c:v>44672</c:v>
                </c:pt>
                <c:pt idx="74">
                  <c:v>44673</c:v>
                </c:pt>
                <c:pt idx="75">
                  <c:v>44676</c:v>
                </c:pt>
                <c:pt idx="76">
                  <c:v>44677</c:v>
                </c:pt>
                <c:pt idx="77">
                  <c:v>44678</c:v>
                </c:pt>
                <c:pt idx="78">
                  <c:v>44679</c:v>
                </c:pt>
                <c:pt idx="79">
                  <c:v>44680</c:v>
                </c:pt>
                <c:pt idx="80">
                  <c:v>44683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44711</c:v>
                </c:pt>
                <c:pt idx="100">
                  <c:v>44712</c:v>
                </c:pt>
                <c:pt idx="101">
                  <c:v>44928</c:v>
                </c:pt>
                <c:pt idx="102">
                  <c:v>44929</c:v>
                </c:pt>
                <c:pt idx="103">
                  <c:v>44930</c:v>
                </c:pt>
                <c:pt idx="104">
                  <c:v>44931</c:v>
                </c:pt>
                <c:pt idx="105">
                  <c:v>44932</c:v>
                </c:pt>
                <c:pt idx="106">
                  <c:v>44935</c:v>
                </c:pt>
                <c:pt idx="107">
                  <c:v>44936</c:v>
                </c:pt>
                <c:pt idx="108">
                  <c:v>44937</c:v>
                </c:pt>
                <c:pt idx="109">
                  <c:v>44938</c:v>
                </c:pt>
                <c:pt idx="110">
                  <c:v>44939</c:v>
                </c:pt>
                <c:pt idx="111">
                  <c:v>44942</c:v>
                </c:pt>
                <c:pt idx="112">
                  <c:v>44943</c:v>
                </c:pt>
                <c:pt idx="113">
                  <c:v>44944</c:v>
                </c:pt>
                <c:pt idx="114">
                  <c:v>44945</c:v>
                </c:pt>
                <c:pt idx="115">
                  <c:v>44946</c:v>
                </c:pt>
                <c:pt idx="116">
                  <c:v>44949</c:v>
                </c:pt>
                <c:pt idx="117">
                  <c:v>44950</c:v>
                </c:pt>
                <c:pt idx="118">
                  <c:v>44951</c:v>
                </c:pt>
                <c:pt idx="119">
                  <c:v>44953</c:v>
                </c:pt>
                <c:pt idx="120">
                  <c:v>44956</c:v>
                </c:pt>
                <c:pt idx="121">
                  <c:v>44957</c:v>
                </c:pt>
                <c:pt idx="122">
                  <c:v>44958</c:v>
                </c:pt>
                <c:pt idx="123">
                  <c:v>44959</c:v>
                </c:pt>
                <c:pt idx="124">
                  <c:v>44960</c:v>
                </c:pt>
                <c:pt idx="125">
                  <c:v>44963</c:v>
                </c:pt>
                <c:pt idx="126">
                  <c:v>44964</c:v>
                </c:pt>
                <c:pt idx="127">
                  <c:v>44965</c:v>
                </c:pt>
                <c:pt idx="128">
                  <c:v>44966</c:v>
                </c:pt>
                <c:pt idx="129">
                  <c:v>44967</c:v>
                </c:pt>
                <c:pt idx="130">
                  <c:v>44970</c:v>
                </c:pt>
                <c:pt idx="131">
                  <c:v>44971</c:v>
                </c:pt>
                <c:pt idx="132">
                  <c:v>44972</c:v>
                </c:pt>
                <c:pt idx="133">
                  <c:v>44973</c:v>
                </c:pt>
                <c:pt idx="134">
                  <c:v>44974</c:v>
                </c:pt>
                <c:pt idx="135">
                  <c:v>44977</c:v>
                </c:pt>
                <c:pt idx="136">
                  <c:v>44978</c:v>
                </c:pt>
                <c:pt idx="137">
                  <c:v>44979</c:v>
                </c:pt>
                <c:pt idx="138">
                  <c:v>44980</c:v>
                </c:pt>
                <c:pt idx="139">
                  <c:v>44981</c:v>
                </c:pt>
                <c:pt idx="140">
                  <c:v>44984</c:v>
                </c:pt>
                <c:pt idx="141">
                  <c:v>44985</c:v>
                </c:pt>
                <c:pt idx="142">
                  <c:v>44986</c:v>
                </c:pt>
                <c:pt idx="143">
                  <c:v>44987</c:v>
                </c:pt>
                <c:pt idx="144">
                  <c:v>44988</c:v>
                </c:pt>
                <c:pt idx="145">
                  <c:v>44991</c:v>
                </c:pt>
                <c:pt idx="146">
                  <c:v>44993</c:v>
                </c:pt>
                <c:pt idx="147">
                  <c:v>44994</c:v>
                </c:pt>
                <c:pt idx="148">
                  <c:v>44995</c:v>
                </c:pt>
                <c:pt idx="149">
                  <c:v>44998</c:v>
                </c:pt>
                <c:pt idx="150">
                  <c:v>44999</c:v>
                </c:pt>
                <c:pt idx="151">
                  <c:v>45000</c:v>
                </c:pt>
                <c:pt idx="152">
                  <c:v>45001</c:v>
                </c:pt>
                <c:pt idx="153">
                  <c:v>45002</c:v>
                </c:pt>
                <c:pt idx="154">
                  <c:v>45005</c:v>
                </c:pt>
                <c:pt idx="155">
                  <c:v>45006</c:v>
                </c:pt>
                <c:pt idx="156">
                  <c:v>45007</c:v>
                </c:pt>
                <c:pt idx="157">
                  <c:v>45008</c:v>
                </c:pt>
                <c:pt idx="158">
                  <c:v>45009</c:v>
                </c:pt>
                <c:pt idx="159">
                  <c:v>45012</c:v>
                </c:pt>
                <c:pt idx="160">
                  <c:v>45013</c:v>
                </c:pt>
                <c:pt idx="161">
                  <c:v>45014</c:v>
                </c:pt>
                <c:pt idx="162">
                  <c:v>45016</c:v>
                </c:pt>
                <c:pt idx="163">
                  <c:v>45019</c:v>
                </c:pt>
                <c:pt idx="164">
                  <c:v>45021</c:v>
                </c:pt>
                <c:pt idx="165">
                  <c:v>45022</c:v>
                </c:pt>
                <c:pt idx="166">
                  <c:v>45026</c:v>
                </c:pt>
                <c:pt idx="167">
                  <c:v>45027</c:v>
                </c:pt>
                <c:pt idx="168">
                  <c:v>45028</c:v>
                </c:pt>
                <c:pt idx="169">
                  <c:v>45029</c:v>
                </c:pt>
                <c:pt idx="170">
                  <c:v>45033</c:v>
                </c:pt>
                <c:pt idx="171">
                  <c:v>45034</c:v>
                </c:pt>
                <c:pt idx="172">
                  <c:v>45035</c:v>
                </c:pt>
                <c:pt idx="173">
                  <c:v>45036</c:v>
                </c:pt>
                <c:pt idx="174">
                  <c:v>45037</c:v>
                </c:pt>
                <c:pt idx="175">
                  <c:v>45040</c:v>
                </c:pt>
                <c:pt idx="176">
                  <c:v>45041</c:v>
                </c:pt>
                <c:pt idx="177">
                  <c:v>45042</c:v>
                </c:pt>
                <c:pt idx="178">
                  <c:v>45043</c:v>
                </c:pt>
                <c:pt idx="179">
                  <c:v>45044</c:v>
                </c:pt>
                <c:pt idx="180">
                  <c:v>45048</c:v>
                </c:pt>
                <c:pt idx="181">
                  <c:v>45049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</c:numCache>
            </c:numRef>
          </c:cat>
          <c:val>
            <c:numRef>
              <c:f>'Stock Performance'!$F$2:$F$362</c:f>
            </c:numRef>
          </c:val>
          <c:smooth val="0"/>
          <c:extLst>
            <c:ext xmlns:c16="http://schemas.microsoft.com/office/drawing/2014/chart" uri="{C3380CC4-5D6E-409C-BE32-E72D297353CC}">
              <c16:uniqueId val="{00000004-029E-4B47-B113-4519BE4D12A2}"/>
            </c:ext>
          </c:extLst>
        </c:ser>
        <c:ser>
          <c:idx val="5"/>
          <c:order val="5"/>
          <c:tx>
            <c:strRef>
              <c:f>'Stock Performance'!$G$1</c:f>
              <c:strCache>
                <c:ptCount val="1"/>
                <c:pt idx="0">
                  <c:v>Total Turnover(In lac)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'Stock Performance'!$A$2:$A$362</c:f>
              <c:numCache>
                <c:formatCode>d\-mmm\-yy</c:formatCode>
                <c:ptCount val="20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44641</c:v>
                </c:pt>
                <c:pt idx="53">
                  <c:v>44642</c:v>
                </c:pt>
                <c:pt idx="54">
                  <c:v>44643</c:v>
                </c:pt>
                <c:pt idx="55">
                  <c:v>44644</c:v>
                </c:pt>
                <c:pt idx="56">
                  <c:v>44645</c:v>
                </c:pt>
                <c:pt idx="57">
                  <c:v>44648</c:v>
                </c:pt>
                <c:pt idx="58">
                  <c:v>44649</c:v>
                </c:pt>
                <c:pt idx="59">
                  <c:v>44650</c:v>
                </c:pt>
                <c:pt idx="60">
                  <c:v>44651</c:v>
                </c:pt>
                <c:pt idx="61">
                  <c:v>44652</c:v>
                </c:pt>
                <c:pt idx="62">
                  <c:v>44655</c:v>
                </c:pt>
                <c:pt idx="63">
                  <c:v>44656</c:v>
                </c:pt>
                <c:pt idx="64">
                  <c:v>44657</c:v>
                </c:pt>
                <c:pt idx="65">
                  <c:v>44658</c:v>
                </c:pt>
                <c:pt idx="66">
                  <c:v>44659</c:v>
                </c:pt>
                <c:pt idx="67">
                  <c:v>44662</c:v>
                </c:pt>
                <c:pt idx="68">
                  <c:v>44663</c:v>
                </c:pt>
                <c:pt idx="69">
                  <c:v>44664</c:v>
                </c:pt>
                <c:pt idx="70">
                  <c:v>44669</c:v>
                </c:pt>
                <c:pt idx="71">
                  <c:v>44670</c:v>
                </c:pt>
                <c:pt idx="72">
                  <c:v>44671</c:v>
                </c:pt>
                <c:pt idx="73">
                  <c:v>44672</c:v>
                </c:pt>
                <c:pt idx="74">
                  <c:v>44673</c:v>
                </c:pt>
                <c:pt idx="75">
                  <c:v>44676</c:v>
                </c:pt>
                <c:pt idx="76">
                  <c:v>44677</c:v>
                </c:pt>
                <c:pt idx="77">
                  <c:v>44678</c:v>
                </c:pt>
                <c:pt idx="78">
                  <c:v>44679</c:v>
                </c:pt>
                <c:pt idx="79">
                  <c:v>44680</c:v>
                </c:pt>
                <c:pt idx="80">
                  <c:v>44683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44711</c:v>
                </c:pt>
                <c:pt idx="100">
                  <c:v>44712</c:v>
                </c:pt>
                <c:pt idx="101">
                  <c:v>44928</c:v>
                </c:pt>
                <c:pt idx="102">
                  <c:v>44929</c:v>
                </c:pt>
                <c:pt idx="103">
                  <c:v>44930</c:v>
                </c:pt>
                <c:pt idx="104">
                  <c:v>44931</c:v>
                </c:pt>
                <c:pt idx="105">
                  <c:v>44932</c:v>
                </c:pt>
                <c:pt idx="106">
                  <c:v>44935</c:v>
                </c:pt>
                <c:pt idx="107">
                  <c:v>44936</c:v>
                </c:pt>
                <c:pt idx="108">
                  <c:v>44937</c:v>
                </c:pt>
                <c:pt idx="109">
                  <c:v>44938</c:v>
                </c:pt>
                <c:pt idx="110">
                  <c:v>44939</c:v>
                </c:pt>
                <c:pt idx="111">
                  <c:v>44942</c:v>
                </c:pt>
                <c:pt idx="112">
                  <c:v>44943</c:v>
                </c:pt>
                <c:pt idx="113">
                  <c:v>44944</c:v>
                </c:pt>
                <c:pt idx="114">
                  <c:v>44945</c:v>
                </c:pt>
                <c:pt idx="115">
                  <c:v>44946</c:v>
                </c:pt>
                <c:pt idx="116">
                  <c:v>44949</c:v>
                </c:pt>
                <c:pt idx="117">
                  <c:v>44950</c:v>
                </c:pt>
                <c:pt idx="118">
                  <c:v>44951</c:v>
                </c:pt>
                <c:pt idx="119">
                  <c:v>44953</c:v>
                </c:pt>
                <c:pt idx="120">
                  <c:v>44956</c:v>
                </c:pt>
                <c:pt idx="121">
                  <c:v>44957</c:v>
                </c:pt>
                <c:pt idx="122">
                  <c:v>44958</c:v>
                </c:pt>
                <c:pt idx="123">
                  <c:v>44959</c:v>
                </c:pt>
                <c:pt idx="124">
                  <c:v>44960</c:v>
                </c:pt>
                <c:pt idx="125">
                  <c:v>44963</c:v>
                </c:pt>
                <c:pt idx="126">
                  <c:v>44964</c:v>
                </c:pt>
                <c:pt idx="127">
                  <c:v>44965</c:v>
                </c:pt>
                <c:pt idx="128">
                  <c:v>44966</c:v>
                </c:pt>
                <c:pt idx="129">
                  <c:v>44967</c:v>
                </c:pt>
                <c:pt idx="130">
                  <c:v>44970</c:v>
                </c:pt>
                <c:pt idx="131">
                  <c:v>44971</c:v>
                </c:pt>
                <c:pt idx="132">
                  <c:v>44972</c:v>
                </c:pt>
                <c:pt idx="133">
                  <c:v>44973</c:v>
                </c:pt>
                <c:pt idx="134">
                  <c:v>44974</c:v>
                </c:pt>
                <c:pt idx="135">
                  <c:v>44977</c:v>
                </c:pt>
                <c:pt idx="136">
                  <c:v>44978</c:v>
                </c:pt>
                <c:pt idx="137">
                  <c:v>44979</c:v>
                </c:pt>
                <c:pt idx="138">
                  <c:v>44980</c:v>
                </c:pt>
                <c:pt idx="139">
                  <c:v>44981</c:v>
                </c:pt>
                <c:pt idx="140">
                  <c:v>44984</c:v>
                </c:pt>
                <c:pt idx="141">
                  <c:v>44985</c:v>
                </c:pt>
                <c:pt idx="142">
                  <c:v>44986</c:v>
                </c:pt>
                <c:pt idx="143">
                  <c:v>44987</c:v>
                </c:pt>
                <c:pt idx="144">
                  <c:v>44988</c:v>
                </c:pt>
                <c:pt idx="145">
                  <c:v>44991</c:v>
                </c:pt>
                <c:pt idx="146">
                  <c:v>44993</c:v>
                </c:pt>
                <c:pt idx="147">
                  <c:v>44994</c:v>
                </c:pt>
                <c:pt idx="148">
                  <c:v>44995</c:v>
                </c:pt>
                <c:pt idx="149">
                  <c:v>44998</c:v>
                </c:pt>
                <c:pt idx="150">
                  <c:v>44999</c:v>
                </c:pt>
                <c:pt idx="151">
                  <c:v>45000</c:v>
                </c:pt>
                <c:pt idx="152">
                  <c:v>45001</c:v>
                </c:pt>
                <c:pt idx="153">
                  <c:v>45002</c:v>
                </c:pt>
                <c:pt idx="154">
                  <c:v>45005</c:v>
                </c:pt>
                <c:pt idx="155">
                  <c:v>45006</c:v>
                </c:pt>
                <c:pt idx="156">
                  <c:v>45007</c:v>
                </c:pt>
                <c:pt idx="157">
                  <c:v>45008</c:v>
                </c:pt>
                <c:pt idx="158">
                  <c:v>45009</c:v>
                </c:pt>
                <c:pt idx="159">
                  <c:v>45012</c:v>
                </c:pt>
                <c:pt idx="160">
                  <c:v>45013</c:v>
                </c:pt>
                <c:pt idx="161">
                  <c:v>45014</c:v>
                </c:pt>
                <c:pt idx="162">
                  <c:v>45016</c:v>
                </c:pt>
                <c:pt idx="163">
                  <c:v>45019</c:v>
                </c:pt>
                <c:pt idx="164">
                  <c:v>45021</c:v>
                </c:pt>
                <c:pt idx="165">
                  <c:v>45022</c:v>
                </c:pt>
                <c:pt idx="166">
                  <c:v>45026</c:v>
                </c:pt>
                <c:pt idx="167">
                  <c:v>45027</c:v>
                </c:pt>
                <c:pt idx="168">
                  <c:v>45028</c:v>
                </c:pt>
                <c:pt idx="169">
                  <c:v>45029</c:v>
                </c:pt>
                <c:pt idx="170">
                  <c:v>45033</c:v>
                </c:pt>
                <c:pt idx="171">
                  <c:v>45034</c:v>
                </c:pt>
                <c:pt idx="172">
                  <c:v>45035</c:v>
                </c:pt>
                <c:pt idx="173">
                  <c:v>45036</c:v>
                </c:pt>
                <c:pt idx="174">
                  <c:v>45037</c:v>
                </c:pt>
                <c:pt idx="175">
                  <c:v>45040</c:v>
                </c:pt>
                <c:pt idx="176">
                  <c:v>45041</c:v>
                </c:pt>
                <c:pt idx="177">
                  <c:v>45042</c:v>
                </c:pt>
                <c:pt idx="178">
                  <c:v>45043</c:v>
                </c:pt>
                <c:pt idx="179">
                  <c:v>45044</c:v>
                </c:pt>
                <c:pt idx="180">
                  <c:v>45048</c:v>
                </c:pt>
                <c:pt idx="181">
                  <c:v>45049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</c:numCache>
            </c:numRef>
          </c:cat>
          <c:val>
            <c:numRef>
              <c:f>'Stock Performance'!$G$2:$G$362</c:f>
            </c:numRef>
          </c:val>
          <c:smooth val="0"/>
          <c:extLst>
            <c:ext xmlns:c16="http://schemas.microsoft.com/office/drawing/2014/chart" uri="{C3380CC4-5D6E-409C-BE32-E72D297353CC}">
              <c16:uniqueId val="{00000005-029E-4B47-B113-4519BE4D12A2}"/>
            </c:ext>
          </c:extLst>
        </c:ser>
        <c:ser>
          <c:idx val="6"/>
          <c:order val="6"/>
          <c:tx>
            <c:strRef>
              <c:f>'Stock Performance'!$H$1</c:f>
              <c:strCache>
                <c:ptCount val="1"/>
                <c:pt idx="0">
                  <c:v>Deliverable Quantity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'Stock Performance'!$A$2:$A$362</c:f>
              <c:numCache>
                <c:formatCode>d\-mmm\-yy</c:formatCode>
                <c:ptCount val="20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44641</c:v>
                </c:pt>
                <c:pt idx="53">
                  <c:v>44642</c:v>
                </c:pt>
                <c:pt idx="54">
                  <c:v>44643</c:v>
                </c:pt>
                <c:pt idx="55">
                  <c:v>44644</c:v>
                </c:pt>
                <c:pt idx="56">
                  <c:v>44645</c:v>
                </c:pt>
                <c:pt idx="57">
                  <c:v>44648</c:v>
                </c:pt>
                <c:pt idx="58">
                  <c:v>44649</c:v>
                </c:pt>
                <c:pt idx="59">
                  <c:v>44650</c:v>
                </c:pt>
                <c:pt idx="60">
                  <c:v>44651</c:v>
                </c:pt>
                <c:pt idx="61">
                  <c:v>44652</c:v>
                </c:pt>
                <c:pt idx="62">
                  <c:v>44655</c:v>
                </c:pt>
                <c:pt idx="63">
                  <c:v>44656</c:v>
                </c:pt>
                <c:pt idx="64">
                  <c:v>44657</c:v>
                </c:pt>
                <c:pt idx="65">
                  <c:v>44658</c:v>
                </c:pt>
                <c:pt idx="66">
                  <c:v>44659</c:v>
                </c:pt>
                <c:pt idx="67">
                  <c:v>44662</c:v>
                </c:pt>
                <c:pt idx="68">
                  <c:v>44663</c:v>
                </c:pt>
                <c:pt idx="69">
                  <c:v>44664</c:v>
                </c:pt>
                <c:pt idx="70">
                  <c:v>44669</c:v>
                </c:pt>
                <c:pt idx="71">
                  <c:v>44670</c:v>
                </c:pt>
                <c:pt idx="72">
                  <c:v>44671</c:v>
                </c:pt>
                <c:pt idx="73">
                  <c:v>44672</c:v>
                </c:pt>
                <c:pt idx="74">
                  <c:v>44673</c:v>
                </c:pt>
                <c:pt idx="75">
                  <c:v>44676</c:v>
                </c:pt>
                <c:pt idx="76">
                  <c:v>44677</c:v>
                </c:pt>
                <c:pt idx="77">
                  <c:v>44678</c:v>
                </c:pt>
                <c:pt idx="78">
                  <c:v>44679</c:v>
                </c:pt>
                <c:pt idx="79">
                  <c:v>44680</c:v>
                </c:pt>
                <c:pt idx="80">
                  <c:v>44683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44711</c:v>
                </c:pt>
                <c:pt idx="100">
                  <c:v>44712</c:v>
                </c:pt>
                <c:pt idx="101">
                  <c:v>44928</c:v>
                </c:pt>
                <c:pt idx="102">
                  <c:v>44929</c:v>
                </c:pt>
                <c:pt idx="103">
                  <c:v>44930</c:v>
                </c:pt>
                <c:pt idx="104">
                  <c:v>44931</c:v>
                </c:pt>
                <c:pt idx="105">
                  <c:v>44932</c:v>
                </c:pt>
                <c:pt idx="106">
                  <c:v>44935</c:v>
                </c:pt>
                <c:pt idx="107">
                  <c:v>44936</c:v>
                </c:pt>
                <c:pt idx="108">
                  <c:v>44937</c:v>
                </c:pt>
                <c:pt idx="109">
                  <c:v>44938</c:v>
                </c:pt>
                <c:pt idx="110">
                  <c:v>44939</c:v>
                </c:pt>
                <c:pt idx="111">
                  <c:v>44942</c:v>
                </c:pt>
                <c:pt idx="112">
                  <c:v>44943</c:v>
                </c:pt>
                <c:pt idx="113">
                  <c:v>44944</c:v>
                </c:pt>
                <c:pt idx="114">
                  <c:v>44945</c:v>
                </c:pt>
                <c:pt idx="115">
                  <c:v>44946</c:v>
                </c:pt>
                <c:pt idx="116">
                  <c:v>44949</c:v>
                </c:pt>
                <c:pt idx="117">
                  <c:v>44950</c:v>
                </c:pt>
                <c:pt idx="118">
                  <c:v>44951</c:v>
                </c:pt>
                <c:pt idx="119">
                  <c:v>44953</c:v>
                </c:pt>
                <c:pt idx="120">
                  <c:v>44956</c:v>
                </c:pt>
                <c:pt idx="121">
                  <c:v>44957</c:v>
                </c:pt>
                <c:pt idx="122">
                  <c:v>44958</c:v>
                </c:pt>
                <c:pt idx="123">
                  <c:v>44959</c:v>
                </c:pt>
                <c:pt idx="124">
                  <c:v>44960</c:v>
                </c:pt>
                <c:pt idx="125">
                  <c:v>44963</c:v>
                </c:pt>
                <c:pt idx="126">
                  <c:v>44964</c:v>
                </c:pt>
                <c:pt idx="127">
                  <c:v>44965</c:v>
                </c:pt>
                <c:pt idx="128">
                  <c:v>44966</c:v>
                </c:pt>
                <c:pt idx="129">
                  <c:v>44967</c:v>
                </c:pt>
                <c:pt idx="130">
                  <c:v>44970</c:v>
                </c:pt>
                <c:pt idx="131">
                  <c:v>44971</c:v>
                </c:pt>
                <c:pt idx="132">
                  <c:v>44972</c:v>
                </c:pt>
                <c:pt idx="133">
                  <c:v>44973</c:v>
                </c:pt>
                <c:pt idx="134">
                  <c:v>44974</c:v>
                </c:pt>
                <c:pt idx="135">
                  <c:v>44977</c:v>
                </c:pt>
                <c:pt idx="136">
                  <c:v>44978</c:v>
                </c:pt>
                <c:pt idx="137">
                  <c:v>44979</c:v>
                </c:pt>
                <c:pt idx="138">
                  <c:v>44980</c:v>
                </c:pt>
                <c:pt idx="139">
                  <c:v>44981</c:v>
                </c:pt>
                <c:pt idx="140">
                  <c:v>44984</c:v>
                </c:pt>
                <c:pt idx="141">
                  <c:v>44985</c:v>
                </c:pt>
                <c:pt idx="142">
                  <c:v>44986</c:v>
                </c:pt>
                <c:pt idx="143">
                  <c:v>44987</c:v>
                </c:pt>
                <c:pt idx="144">
                  <c:v>44988</c:v>
                </c:pt>
                <c:pt idx="145">
                  <c:v>44991</c:v>
                </c:pt>
                <c:pt idx="146">
                  <c:v>44993</c:v>
                </c:pt>
                <c:pt idx="147">
                  <c:v>44994</c:v>
                </c:pt>
                <c:pt idx="148">
                  <c:v>44995</c:v>
                </c:pt>
                <c:pt idx="149">
                  <c:v>44998</c:v>
                </c:pt>
                <c:pt idx="150">
                  <c:v>44999</c:v>
                </c:pt>
                <c:pt idx="151">
                  <c:v>45000</c:v>
                </c:pt>
                <c:pt idx="152">
                  <c:v>45001</c:v>
                </c:pt>
                <c:pt idx="153">
                  <c:v>45002</c:v>
                </c:pt>
                <c:pt idx="154">
                  <c:v>45005</c:v>
                </c:pt>
                <c:pt idx="155">
                  <c:v>45006</c:v>
                </c:pt>
                <c:pt idx="156">
                  <c:v>45007</c:v>
                </c:pt>
                <c:pt idx="157">
                  <c:v>45008</c:v>
                </c:pt>
                <c:pt idx="158">
                  <c:v>45009</c:v>
                </c:pt>
                <c:pt idx="159">
                  <c:v>45012</c:v>
                </c:pt>
                <c:pt idx="160">
                  <c:v>45013</c:v>
                </c:pt>
                <c:pt idx="161">
                  <c:v>45014</c:v>
                </c:pt>
                <c:pt idx="162">
                  <c:v>45016</c:v>
                </c:pt>
                <c:pt idx="163">
                  <c:v>45019</c:v>
                </c:pt>
                <c:pt idx="164">
                  <c:v>45021</c:v>
                </c:pt>
                <c:pt idx="165">
                  <c:v>45022</c:v>
                </c:pt>
                <c:pt idx="166">
                  <c:v>45026</c:v>
                </c:pt>
                <c:pt idx="167">
                  <c:v>45027</c:v>
                </c:pt>
                <c:pt idx="168">
                  <c:v>45028</c:v>
                </c:pt>
                <c:pt idx="169">
                  <c:v>45029</c:v>
                </c:pt>
                <c:pt idx="170">
                  <c:v>45033</c:v>
                </c:pt>
                <c:pt idx="171">
                  <c:v>45034</c:v>
                </c:pt>
                <c:pt idx="172">
                  <c:v>45035</c:v>
                </c:pt>
                <c:pt idx="173">
                  <c:v>45036</c:v>
                </c:pt>
                <c:pt idx="174">
                  <c:v>45037</c:v>
                </c:pt>
                <c:pt idx="175">
                  <c:v>45040</c:v>
                </c:pt>
                <c:pt idx="176">
                  <c:v>45041</c:v>
                </c:pt>
                <c:pt idx="177">
                  <c:v>45042</c:v>
                </c:pt>
                <c:pt idx="178">
                  <c:v>45043</c:v>
                </c:pt>
                <c:pt idx="179">
                  <c:v>45044</c:v>
                </c:pt>
                <c:pt idx="180">
                  <c:v>45048</c:v>
                </c:pt>
                <c:pt idx="181">
                  <c:v>45049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</c:numCache>
            </c:numRef>
          </c:cat>
          <c:val>
            <c:numRef>
              <c:f>'Stock Performance'!$H$2:$H$362</c:f>
            </c:numRef>
          </c:val>
          <c:smooth val="0"/>
          <c:extLst>
            <c:ext xmlns:c16="http://schemas.microsoft.com/office/drawing/2014/chart" uri="{C3380CC4-5D6E-409C-BE32-E72D297353CC}">
              <c16:uniqueId val="{00000006-029E-4B47-B113-4519BE4D12A2}"/>
            </c:ext>
          </c:extLst>
        </c:ser>
        <c:ser>
          <c:idx val="7"/>
          <c:order val="7"/>
          <c:tx>
            <c:strRef>
              <c:f>'Stock Performance'!$I$1</c:f>
              <c:strCache>
                <c:ptCount val="1"/>
                <c:pt idx="0">
                  <c:v>H-L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'Stock Performance'!$A$2:$A$362</c:f>
              <c:numCache>
                <c:formatCode>d\-mmm\-yy</c:formatCode>
                <c:ptCount val="20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44641</c:v>
                </c:pt>
                <c:pt idx="53">
                  <c:v>44642</c:v>
                </c:pt>
                <c:pt idx="54">
                  <c:v>44643</c:v>
                </c:pt>
                <c:pt idx="55">
                  <c:v>44644</c:v>
                </c:pt>
                <c:pt idx="56">
                  <c:v>44645</c:v>
                </c:pt>
                <c:pt idx="57">
                  <c:v>44648</c:v>
                </c:pt>
                <c:pt idx="58">
                  <c:v>44649</c:v>
                </c:pt>
                <c:pt idx="59">
                  <c:v>44650</c:v>
                </c:pt>
                <c:pt idx="60">
                  <c:v>44651</c:v>
                </c:pt>
                <c:pt idx="61">
                  <c:v>44652</c:v>
                </c:pt>
                <c:pt idx="62">
                  <c:v>44655</c:v>
                </c:pt>
                <c:pt idx="63">
                  <c:v>44656</c:v>
                </c:pt>
                <c:pt idx="64">
                  <c:v>44657</c:v>
                </c:pt>
                <c:pt idx="65">
                  <c:v>44658</c:v>
                </c:pt>
                <c:pt idx="66">
                  <c:v>44659</c:v>
                </c:pt>
                <c:pt idx="67">
                  <c:v>44662</c:v>
                </c:pt>
                <c:pt idx="68">
                  <c:v>44663</c:v>
                </c:pt>
                <c:pt idx="69">
                  <c:v>44664</c:v>
                </c:pt>
                <c:pt idx="70">
                  <c:v>44669</c:v>
                </c:pt>
                <c:pt idx="71">
                  <c:v>44670</c:v>
                </c:pt>
                <c:pt idx="72">
                  <c:v>44671</c:v>
                </c:pt>
                <c:pt idx="73">
                  <c:v>44672</c:v>
                </c:pt>
                <c:pt idx="74">
                  <c:v>44673</c:v>
                </c:pt>
                <c:pt idx="75">
                  <c:v>44676</c:v>
                </c:pt>
                <c:pt idx="76">
                  <c:v>44677</c:v>
                </c:pt>
                <c:pt idx="77">
                  <c:v>44678</c:v>
                </c:pt>
                <c:pt idx="78">
                  <c:v>44679</c:v>
                </c:pt>
                <c:pt idx="79">
                  <c:v>44680</c:v>
                </c:pt>
                <c:pt idx="80">
                  <c:v>44683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44711</c:v>
                </c:pt>
                <c:pt idx="100">
                  <c:v>44712</c:v>
                </c:pt>
                <c:pt idx="101">
                  <c:v>44928</c:v>
                </c:pt>
                <c:pt idx="102">
                  <c:v>44929</c:v>
                </c:pt>
                <c:pt idx="103">
                  <c:v>44930</c:v>
                </c:pt>
                <c:pt idx="104">
                  <c:v>44931</c:v>
                </c:pt>
                <c:pt idx="105">
                  <c:v>44932</c:v>
                </c:pt>
                <c:pt idx="106">
                  <c:v>44935</c:v>
                </c:pt>
                <c:pt idx="107">
                  <c:v>44936</c:v>
                </c:pt>
                <c:pt idx="108">
                  <c:v>44937</c:v>
                </c:pt>
                <c:pt idx="109">
                  <c:v>44938</c:v>
                </c:pt>
                <c:pt idx="110">
                  <c:v>44939</c:v>
                </c:pt>
                <c:pt idx="111">
                  <c:v>44942</c:v>
                </c:pt>
                <c:pt idx="112">
                  <c:v>44943</c:v>
                </c:pt>
                <c:pt idx="113">
                  <c:v>44944</c:v>
                </c:pt>
                <c:pt idx="114">
                  <c:v>44945</c:v>
                </c:pt>
                <c:pt idx="115">
                  <c:v>44946</c:v>
                </c:pt>
                <c:pt idx="116">
                  <c:v>44949</c:v>
                </c:pt>
                <c:pt idx="117">
                  <c:v>44950</c:v>
                </c:pt>
                <c:pt idx="118">
                  <c:v>44951</c:v>
                </c:pt>
                <c:pt idx="119">
                  <c:v>44953</c:v>
                </c:pt>
                <c:pt idx="120">
                  <c:v>44956</c:v>
                </c:pt>
                <c:pt idx="121">
                  <c:v>44957</c:v>
                </c:pt>
                <c:pt idx="122">
                  <c:v>44958</c:v>
                </c:pt>
                <c:pt idx="123">
                  <c:v>44959</c:v>
                </c:pt>
                <c:pt idx="124">
                  <c:v>44960</c:v>
                </c:pt>
                <c:pt idx="125">
                  <c:v>44963</c:v>
                </c:pt>
                <c:pt idx="126">
                  <c:v>44964</c:v>
                </c:pt>
                <c:pt idx="127">
                  <c:v>44965</c:v>
                </c:pt>
                <c:pt idx="128">
                  <c:v>44966</c:v>
                </c:pt>
                <c:pt idx="129">
                  <c:v>44967</c:v>
                </c:pt>
                <c:pt idx="130">
                  <c:v>44970</c:v>
                </c:pt>
                <c:pt idx="131">
                  <c:v>44971</c:v>
                </c:pt>
                <c:pt idx="132">
                  <c:v>44972</c:v>
                </c:pt>
                <c:pt idx="133">
                  <c:v>44973</c:v>
                </c:pt>
                <c:pt idx="134">
                  <c:v>44974</c:v>
                </c:pt>
                <c:pt idx="135">
                  <c:v>44977</c:v>
                </c:pt>
                <c:pt idx="136">
                  <c:v>44978</c:v>
                </c:pt>
                <c:pt idx="137">
                  <c:v>44979</c:v>
                </c:pt>
                <c:pt idx="138">
                  <c:v>44980</c:v>
                </c:pt>
                <c:pt idx="139">
                  <c:v>44981</c:v>
                </c:pt>
                <c:pt idx="140">
                  <c:v>44984</c:v>
                </c:pt>
                <c:pt idx="141">
                  <c:v>44985</c:v>
                </c:pt>
                <c:pt idx="142">
                  <c:v>44986</c:v>
                </c:pt>
                <c:pt idx="143">
                  <c:v>44987</c:v>
                </c:pt>
                <c:pt idx="144">
                  <c:v>44988</c:v>
                </c:pt>
                <c:pt idx="145">
                  <c:v>44991</c:v>
                </c:pt>
                <c:pt idx="146">
                  <c:v>44993</c:v>
                </c:pt>
                <c:pt idx="147">
                  <c:v>44994</c:v>
                </c:pt>
                <c:pt idx="148">
                  <c:v>44995</c:v>
                </c:pt>
                <c:pt idx="149">
                  <c:v>44998</c:v>
                </c:pt>
                <c:pt idx="150">
                  <c:v>44999</c:v>
                </c:pt>
                <c:pt idx="151">
                  <c:v>45000</c:v>
                </c:pt>
                <c:pt idx="152">
                  <c:v>45001</c:v>
                </c:pt>
                <c:pt idx="153">
                  <c:v>45002</c:v>
                </c:pt>
                <c:pt idx="154">
                  <c:v>45005</c:v>
                </c:pt>
                <c:pt idx="155">
                  <c:v>45006</c:v>
                </c:pt>
                <c:pt idx="156">
                  <c:v>45007</c:v>
                </c:pt>
                <c:pt idx="157">
                  <c:v>45008</c:v>
                </c:pt>
                <c:pt idx="158">
                  <c:v>45009</c:v>
                </c:pt>
                <c:pt idx="159">
                  <c:v>45012</c:v>
                </c:pt>
                <c:pt idx="160">
                  <c:v>45013</c:v>
                </c:pt>
                <c:pt idx="161">
                  <c:v>45014</c:v>
                </c:pt>
                <c:pt idx="162">
                  <c:v>45016</c:v>
                </c:pt>
                <c:pt idx="163">
                  <c:v>45019</c:v>
                </c:pt>
                <c:pt idx="164">
                  <c:v>45021</c:v>
                </c:pt>
                <c:pt idx="165">
                  <c:v>45022</c:v>
                </c:pt>
                <c:pt idx="166">
                  <c:v>45026</c:v>
                </c:pt>
                <c:pt idx="167">
                  <c:v>45027</c:v>
                </c:pt>
                <c:pt idx="168">
                  <c:v>45028</c:v>
                </c:pt>
                <c:pt idx="169">
                  <c:v>45029</c:v>
                </c:pt>
                <c:pt idx="170">
                  <c:v>45033</c:v>
                </c:pt>
                <c:pt idx="171">
                  <c:v>45034</c:v>
                </c:pt>
                <c:pt idx="172">
                  <c:v>45035</c:v>
                </c:pt>
                <c:pt idx="173">
                  <c:v>45036</c:v>
                </c:pt>
                <c:pt idx="174">
                  <c:v>45037</c:v>
                </c:pt>
                <c:pt idx="175">
                  <c:v>45040</c:v>
                </c:pt>
                <c:pt idx="176">
                  <c:v>45041</c:v>
                </c:pt>
                <c:pt idx="177">
                  <c:v>45042</c:v>
                </c:pt>
                <c:pt idx="178">
                  <c:v>45043</c:v>
                </c:pt>
                <c:pt idx="179">
                  <c:v>45044</c:v>
                </c:pt>
                <c:pt idx="180">
                  <c:v>45048</c:v>
                </c:pt>
                <c:pt idx="181">
                  <c:v>45049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</c:numCache>
            </c:numRef>
          </c:cat>
          <c:val>
            <c:numRef>
              <c:f>'Stock Performance'!$I$2:$I$362</c:f>
            </c:numRef>
          </c:val>
          <c:smooth val="0"/>
          <c:extLst>
            <c:ext xmlns:c16="http://schemas.microsoft.com/office/drawing/2014/chart" uri="{C3380CC4-5D6E-409C-BE32-E72D297353CC}">
              <c16:uniqueId val="{00000007-029E-4B47-B113-4519BE4D12A2}"/>
            </c:ext>
          </c:extLst>
        </c:ser>
        <c:ser>
          <c:idx val="8"/>
          <c:order val="8"/>
          <c:tx>
            <c:strRef>
              <c:f>'Stock Performance'!$J$1</c:f>
              <c:strCache>
                <c:ptCount val="1"/>
                <c:pt idx="0">
                  <c:v>C-O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'Stock Performance'!$A$2:$A$362</c:f>
              <c:numCache>
                <c:formatCode>d\-mmm\-yy</c:formatCode>
                <c:ptCount val="20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44641</c:v>
                </c:pt>
                <c:pt idx="53">
                  <c:v>44642</c:v>
                </c:pt>
                <c:pt idx="54">
                  <c:v>44643</c:v>
                </c:pt>
                <c:pt idx="55">
                  <c:v>44644</c:v>
                </c:pt>
                <c:pt idx="56">
                  <c:v>44645</c:v>
                </c:pt>
                <c:pt idx="57">
                  <c:v>44648</c:v>
                </c:pt>
                <c:pt idx="58">
                  <c:v>44649</c:v>
                </c:pt>
                <c:pt idx="59">
                  <c:v>44650</c:v>
                </c:pt>
                <c:pt idx="60">
                  <c:v>44651</c:v>
                </c:pt>
                <c:pt idx="61">
                  <c:v>44652</c:v>
                </c:pt>
                <c:pt idx="62">
                  <c:v>44655</c:v>
                </c:pt>
                <c:pt idx="63">
                  <c:v>44656</c:v>
                </c:pt>
                <c:pt idx="64">
                  <c:v>44657</c:v>
                </c:pt>
                <c:pt idx="65">
                  <c:v>44658</c:v>
                </c:pt>
                <c:pt idx="66">
                  <c:v>44659</c:v>
                </c:pt>
                <c:pt idx="67">
                  <c:v>44662</c:v>
                </c:pt>
                <c:pt idx="68">
                  <c:v>44663</c:v>
                </c:pt>
                <c:pt idx="69">
                  <c:v>44664</c:v>
                </c:pt>
                <c:pt idx="70">
                  <c:v>44669</c:v>
                </c:pt>
                <c:pt idx="71">
                  <c:v>44670</c:v>
                </c:pt>
                <c:pt idx="72">
                  <c:v>44671</c:v>
                </c:pt>
                <c:pt idx="73">
                  <c:v>44672</c:v>
                </c:pt>
                <c:pt idx="74">
                  <c:v>44673</c:v>
                </c:pt>
                <c:pt idx="75">
                  <c:v>44676</c:v>
                </c:pt>
                <c:pt idx="76">
                  <c:v>44677</c:v>
                </c:pt>
                <c:pt idx="77">
                  <c:v>44678</c:v>
                </c:pt>
                <c:pt idx="78">
                  <c:v>44679</c:v>
                </c:pt>
                <c:pt idx="79">
                  <c:v>44680</c:v>
                </c:pt>
                <c:pt idx="80">
                  <c:v>44683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44711</c:v>
                </c:pt>
                <c:pt idx="100">
                  <c:v>44712</c:v>
                </c:pt>
                <c:pt idx="101">
                  <c:v>44928</c:v>
                </c:pt>
                <c:pt idx="102">
                  <c:v>44929</c:v>
                </c:pt>
                <c:pt idx="103">
                  <c:v>44930</c:v>
                </c:pt>
                <c:pt idx="104">
                  <c:v>44931</c:v>
                </c:pt>
                <c:pt idx="105">
                  <c:v>44932</c:v>
                </c:pt>
                <c:pt idx="106">
                  <c:v>44935</c:v>
                </c:pt>
                <c:pt idx="107">
                  <c:v>44936</c:v>
                </c:pt>
                <c:pt idx="108">
                  <c:v>44937</c:v>
                </c:pt>
                <c:pt idx="109">
                  <c:v>44938</c:v>
                </c:pt>
                <c:pt idx="110">
                  <c:v>44939</c:v>
                </c:pt>
                <c:pt idx="111">
                  <c:v>44942</c:v>
                </c:pt>
                <c:pt idx="112">
                  <c:v>44943</c:v>
                </c:pt>
                <c:pt idx="113">
                  <c:v>44944</c:v>
                </c:pt>
                <c:pt idx="114">
                  <c:v>44945</c:v>
                </c:pt>
                <c:pt idx="115">
                  <c:v>44946</c:v>
                </c:pt>
                <c:pt idx="116">
                  <c:v>44949</c:v>
                </c:pt>
                <c:pt idx="117">
                  <c:v>44950</c:v>
                </c:pt>
                <c:pt idx="118">
                  <c:v>44951</c:v>
                </c:pt>
                <c:pt idx="119">
                  <c:v>44953</c:v>
                </c:pt>
                <c:pt idx="120">
                  <c:v>44956</c:v>
                </c:pt>
                <c:pt idx="121">
                  <c:v>44957</c:v>
                </c:pt>
                <c:pt idx="122">
                  <c:v>44958</c:v>
                </c:pt>
                <c:pt idx="123">
                  <c:v>44959</c:v>
                </c:pt>
                <c:pt idx="124">
                  <c:v>44960</c:v>
                </c:pt>
                <c:pt idx="125">
                  <c:v>44963</c:v>
                </c:pt>
                <c:pt idx="126">
                  <c:v>44964</c:v>
                </c:pt>
                <c:pt idx="127">
                  <c:v>44965</c:v>
                </c:pt>
                <c:pt idx="128">
                  <c:v>44966</c:v>
                </c:pt>
                <c:pt idx="129">
                  <c:v>44967</c:v>
                </c:pt>
                <c:pt idx="130">
                  <c:v>44970</c:v>
                </c:pt>
                <c:pt idx="131">
                  <c:v>44971</c:v>
                </c:pt>
                <c:pt idx="132">
                  <c:v>44972</c:v>
                </c:pt>
                <c:pt idx="133">
                  <c:v>44973</c:v>
                </c:pt>
                <c:pt idx="134">
                  <c:v>44974</c:v>
                </c:pt>
                <c:pt idx="135">
                  <c:v>44977</c:v>
                </c:pt>
                <c:pt idx="136">
                  <c:v>44978</c:v>
                </c:pt>
                <c:pt idx="137">
                  <c:v>44979</c:v>
                </c:pt>
                <c:pt idx="138">
                  <c:v>44980</c:v>
                </c:pt>
                <c:pt idx="139">
                  <c:v>44981</c:v>
                </c:pt>
                <c:pt idx="140">
                  <c:v>44984</c:v>
                </c:pt>
                <c:pt idx="141">
                  <c:v>44985</c:v>
                </c:pt>
                <c:pt idx="142">
                  <c:v>44986</c:v>
                </c:pt>
                <c:pt idx="143">
                  <c:v>44987</c:v>
                </c:pt>
                <c:pt idx="144">
                  <c:v>44988</c:v>
                </c:pt>
                <c:pt idx="145">
                  <c:v>44991</c:v>
                </c:pt>
                <c:pt idx="146">
                  <c:v>44993</c:v>
                </c:pt>
                <c:pt idx="147">
                  <c:v>44994</c:v>
                </c:pt>
                <c:pt idx="148">
                  <c:v>44995</c:v>
                </c:pt>
                <c:pt idx="149">
                  <c:v>44998</c:v>
                </c:pt>
                <c:pt idx="150">
                  <c:v>44999</c:v>
                </c:pt>
                <c:pt idx="151">
                  <c:v>45000</c:v>
                </c:pt>
                <c:pt idx="152">
                  <c:v>45001</c:v>
                </c:pt>
                <c:pt idx="153">
                  <c:v>45002</c:v>
                </c:pt>
                <c:pt idx="154">
                  <c:v>45005</c:v>
                </c:pt>
                <c:pt idx="155">
                  <c:v>45006</c:v>
                </c:pt>
                <c:pt idx="156">
                  <c:v>45007</c:v>
                </c:pt>
                <c:pt idx="157">
                  <c:v>45008</c:v>
                </c:pt>
                <c:pt idx="158">
                  <c:v>45009</c:v>
                </c:pt>
                <c:pt idx="159">
                  <c:v>45012</c:v>
                </c:pt>
                <c:pt idx="160">
                  <c:v>45013</c:v>
                </c:pt>
                <c:pt idx="161">
                  <c:v>45014</c:v>
                </c:pt>
                <c:pt idx="162">
                  <c:v>45016</c:v>
                </c:pt>
                <c:pt idx="163">
                  <c:v>45019</c:v>
                </c:pt>
                <c:pt idx="164">
                  <c:v>45021</c:v>
                </c:pt>
                <c:pt idx="165">
                  <c:v>45022</c:v>
                </c:pt>
                <c:pt idx="166">
                  <c:v>45026</c:v>
                </c:pt>
                <c:pt idx="167">
                  <c:v>45027</c:v>
                </c:pt>
                <c:pt idx="168">
                  <c:v>45028</c:v>
                </c:pt>
                <c:pt idx="169">
                  <c:v>45029</c:v>
                </c:pt>
                <c:pt idx="170">
                  <c:v>45033</c:v>
                </c:pt>
                <c:pt idx="171">
                  <c:v>45034</c:v>
                </c:pt>
                <c:pt idx="172">
                  <c:v>45035</c:v>
                </c:pt>
                <c:pt idx="173">
                  <c:v>45036</c:v>
                </c:pt>
                <c:pt idx="174">
                  <c:v>45037</c:v>
                </c:pt>
                <c:pt idx="175">
                  <c:v>45040</c:v>
                </c:pt>
                <c:pt idx="176">
                  <c:v>45041</c:v>
                </c:pt>
                <c:pt idx="177">
                  <c:v>45042</c:v>
                </c:pt>
                <c:pt idx="178">
                  <c:v>45043</c:v>
                </c:pt>
                <c:pt idx="179">
                  <c:v>45044</c:v>
                </c:pt>
                <c:pt idx="180">
                  <c:v>45048</c:v>
                </c:pt>
                <c:pt idx="181">
                  <c:v>45049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</c:numCache>
            </c:numRef>
          </c:cat>
          <c:val>
            <c:numRef>
              <c:f>'Stock Performance'!$J$2:$J$362</c:f>
            </c:numRef>
          </c:val>
          <c:smooth val="0"/>
          <c:extLst>
            <c:ext xmlns:c16="http://schemas.microsoft.com/office/drawing/2014/chart" uri="{C3380CC4-5D6E-409C-BE32-E72D297353CC}">
              <c16:uniqueId val="{00000008-029E-4B47-B113-4519BE4D12A2}"/>
            </c:ext>
          </c:extLst>
        </c:ser>
        <c:ser>
          <c:idx val="9"/>
          <c:order val="9"/>
          <c:tx>
            <c:strRef>
              <c:f>'Stock Performance'!$K$1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Performance'!$A$2:$A$362</c:f>
              <c:numCache>
                <c:formatCode>d\-mmm\-yy</c:formatCode>
                <c:ptCount val="200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44578</c:v>
                </c:pt>
                <c:pt idx="11">
                  <c:v>44579</c:v>
                </c:pt>
                <c:pt idx="12">
                  <c:v>44580</c:v>
                </c:pt>
                <c:pt idx="13">
                  <c:v>44581</c:v>
                </c:pt>
                <c:pt idx="14">
                  <c:v>44582</c:v>
                </c:pt>
                <c:pt idx="15">
                  <c:v>44585</c:v>
                </c:pt>
                <c:pt idx="16">
                  <c:v>44586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44641</c:v>
                </c:pt>
                <c:pt idx="53">
                  <c:v>44642</c:v>
                </c:pt>
                <c:pt idx="54">
                  <c:v>44643</c:v>
                </c:pt>
                <c:pt idx="55">
                  <c:v>44644</c:v>
                </c:pt>
                <c:pt idx="56">
                  <c:v>44645</c:v>
                </c:pt>
                <c:pt idx="57">
                  <c:v>44648</c:v>
                </c:pt>
                <c:pt idx="58">
                  <c:v>44649</c:v>
                </c:pt>
                <c:pt idx="59">
                  <c:v>44650</c:v>
                </c:pt>
                <c:pt idx="60">
                  <c:v>44651</c:v>
                </c:pt>
                <c:pt idx="61">
                  <c:v>44652</c:v>
                </c:pt>
                <c:pt idx="62">
                  <c:v>44655</c:v>
                </c:pt>
                <c:pt idx="63">
                  <c:v>44656</c:v>
                </c:pt>
                <c:pt idx="64">
                  <c:v>44657</c:v>
                </c:pt>
                <c:pt idx="65">
                  <c:v>44658</c:v>
                </c:pt>
                <c:pt idx="66">
                  <c:v>44659</c:v>
                </c:pt>
                <c:pt idx="67">
                  <c:v>44662</c:v>
                </c:pt>
                <c:pt idx="68">
                  <c:v>44663</c:v>
                </c:pt>
                <c:pt idx="69">
                  <c:v>44664</c:v>
                </c:pt>
                <c:pt idx="70">
                  <c:v>44669</c:v>
                </c:pt>
                <c:pt idx="71">
                  <c:v>44670</c:v>
                </c:pt>
                <c:pt idx="72">
                  <c:v>44671</c:v>
                </c:pt>
                <c:pt idx="73">
                  <c:v>44672</c:v>
                </c:pt>
                <c:pt idx="74">
                  <c:v>44673</c:v>
                </c:pt>
                <c:pt idx="75">
                  <c:v>44676</c:v>
                </c:pt>
                <c:pt idx="76">
                  <c:v>44677</c:v>
                </c:pt>
                <c:pt idx="77">
                  <c:v>44678</c:v>
                </c:pt>
                <c:pt idx="78">
                  <c:v>44679</c:v>
                </c:pt>
                <c:pt idx="79">
                  <c:v>44680</c:v>
                </c:pt>
                <c:pt idx="80">
                  <c:v>44683</c:v>
                </c:pt>
                <c:pt idx="81">
                  <c:v>44685</c:v>
                </c:pt>
                <c:pt idx="82">
                  <c:v>44686</c:v>
                </c:pt>
                <c:pt idx="83">
                  <c:v>44687</c:v>
                </c:pt>
                <c:pt idx="84">
                  <c:v>44690</c:v>
                </c:pt>
                <c:pt idx="85">
                  <c:v>44691</c:v>
                </c:pt>
                <c:pt idx="86">
                  <c:v>44692</c:v>
                </c:pt>
                <c:pt idx="87">
                  <c:v>44693</c:v>
                </c:pt>
                <c:pt idx="88">
                  <c:v>44694</c:v>
                </c:pt>
                <c:pt idx="89">
                  <c:v>44697</c:v>
                </c:pt>
                <c:pt idx="90">
                  <c:v>44698</c:v>
                </c:pt>
                <c:pt idx="91">
                  <c:v>44699</c:v>
                </c:pt>
                <c:pt idx="92">
                  <c:v>44700</c:v>
                </c:pt>
                <c:pt idx="93">
                  <c:v>44701</c:v>
                </c:pt>
                <c:pt idx="94">
                  <c:v>44704</c:v>
                </c:pt>
                <c:pt idx="95">
                  <c:v>44705</c:v>
                </c:pt>
                <c:pt idx="96">
                  <c:v>44706</c:v>
                </c:pt>
                <c:pt idx="97">
                  <c:v>44707</c:v>
                </c:pt>
                <c:pt idx="98">
                  <c:v>44708</c:v>
                </c:pt>
                <c:pt idx="99">
                  <c:v>44711</c:v>
                </c:pt>
                <c:pt idx="100">
                  <c:v>44712</c:v>
                </c:pt>
                <c:pt idx="101">
                  <c:v>44928</c:v>
                </c:pt>
                <c:pt idx="102">
                  <c:v>44929</c:v>
                </c:pt>
                <c:pt idx="103">
                  <c:v>44930</c:v>
                </c:pt>
                <c:pt idx="104">
                  <c:v>44931</c:v>
                </c:pt>
                <c:pt idx="105">
                  <c:v>44932</c:v>
                </c:pt>
                <c:pt idx="106">
                  <c:v>44935</c:v>
                </c:pt>
                <c:pt idx="107">
                  <c:v>44936</c:v>
                </c:pt>
                <c:pt idx="108">
                  <c:v>44937</c:v>
                </c:pt>
                <c:pt idx="109">
                  <c:v>44938</c:v>
                </c:pt>
                <c:pt idx="110">
                  <c:v>44939</c:v>
                </c:pt>
                <c:pt idx="111">
                  <c:v>44942</c:v>
                </c:pt>
                <c:pt idx="112">
                  <c:v>44943</c:v>
                </c:pt>
                <c:pt idx="113">
                  <c:v>44944</c:v>
                </c:pt>
                <c:pt idx="114">
                  <c:v>44945</c:v>
                </c:pt>
                <c:pt idx="115">
                  <c:v>44946</c:v>
                </c:pt>
                <c:pt idx="116">
                  <c:v>44949</c:v>
                </c:pt>
                <c:pt idx="117">
                  <c:v>44950</c:v>
                </c:pt>
                <c:pt idx="118">
                  <c:v>44951</c:v>
                </c:pt>
                <c:pt idx="119">
                  <c:v>44953</c:v>
                </c:pt>
                <c:pt idx="120">
                  <c:v>44956</c:v>
                </c:pt>
                <c:pt idx="121">
                  <c:v>44957</c:v>
                </c:pt>
                <c:pt idx="122">
                  <c:v>44958</c:v>
                </c:pt>
                <c:pt idx="123">
                  <c:v>44959</c:v>
                </c:pt>
                <c:pt idx="124">
                  <c:v>44960</c:v>
                </c:pt>
                <c:pt idx="125">
                  <c:v>44963</c:v>
                </c:pt>
                <c:pt idx="126">
                  <c:v>44964</c:v>
                </c:pt>
                <c:pt idx="127">
                  <c:v>44965</c:v>
                </c:pt>
                <c:pt idx="128">
                  <c:v>44966</c:v>
                </c:pt>
                <c:pt idx="129">
                  <c:v>44967</c:v>
                </c:pt>
                <c:pt idx="130">
                  <c:v>44970</c:v>
                </c:pt>
                <c:pt idx="131">
                  <c:v>44971</c:v>
                </c:pt>
                <c:pt idx="132">
                  <c:v>44972</c:v>
                </c:pt>
                <c:pt idx="133">
                  <c:v>44973</c:v>
                </c:pt>
                <c:pt idx="134">
                  <c:v>44974</c:v>
                </c:pt>
                <c:pt idx="135">
                  <c:v>44977</c:v>
                </c:pt>
                <c:pt idx="136">
                  <c:v>44978</c:v>
                </c:pt>
                <c:pt idx="137">
                  <c:v>44979</c:v>
                </c:pt>
                <c:pt idx="138">
                  <c:v>44980</c:v>
                </c:pt>
                <c:pt idx="139">
                  <c:v>44981</c:v>
                </c:pt>
                <c:pt idx="140">
                  <c:v>44984</c:v>
                </c:pt>
                <c:pt idx="141">
                  <c:v>44985</c:v>
                </c:pt>
                <c:pt idx="142">
                  <c:v>44986</c:v>
                </c:pt>
                <c:pt idx="143">
                  <c:v>44987</c:v>
                </c:pt>
                <c:pt idx="144">
                  <c:v>44988</c:v>
                </c:pt>
                <c:pt idx="145">
                  <c:v>44991</c:v>
                </c:pt>
                <c:pt idx="146">
                  <c:v>44993</c:v>
                </c:pt>
                <c:pt idx="147">
                  <c:v>44994</c:v>
                </c:pt>
                <c:pt idx="148">
                  <c:v>44995</c:v>
                </c:pt>
                <c:pt idx="149">
                  <c:v>44998</c:v>
                </c:pt>
                <c:pt idx="150">
                  <c:v>44999</c:v>
                </c:pt>
                <c:pt idx="151">
                  <c:v>45000</c:v>
                </c:pt>
                <c:pt idx="152">
                  <c:v>45001</c:v>
                </c:pt>
                <c:pt idx="153">
                  <c:v>45002</c:v>
                </c:pt>
                <c:pt idx="154">
                  <c:v>45005</c:v>
                </c:pt>
                <c:pt idx="155">
                  <c:v>45006</c:v>
                </c:pt>
                <c:pt idx="156">
                  <c:v>45007</c:v>
                </c:pt>
                <c:pt idx="157">
                  <c:v>45008</c:v>
                </c:pt>
                <c:pt idx="158">
                  <c:v>45009</c:v>
                </c:pt>
                <c:pt idx="159">
                  <c:v>45012</c:v>
                </c:pt>
                <c:pt idx="160">
                  <c:v>45013</c:v>
                </c:pt>
                <c:pt idx="161">
                  <c:v>45014</c:v>
                </c:pt>
                <c:pt idx="162">
                  <c:v>45016</c:v>
                </c:pt>
                <c:pt idx="163">
                  <c:v>45019</c:v>
                </c:pt>
                <c:pt idx="164">
                  <c:v>45021</c:v>
                </c:pt>
                <c:pt idx="165">
                  <c:v>45022</c:v>
                </c:pt>
                <c:pt idx="166">
                  <c:v>45026</c:v>
                </c:pt>
                <c:pt idx="167">
                  <c:v>45027</c:v>
                </c:pt>
                <c:pt idx="168">
                  <c:v>45028</c:v>
                </c:pt>
                <c:pt idx="169">
                  <c:v>45029</c:v>
                </c:pt>
                <c:pt idx="170">
                  <c:v>45033</c:v>
                </c:pt>
                <c:pt idx="171">
                  <c:v>45034</c:v>
                </c:pt>
                <c:pt idx="172">
                  <c:v>45035</c:v>
                </c:pt>
                <c:pt idx="173">
                  <c:v>45036</c:v>
                </c:pt>
                <c:pt idx="174">
                  <c:v>45037</c:v>
                </c:pt>
                <c:pt idx="175">
                  <c:v>45040</c:v>
                </c:pt>
                <c:pt idx="176">
                  <c:v>45041</c:v>
                </c:pt>
                <c:pt idx="177">
                  <c:v>45042</c:v>
                </c:pt>
                <c:pt idx="178">
                  <c:v>45043</c:v>
                </c:pt>
                <c:pt idx="179">
                  <c:v>45044</c:v>
                </c:pt>
                <c:pt idx="180">
                  <c:v>45048</c:v>
                </c:pt>
                <c:pt idx="181">
                  <c:v>45049</c:v>
                </c:pt>
                <c:pt idx="182">
                  <c:v>45050</c:v>
                </c:pt>
                <c:pt idx="183">
                  <c:v>45051</c:v>
                </c:pt>
                <c:pt idx="184">
                  <c:v>45054</c:v>
                </c:pt>
                <c:pt idx="185">
                  <c:v>45055</c:v>
                </c:pt>
                <c:pt idx="186">
                  <c:v>45056</c:v>
                </c:pt>
                <c:pt idx="187">
                  <c:v>45057</c:v>
                </c:pt>
                <c:pt idx="188">
                  <c:v>45058</c:v>
                </c:pt>
                <c:pt idx="189">
                  <c:v>45061</c:v>
                </c:pt>
                <c:pt idx="190">
                  <c:v>45062</c:v>
                </c:pt>
                <c:pt idx="191">
                  <c:v>45063</c:v>
                </c:pt>
                <c:pt idx="192">
                  <c:v>45064</c:v>
                </c:pt>
                <c:pt idx="193">
                  <c:v>45065</c:v>
                </c:pt>
                <c:pt idx="194">
                  <c:v>45068</c:v>
                </c:pt>
                <c:pt idx="195">
                  <c:v>45069</c:v>
                </c:pt>
                <c:pt idx="196">
                  <c:v>45070</c:v>
                </c:pt>
                <c:pt idx="197">
                  <c:v>45071</c:v>
                </c:pt>
                <c:pt idx="198">
                  <c:v>45072</c:v>
                </c:pt>
                <c:pt idx="199">
                  <c:v>45075</c:v>
                </c:pt>
              </c:numCache>
            </c:numRef>
          </c:cat>
          <c:val>
            <c:numRef>
              <c:f>'Stock Performance'!$K$2:$K$362</c:f>
              <c:numCache>
                <c:formatCode>General</c:formatCode>
                <c:ptCount val="200"/>
                <c:pt idx="159">
                  <c:v>0.32758053911900076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B-4C10-9C7E-3EC67D3A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020863"/>
        <c:axId val="1808027103"/>
      </c:lineChart>
      <c:dateAx>
        <c:axId val="180802086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27103"/>
        <c:crosses val="autoZero"/>
        <c:auto val="1"/>
        <c:lblOffset val="100"/>
        <c:baseTimeUnit val="days"/>
      </c:dateAx>
      <c:valAx>
        <c:axId val="18080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2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873125</xdr:colOff>
      <xdr:row>0</xdr:row>
      <xdr:rowOff>0</xdr:rowOff>
    </xdr:from>
    <xdr:to>
      <xdr:col>11</xdr:col>
      <xdr:colOff>260350</xdr:colOff>
      <xdr:row>13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87288-2BFC-F13F-5C43-C86C331AA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866775</xdr:colOff>
      <xdr:row>13</xdr:row>
      <xdr:rowOff>73025</xdr:rowOff>
    </xdr:from>
    <xdr:to>
      <xdr:col>11</xdr:col>
      <xdr:colOff>260350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634D2-1218-D5AA-56C4-642B00158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873125</xdr:colOff>
      <xdr:row>26</xdr:row>
      <xdr:rowOff>92075</xdr:rowOff>
    </xdr:from>
    <xdr:to>
      <xdr:col>11</xdr:col>
      <xdr:colOff>273050</xdr:colOff>
      <xdr:row>40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1F95AB-E4C3-781D-D2C1-6905C79D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</xdr:colOff>
      <xdr:row>40</xdr:row>
      <xdr:rowOff>92075</xdr:rowOff>
    </xdr:from>
    <xdr:to>
      <xdr:col>11</xdr:col>
      <xdr:colOff>273050</xdr:colOff>
      <xdr:row>53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7892A-83B1-A0C9-6646-FBFC9FB15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234950</xdr:colOff>
      <xdr:row>0</xdr:row>
      <xdr:rowOff>168274</xdr:rowOff>
    </xdr:from>
    <xdr:to>
      <xdr:col>23</xdr:col>
      <xdr:colOff>552450</xdr:colOff>
      <xdr:row>34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746EB-B27B-DF29-2E68-810B16534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99F6C0-FA78-4DCD-A8D5-01B5DE627A38}" name="Table1" displayName="Table1" ref="A1:K362" totalsRowShown="0" headerRowDxfId="15" dataDxfId="13" headerRowBorderDxfId="14" tableBorderDxfId="12" totalsRowBorderDxfId="11">
  <autoFilter ref="A1:K362" xr:uid="{AA99F6C0-FA78-4DCD-A8D5-01B5DE627A38}">
    <filterColumn colId="0">
      <filters>
        <dateGroupItem year="2023" dateTimeGrouping="year"/>
        <dateGroupItem year="2022" month="1" dateTimeGrouping="month"/>
        <dateGroupItem year="2022" month="2" dateTimeGrouping="month"/>
        <dateGroupItem year="2022" month="3" dateTimeGrouping="month"/>
        <dateGroupItem year="2022" month="4" dateTimeGrouping="month"/>
        <dateGroupItem year="2022" month="5" dateTimeGrouping="month"/>
      </filters>
    </filterColumn>
  </autoFilter>
  <tableColumns count="11">
    <tableColumn id="1" xr3:uid="{815ECE42-9911-4584-8837-2031EB0A4304}" name="Date" dataDxfId="10"/>
    <tableColumn id="2" xr3:uid="{D54AF75B-B113-4F1D-AF97-5A27DA37887D}" name="Open" dataDxfId="9"/>
    <tableColumn id="3" xr3:uid="{548548FC-B0E9-4072-A38A-64A015D98B2E}" name="High" dataDxfId="8"/>
    <tableColumn id="4" xr3:uid="{91767DA4-9545-414E-B0D5-AF403BF2D6E0}" name="Low" dataDxfId="7"/>
    <tableColumn id="5" xr3:uid="{19E3CB31-33C5-42FC-ABC0-7F62FA08F349}" name="Close" dataDxfId="6"/>
    <tableColumn id="6" xr3:uid="{94E03FE4-A27D-4DA1-AE99-BE6F73E9B793}" name="No. of Trades" dataDxfId="5"/>
    <tableColumn id="7" xr3:uid="{7EED6394-EB6E-4C65-857A-A967267A08CB}" name="Total Turnover(In lac)" dataDxfId="4"/>
    <tableColumn id="8" xr3:uid="{9EF53C5F-70F0-489D-9D8D-A114FA4EC175}" name="Deliverable Quantity" dataDxfId="3"/>
    <tableColumn id="9" xr3:uid="{BC5E1417-1325-4CF7-A56E-5C8F9B0462AA}" name="H-L" dataDxfId="2"/>
    <tableColumn id="10" xr3:uid="{79CBAA64-5408-41B1-8CAB-EB9C612F7F54}" name="C-O" dataDxfId="1"/>
    <tableColumn id="11" xr3:uid="{6130D951-BBA4-4D67-900D-1B66906616BD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2A7B-389E-41A1-B73D-E96F7A8EAF02}">
  <sheetPr codeName="Sheet1"/>
  <dimension ref="C1:J45"/>
  <sheetViews>
    <sheetView showGridLines="0" topLeftCell="B1" workbookViewId="0">
      <pane xSplit="2" ySplit="6" topLeftCell="D24" activePane="bottomRight" state="frozen"/>
      <selection activeCell="B1" sqref="B1"/>
      <selection pane="topRight" activeCell="D1" sqref="D1"/>
      <selection pane="bottomLeft" activeCell="B7" sqref="B7"/>
      <selection pane="bottomRight" activeCell="G10" sqref="G10"/>
    </sheetView>
  </sheetViews>
  <sheetFormatPr defaultRowHeight="14.5" x14ac:dyDescent="0.35"/>
  <cols>
    <col min="3" max="3" width="78.6328125" customWidth="1"/>
    <col min="4" max="4" width="12" customWidth="1"/>
    <col min="5" max="5" width="11.90625" customWidth="1"/>
    <col min="6" max="6" width="10.6328125" customWidth="1"/>
    <col min="7" max="7" width="10.81640625" customWidth="1"/>
    <col min="8" max="8" width="10.1796875" customWidth="1"/>
    <col min="9" max="10" width="10" bestFit="1" customWidth="1"/>
  </cols>
  <sheetData>
    <row r="1" spans="3:10" x14ac:dyDescent="0.35">
      <c r="C1" s="1" t="s">
        <v>4</v>
      </c>
    </row>
    <row r="2" spans="3:10" x14ac:dyDescent="0.35">
      <c r="C2" s="1" t="s">
        <v>72</v>
      </c>
    </row>
    <row r="3" spans="3:10" x14ac:dyDescent="0.35">
      <c r="C3" t="s">
        <v>6</v>
      </c>
    </row>
    <row r="4" spans="3:10" x14ac:dyDescent="0.35">
      <c r="C4" t="s">
        <v>0</v>
      </c>
    </row>
    <row r="5" spans="3:10" x14ac:dyDescent="0.35">
      <c r="C5" s="2" t="s">
        <v>1</v>
      </c>
      <c r="D5" s="6" t="s">
        <v>7</v>
      </c>
      <c r="E5" s="6" t="s">
        <v>2</v>
      </c>
      <c r="F5" s="6" t="s">
        <v>2</v>
      </c>
      <c r="G5" s="6" t="s">
        <v>2</v>
      </c>
      <c r="H5" s="6" t="s">
        <v>138</v>
      </c>
      <c r="I5" s="6" t="s">
        <v>138</v>
      </c>
      <c r="J5" s="6" t="s">
        <v>138</v>
      </c>
    </row>
    <row r="6" spans="3:10" x14ac:dyDescent="0.35">
      <c r="C6" s="1" t="s">
        <v>3</v>
      </c>
      <c r="D6" s="1">
        <v>2020</v>
      </c>
      <c r="E6" s="1">
        <v>2021</v>
      </c>
      <c r="F6" s="1">
        <v>2022</v>
      </c>
      <c r="G6" s="1">
        <v>2023</v>
      </c>
      <c r="H6" s="1">
        <v>2024</v>
      </c>
      <c r="I6" s="1">
        <v>2025</v>
      </c>
      <c r="J6" s="1">
        <v>2026</v>
      </c>
    </row>
    <row r="7" spans="3:10" x14ac:dyDescent="0.35">
      <c r="H7" s="15"/>
      <c r="I7" s="15"/>
      <c r="J7" s="15"/>
    </row>
    <row r="8" spans="3:10" x14ac:dyDescent="0.35">
      <c r="C8" s="2" t="s">
        <v>49</v>
      </c>
      <c r="D8" s="2">
        <v>33182.67</v>
      </c>
      <c r="E8" s="2">
        <v>26533.02</v>
      </c>
      <c r="F8" s="2">
        <v>41748.51</v>
      </c>
      <c r="G8" s="2">
        <v>54863.16</v>
      </c>
      <c r="H8" s="7">
        <f>'Revenue Breakup'!H24</f>
        <v>78039.525000000009</v>
      </c>
      <c r="I8" s="7">
        <f>'Revenue Breakup'!I24</f>
        <v>109469.29771510001</v>
      </c>
      <c r="J8" s="7">
        <f>'Revenue Breakup'!J24</f>
        <v>154048.26249620318</v>
      </c>
    </row>
    <row r="9" spans="3:10" x14ac:dyDescent="0.35">
      <c r="C9" t="s">
        <v>50</v>
      </c>
      <c r="D9">
        <v>460.05</v>
      </c>
      <c r="E9">
        <v>1391.83</v>
      </c>
      <c r="F9">
        <v>773.4</v>
      </c>
      <c r="G9">
        <v>969.43</v>
      </c>
      <c r="H9" s="4">
        <f>'Other Schedule'!H13</f>
        <v>2975.3390634335801</v>
      </c>
      <c r="I9" s="4">
        <f>'Other Schedule'!I13</f>
        <v>4301.8457119497316</v>
      </c>
      <c r="J9" s="4">
        <f>'Other Schedule'!J13</f>
        <v>6383.2587947585962</v>
      </c>
    </row>
    <row r="10" spans="3:10" x14ac:dyDescent="0.35">
      <c r="C10" s="2" t="s">
        <v>51</v>
      </c>
      <c r="D10" s="2">
        <f>SUM(D8:D9)</f>
        <v>33642.720000000001</v>
      </c>
      <c r="E10" s="2">
        <f t="shared" ref="E10:J10" si="0">SUM(E8:E9)</f>
        <v>27924.85</v>
      </c>
      <c r="F10" s="2">
        <f t="shared" si="0"/>
        <v>42521.91</v>
      </c>
      <c r="G10" s="2">
        <f t="shared" si="0"/>
        <v>55832.590000000004</v>
      </c>
      <c r="H10" s="7">
        <f t="shared" si="0"/>
        <v>81014.86406343359</v>
      </c>
      <c r="I10" s="7">
        <f t="shared" si="0"/>
        <v>113771.14342704974</v>
      </c>
      <c r="J10" s="2">
        <f t="shared" si="0"/>
        <v>160431.52129096177</v>
      </c>
    </row>
    <row r="12" spans="3:10" x14ac:dyDescent="0.35">
      <c r="C12" s="1" t="s">
        <v>52</v>
      </c>
    </row>
    <row r="13" spans="3:10" x14ac:dyDescent="0.35">
      <c r="C13" t="s">
        <v>252</v>
      </c>
      <c r="D13" s="4">
        <v>16720.18</v>
      </c>
      <c r="E13">
        <v>15075.48</v>
      </c>
      <c r="F13">
        <v>19204.36</v>
      </c>
      <c r="G13">
        <v>24182.44</v>
      </c>
      <c r="H13" s="4">
        <f>'Cost Schedule'!H8</f>
        <v>38263.320297159684</v>
      </c>
      <c r="I13" s="4">
        <f>'Cost Schedule'!I8</f>
        <v>53734.111040595591</v>
      </c>
      <c r="J13" s="4">
        <f>'Cost Schedule'!J8</f>
        <v>75771.807505721241</v>
      </c>
    </row>
    <row r="14" spans="3:10" x14ac:dyDescent="0.35">
      <c r="C14" t="s">
        <v>53</v>
      </c>
      <c r="D14" s="4">
        <v>328.47</v>
      </c>
      <c r="E14">
        <v>288.98</v>
      </c>
      <c r="F14">
        <v>201.86</v>
      </c>
      <c r="G14">
        <v>393.42</v>
      </c>
      <c r="H14" s="4">
        <f>'Debt Schedule'!H29</f>
        <v>459.4852253565</v>
      </c>
      <c r="I14" s="4">
        <f>'Debt Schedule'!I29</f>
        <v>410.86199256794998</v>
      </c>
      <c r="J14" s="4">
        <f>'Debt Schedule'!J29</f>
        <v>446.39735942717999</v>
      </c>
    </row>
    <row r="15" spans="3:10" x14ac:dyDescent="0.35">
      <c r="C15" t="s">
        <v>54</v>
      </c>
      <c r="D15" s="4">
        <v>2160.29</v>
      </c>
      <c r="E15">
        <v>1772.9</v>
      </c>
      <c r="F15">
        <v>1565.07</v>
      </c>
      <c r="G15">
        <v>1661.22</v>
      </c>
      <c r="H15" s="4">
        <f>-'Asset Schedule'!H11</f>
        <v>1801.7740650000001</v>
      </c>
      <c r="I15" s="4">
        <f>-'Asset Schedule'!I11</f>
        <v>1962.7770654360002</v>
      </c>
      <c r="J15" s="4">
        <f>-'Asset Schedule'!J11</f>
        <v>1818.4727883650796</v>
      </c>
    </row>
    <row r="16" spans="3:10" x14ac:dyDescent="0.35">
      <c r="C16" t="s">
        <v>55</v>
      </c>
      <c r="D16" s="4">
        <v>5773.09</v>
      </c>
      <c r="E16">
        <v>4499.22</v>
      </c>
      <c r="F16">
        <v>4815.58</v>
      </c>
      <c r="G16">
        <v>6806.36</v>
      </c>
      <c r="H16" s="4">
        <f>'Cost Schedule'!H12</f>
        <v>11706.647857166154</v>
      </c>
      <c r="I16" s="4">
        <f>'Cost Schedule'!I12</f>
        <v>16439.930225208685</v>
      </c>
      <c r="J16" s="4">
        <f>'Cost Schedule'!J12</f>
        <v>23182.354826543975</v>
      </c>
    </row>
    <row r="17" spans="3:10" x14ac:dyDescent="0.35">
      <c r="C17" s="2" t="s">
        <v>56</v>
      </c>
      <c r="D17" s="7">
        <f>SUM(D13:D16)</f>
        <v>24982.030000000002</v>
      </c>
      <c r="E17" s="7">
        <f>SUM(E13:E16)</f>
        <v>21636.58</v>
      </c>
      <c r="F17" s="7">
        <f>SUM(F13:F16)</f>
        <v>25786.870000000003</v>
      </c>
      <c r="G17" s="7">
        <f>SUM(G13:G16)</f>
        <v>33043.439999999995</v>
      </c>
      <c r="H17" s="7">
        <f t="shared" ref="H17:J17" si="1">SUM(H13:H16)</f>
        <v>52231.227444682328</v>
      </c>
      <c r="I17" s="7">
        <f t="shared" si="1"/>
        <v>72547.680323808221</v>
      </c>
      <c r="J17" s="7">
        <f t="shared" si="1"/>
        <v>101219.03248005747</v>
      </c>
    </row>
    <row r="18" spans="3:10" x14ac:dyDescent="0.35">
      <c r="C18" s="2" t="s">
        <v>57</v>
      </c>
      <c r="D18" s="7">
        <f>D10-D17</f>
        <v>8660.6899999999987</v>
      </c>
      <c r="E18" s="7">
        <f>E10-E17</f>
        <v>6288.2699999999968</v>
      </c>
      <c r="F18" s="7">
        <f>F10-F17</f>
        <v>16735.04</v>
      </c>
      <c r="G18" s="7">
        <f>G10-G17</f>
        <v>22789.150000000009</v>
      </c>
      <c r="H18" s="7">
        <f t="shared" ref="H18:J18" si="2">H10-H17</f>
        <v>28783.636618751261</v>
      </c>
      <c r="I18" s="7">
        <f t="shared" si="2"/>
        <v>41223.46310324152</v>
      </c>
      <c r="J18" s="7">
        <f t="shared" si="2"/>
        <v>59212.488810904295</v>
      </c>
    </row>
    <row r="20" spans="3:10" x14ac:dyDescent="0.35">
      <c r="C20" s="1" t="s">
        <v>58</v>
      </c>
    </row>
    <row r="21" spans="3:10" x14ac:dyDescent="0.35">
      <c r="C21" t="s">
        <v>59</v>
      </c>
      <c r="D21">
        <v>2581.29</v>
      </c>
      <c r="E21">
        <v>1587.32</v>
      </c>
      <c r="F21">
        <v>4031.5</v>
      </c>
      <c r="G21">
        <v>5597.34</v>
      </c>
    </row>
    <row r="22" spans="3:10" x14ac:dyDescent="0.35">
      <c r="C22" t="s">
        <v>60</v>
      </c>
      <c r="D22">
        <v>4.24</v>
      </c>
      <c r="E22">
        <v>191.53</v>
      </c>
      <c r="F22">
        <v>12.72</v>
      </c>
      <c r="G22">
        <v>31.97</v>
      </c>
    </row>
    <row r="23" spans="3:10" x14ac:dyDescent="0.35">
      <c r="C23" t="s">
        <v>61</v>
      </c>
      <c r="D23">
        <v>-64.11</v>
      </c>
      <c r="E23">
        <v>46.98</v>
      </c>
      <c r="F23">
        <v>34.75</v>
      </c>
      <c r="G23">
        <v>336.39</v>
      </c>
    </row>
    <row r="24" spans="3:10" x14ac:dyDescent="0.35">
      <c r="C24" s="1" t="s">
        <v>62</v>
      </c>
      <c r="D24" s="1">
        <f t="shared" ref="D24" si="3">SUM(D21:D23)</f>
        <v>2521.4199999999996</v>
      </c>
      <c r="E24" s="1">
        <f t="shared" ref="E24:G24" si="4">SUM(E21:E23)</f>
        <v>1825.83</v>
      </c>
      <c r="F24" s="1">
        <f t="shared" si="4"/>
        <v>4078.97</v>
      </c>
      <c r="G24" s="1">
        <f t="shared" si="4"/>
        <v>5965.7000000000007</v>
      </c>
      <c r="H24" s="5">
        <f>'Cost Schedule'!H16</f>
        <v>8540.1049847835002</v>
      </c>
      <c r="I24" s="5">
        <f>'Cost Schedule'!I16</f>
        <v>12231.00150273176</v>
      </c>
      <c r="J24" s="5">
        <f>'Cost Schedule'!J16</f>
        <v>17568.345430195306</v>
      </c>
    </row>
    <row r="25" spans="3:10" x14ac:dyDescent="0.35">
      <c r="C25" s="1" t="s">
        <v>128</v>
      </c>
      <c r="D25" s="5">
        <f>D18-D24</f>
        <v>6139.2699999999986</v>
      </c>
      <c r="E25" s="5">
        <f t="shared" ref="E25:G25" si="5">E18-E24</f>
        <v>4462.4399999999969</v>
      </c>
      <c r="F25" s="5">
        <f t="shared" si="5"/>
        <v>12656.070000000002</v>
      </c>
      <c r="G25" s="5">
        <f t="shared" si="5"/>
        <v>16823.450000000008</v>
      </c>
      <c r="H25" s="5">
        <f>H18-H24</f>
        <v>20243.531633967759</v>
      </c>
      <c r="I25" s="5">
        <f t="shared" ref="I25:J25" si="6">I18-I24</f>
        <v>28992.46160050976</v>
      </c>
      <c r="J25" s="5">
        <f t="shared" si="6"/>
        <v>41644.143380708992</v>
      </c>
    </row>
    <row r="26" spans="3:10" x14ac:dyDescent="0.35">
      <c r="C26" t="s">
        <v>125</v>
      </c>
      <c r="D26" s="5"/>
      <c r="E26" s="5"/>
      <c r="F26" s="5"/>
      <c r="G26" s="5"/>
    </row>
    <row r="27" spans="3:10" x14ac:dyDescent="0.35">
      <c r="C27" t="s">
        <v>124</v>
      </c>
      <c r="D27" s="5">
        <v>0</v>
      </c>
      <c r="E27" s="5">
        <v>0</v>
      </c>
      <c r="F27" s="4">
        <v>32.119999999999997</v>
      </c>
      <c r="G27" s="4">
        <v>49.51</v>
      </c>
    </row>
    <row r="28" spans="3:10" x14ac:dyDescent="0.35">
      <c r="C28" t="s">
        <v>126</v>
      </c>
      <c r="D28" s="5">
        <v>0</v>
      </c>
      <c r="E28" s="5">
        <v>0</v>
      </c>
      <c r="F28" s="4">
        <v>8.33</v>
      </c>
      <c r="G28" s="4">
        <v>12.85</v>
      </c>
    </row>
    <row r="29" spans="3:10" x14ac:dyDescent="0.35">
      <c r="C29" s="1" t="s">
        <v>127</v>
      </c>
      <c r="D29" s="5">
        <f t="shared" ref="D29:E29" si="7">D27-D28</f>
        <v>0</v>
      </c>
      <c r="E29" s="5">
        <f t="shared" si="7"/>
        <v>0</v>
      </c>
      <c r="F29" s="5">
        <f>F27-F28</f>
        <v>23.79</v>
      </c>
      <c r="G29" s="5">
        <f t="shared" ref="G29:J29" si="8">G27-G28</f>
        <v>36.659999999999997</v>
      </c>
      <c r="H29" s="5">
        <f t="shared" si="8"/>
        <v>0</v>
      </c>
      <c r="I29" s="5">
        <f t="shared" si="8"/>
        <v>0</v>
      </c>
      <c r="J29" s="5">
        <f t="shared" si="8"/>
        <v>0</v>
      </c>
    </row>
    <row r="30" spans="3:10" x14ac:dyDescent="0.35">
      <c r="C30" s="2" t="s">
        <v>63</v>
      </c>
      <c r="D30" s="7">
        <f t="shared" ref="D30:E30" si="9">(SUM(D18,D29)-D24)</f>
        <v>6139.2699999999986</v>
      </c>
      <c r="E30" s="7">
        <f t="shared" si="9"/>
        <v>4462.4399999999969</v>
      </c>
      <c r="F30" s="7">
        <f>(SUM(F18,F29)-F24)</f>
        <v>12679.860000000002</v>
      </c>
      <c r="G30" s="7">
        <f>(SUM(G18,G29)-G24)</f>
        <v>16860.110000000008</v>
      </c>
      <c r="H30" s="7">
        <f>(SUM(H18,H29)-H24)</f>
        <v>20243.531633967759</v>
      </c>
      <c r="I30" s="7">
        <f t="shared" ref="I30:J30" si="10">(SUM(I18,I29)-I24)</f>
        <v>28992.46160050976</v>
      </c>
      <c r="J30" s="7">
        <f t="shared" si="10"/>
        <v>41644.143380708992</v>
      </c>
    </row>
    <row r="31" spans="3:10" x14ac:dyDescent="0.35">
      <c r="C31" s="1" t="s">
        <v>64</v>
      </c>
    </row>
    <row r="32" spans="3:10" ht="29" x14ac:dyDescent="0.35">
      <c r="C32" s="3" t="s">
        <v>65</v>
      </c>
      <c r="D32">
        <v>-106.66</v>
      </c>
      <c r="E32">
        <v>29.76</v>
      </c>
      <c r="F32">
        <v>20.18</v>
      </c>
      <c r="G32">
        <v>-95.12</v>
      </c>
    </row>
    <row r="34" spans="3:10" x14ac:dyDescent="0.35">
      <c r="C34" t="s">
        <v>66</v>
      </c>
      <c r="D34">
        <v>0</v>
      </c>
      <c r="E34">
        <v>0</v>
      </c>
      <c r="F34">
        <v>-5.08</v>
      </c>
      <c r="G34">
        <v>23.94</v>
      </c>
    </row>
    <row r="36" spans="3:10" x14ac:dyDescent="0.35">
      <c r="C36" t="s">
        <v>67</v>
      </c>
      <c r="D36">
        <v>0</v>
      </c>
      <c r="E36">
        <v>0</v>
      </c>
      <c r="F36">
        <v>-9.31</v>
      </c>
      <c r="G36">
        <v>-17.8</v>
      </c>
    </row>
    <row r="38" spans="3:10" x14ac:dyDescent="0.35">
      <c r="C38" t="s">
        <v>68</v>
      </c>
      <c r="D38">
        <v>0</v>
      </c>
      <c r="E38">
        <v>-7.49</v>
      </c>
      <c r="F38">
        <v>2.34</v>
      </c>
      <c r="G38">
        <v>4.4800000000000004</v>
      </c>
    </row>
    <row r="40" spans="3:10" x14ac:dyDescent="0.35">
      <c r="C40" s="1" t="s">
        <v>69</v>
      </c>
      <c r="D40">
        <f>SUM(D32:D39)</f>
        <v>-106.66</v>
      </c>
      <c r="E40">
        <f t="shared" ref="E40:J40" si="11">SUM(E32:E39)</f>
        <v>22.270000000000003</v>
      </c>
      <c r="F40">
        <f t="shared" si="11"/>
        <v>8.129999999999999</v>
      </c>
      <c r="G40">
        <f t="shared" si="11"/>
        <v>-84.5</v>
      </c>
      <c r="H40">
        <f t="shared" si="11"/>
        <v>0</v>
      </c>
      <c r="I40">
        <f t="shared" si="11"/>
        <v>0</v>
      </c>
      <c r="J40">
        <f t="shared" si="11"/>
        <v>0</v>
      </c>
    </row>
    <row r="41" spans="3:10" x14ac:dyDescent="0.35">
      <c r="C41" s="2" t="s">
        <v>70</v>
      </c>
      <c r="D41" s="7">
        <f>SUM(D30,D40)</f>
        <v>6032.6099999999988</v>
      </c>
      <c r="E41" s="7">
        <f t="shared" ref="E41:J41" si="12">SUM(E30,E40)</f>
        <v>4484.7099999999973</v>
      </c>
      <c r="F41" s="7">
        <f t="shared" si="12"/>
        <v>12687.990000000002</v>
      </c>
      <c r="G41" s="7">
        <f t="shared" si="12"/>
        <v>16775.610000000008</v>
      </c>
      <c r="H41" s="7">
        <f t="shared" si="12"/>
        <v>20243.531633967759</v>
      </c>
      <c r="I41" s="7">
        <f t="shared" si="12"/>
        <v>28992.46160050976</v>
      </c>
      <c r="J41" s="7">
        <f t="shared" si="12"/>
        <v>41644.143380708992</v>
      </c>
    </row>
    <row r="43" spans="3:10" x14ac:dyDescent="0.35">
      <c r="C43" t="s">
        <v>223</v>
      </c>
    </row>
    <row r="44" spans="3:10" x14ac:dyDescent="0.35">
      <c r="C44" t="s">
        <v>224</v>
      </c>
      <c r="D44">
        <v>22.66</v>
      </c>
      <c r="E44">
        <v>16.329999999999998</v>
      </c>
      <c r="F44">
        <v>30.5</v>
      </c>
      <c r="G44">
        <v>40.46</v>
      </c>
    </row>
    <row r="45" spans="3:10" x14ac:dyDescent="0.35">
      <c r="C45" t="s">
        <v>225</v>
      </c>
      <c r="D45">
        <v>22.35</v>
      </c>
      <c r="E45">
        <v>16.100000000000001</v>
      </c>
      <c r="F45">
        <v>30.38</v>
      </c>
      <c r="G45">
        <v>40.28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9A9F-A45D-4C28-85F1-8D4C4AB5CE05}">
  <sheetPr codeName="Sheet10"/>
  <dimension ref="A1:E62"/>
  <sheetViews>
    <sheetView topLeftCell="A10" workbookViewId="0">
      <selection activeCell="M21" sqref="M21"/>
    </sheetView>
  </sheetViews>
  <sheetFormatPr defaultRowHeight="14.5" x14ac:dyDescent="0.35"/>
  <cols>
    <col min="1" max="1" width="42.54296875" customWidth="1"/>
    <col min="2" max="2" width="13.36328125" customWidth="1"/>
    <col min="3" max="3" width="13.08984375" customWidth="1"/>
    <col min="4" max="4" width="13.54296875" customWidth="1"/>
    <col min="5" max="5" width="12.54296875" customWidth="1"/>
  </cols>
  <sheetData>
    <row r="1" spans="1:5" x14ac:dyDescent="0.35">
      <c r="B1" s="1">
        <v>2020</v>
      </c>
      <c r="C1" s="1">
        <f>B1+1</f>
        <v>2021</v>
      </c>
      <c r="D1" s="1">
        <f t="shared" ref="D1:E1" si="0">C1+1</f>
        <v>2022</v>
      </c>
      <c r="E1" s="1">
        <f t="shared" si="0"/>
        <v>2023</v>
      </c>
    </row>
    <row r="2" spans="1:5" x14ac:dyDescent="0.35">
      <c r="A2" s="1" t="s">
        <v>3</v>
      </c>
    </row>
    <row r="3" spans="1:5" x14ac:dyDescent="0.35">
      <c r="A3" s="1" t="s">
        <v>240</v>
      </c>
    </row>
    <row r="5" spans="1:5" x14ac:dyDescent="0.35">
      <c r="A5" t="s">
        <v>241</v>
      </c>
      <c r="B5" s="4">
        <f>'Balance Sheet'!D33/'Balance Sheet'!D63</f>
        <v>0.93217077154170436</v>
      </c>
      <c r="C5" s="4">
        <f>'Balance Sheet'!E33/'Balance Sheet'!E63</f>
        <v>1.7419412706808357</v>
      </c>
      <c r="D5" s="4">
        <f>'Balance Sheet'!F33/'Balance Sheet'!F63</f>
        <v>2.0623466832323092</v>
      </c>
      <c r="E5" s="4">
        <f>'Balance Sheet'!G33/'Balance Sheet'!G63</f>
        <v>2.9160940270064528</v>
      </c>
    </row>
    <row r="7" spans="1:5" x14ac:dyDescent="0.35">
      <c r="A7" t="s">
        <v>242</v>
      </c>
      <c r="B7" s="4">
        <f>SUM('Balance Sheet'!D29,'Balance Sheet'!D27,'Balance Sheet'!D28)/'Balance Sheet'!D63</f>
        <v>0.24241571591918917</v>
      </c>
      <c r="C7" s="4">
        <f>SUM('Balance Sheet'!E29,'Balance Sheet'!E27,'Balance Sheet'!E28)/'Balance Sheet'!E63</f>
        <v>1.458468184894899</v>
      </c>
      <c r="D7" s="4">
        <f>SUM('Balance Sheet'!F29,'Balance Sheet'!F27,'Balance Sheet'!F28)/'Balance Sheet'!F63</f>
        <v>1.0456846807782161</v>
      </c>
      <c r="E7" s="4">
        <f>SUM('Balance Sheet'!G29,'Balance Sheet'!G27,'Balance Sheet'!G28)/'Balance Sheet'!G63</f>
        <v>0.65815753934396359</v>
      </c>
    </row>
    <row r="9" spans="1:5" x14ac:dyDescent="0.35">
      <c r="A9" t="s">
        <v>243</v>
      </c>
      <c r="B9" s="4">
        <f>'Balance Sheet'!D29/'Balance Sheet'!D63</f>
        <v>0.17472748399720231</v>
      </c>
      <c r="C9" s="4">
        <f>'Balance Sheet'!E29/'Balance Sheet'!E63</f>
        <v>1.2079901168446401</v>
      </c>
      <c r="D9" s="4">
        <f>'Balance Sheet'!F29/'Balance Sheet'!F63</f>
        <v>0.89295580889234671</v>
      </c>
      <c r="E9" s="4">
        <f>'Balance Sheet'!G29/'Balance Sheet'!G63</f>
        <v>0.51231111406300822</v>
      </c>
    </row>
    <row r="11" spans="1:5" x14ac:dyDescent="0.35">
      <c r="A11" s="1" t="s">
        <v>244</v>
      </c>
    </row>
    <row r="13" spans="1:5" x14ac:dyDescent="0.35">
      <c r="A13" t="s">
        <v>245</v>
      </c>
      <c r="B13" s="4">
        <f>SUM('Balance Sheet'!D63,'Balance Sheet'!D51)/'Balance Sheet'!D35</f>
        <v>0.5170203783824675</v>
      </c>
      <c r="C13" s="4">
        <f>SUM('Balance Sheet'!E63,'Balance Sheet'!E51)/'Balance Sheet'!E35</f>
        <v>0.25481621672533755</v>
      </c>
      <c r="D13" s="4">
        <f>SUM('Balance Sheet'!F63,'Balance Sheet'!F51)/'Balance Sheet'!F35</f>
        <v>0.25996298316456667</v>
      </c>
      <c r="E13" s="4">
        <f>SUM('Balance Sheet'!G63,'Balance Sheet'!G51)/'Balance Sheet'!G35</f>
        <v>0.23068945058047446</v>
      </c>
    </row>
    <row r="15" spans="1:5" x14ac:dyDescent="0.35">
      <c r="A15" t="s">
        <v>246</v>
      </c>
      <c r="B15" s="4">
        <f>'Balance Sheet'!D64/'Balance Sheet'!D43</f>
        <v>1.0704807309487097</v>
      </c>
      <c r="C15" s="4">
        <f>'Balance Sheet'!E64/'Balance Sheet'!E43</f>
        <v>0.34195083473980609</v>
      </c>
      <c r="D15" s="4">
        <f>'Balance Sheet'!F64/'Balance Sheet'!F43</f>
        <v>0.35128375642103354</v>
      </c>
      <c r="E15" s="4">
        <f>'Balance Sheet'!G64/'Balance Sheet'!G43</f>
        <v>0.29989491630276188</v>
      </c>
    </row>
    <row r="17" spans="1:5" x14ac:dyDescent="0.35">
      <c r="A17" t="s">
        <v>248</v>
      </c>
      <c r="B17" s="4">
        <f>('Income Statement'!D10-SUM('Income Statement'!D15,'Income Statement'!D16,'Income Statement'!D13))/'Income Statement'!D14</f>
        <v>27.366761043626507</v>
      </c>
      <c r="C17" s="4">
        <f>('Income Statement'!E10-SUM('Income Statement'!E15,'Income Statement'!E16,'Income Statement'!E13))/'Income Statement'!E14</f>
        <v>22.760225621150251</v>
      </c>
      <c r="D17" s="4">
        <f>('Income Statement'!F10-SUM('Income Statement'!F15,'Income Statement'!F16,'Income Statement'!F13))/'Income Statement'!F14</f>
        <v>83.904191023481616</v>
      </c>
      <c r="E17" s="4">
        <f>('Income Statement'!G10-SUM('Income Statement'!G15,'Income Statement'!G16,'Income Statement'!G13))/'Income Statement'!G14</f>
        <v>58.925753647501416</v>
      </c>
    </row>
    <row r="19" spans="1:5" x14ac:dyDescent="0.35">
      <c r="A19" t="s">
        <v>249</v>
      </c>
      <c r="B19" s="4">
        <f>('Income Statement'!D10-SUM('Income Statement'!D13,'Income Statement'!D15,'Income Statement'!D16))/'Balance Sheet'!D64</f>
        <v>0.42427034257249846</v>
      </c>
      <c r="C19" s="4">
        <f>('Income Statement'!E10-SUM('Income Statement'!E13,'Income Statement'!E15,'Income Statement'!E16))/'Balance Sheet'!E64</f>
        <v>0.75973192658706523</v>
      </c>
      <c r="D19" s="4">
        <f>('Income Statement'!F10-SUM('Income Statement'!F13,'Income Statement'!F15,'Income Statement'!F16))/'Balance Sheet'!F64</f>
        <v>1.3568646363914574</v>
      </c>
      <c r="E19" s="4">
        <f>('Income Statement'!G10-SUM('Income Statement'!G13,'Income Statement'!G15,'Income Statement'!G16))/'Balance Sheet'!G64</f>
        <v>1.6101511624030407</v>
      </c>
    </row>
    <row r="21" spans="1:5" x14ac:dyDescent="0.35">
      <c r="A21" s="1" t="s">
        <v>250</v>
      </c>
    </row>
    <row r="23" spans="1:5" ht="29" x14ac:dyDescent="0.35">
      <c r="A23" s="3" t="s">
        <v>263</v>
      </c>
      <c r="B23" s="4">
        <f>'Income Statement'!D8/'Balance Sheet'!D28</f>
        <v>36.410457014319412</v>
      </c>
      <c r="C23" s="4">
        <f>'Income Statement'!E8/'Balance Sheet'!E28</f>
        <v>24.419736042851621</v>
      </c>
      <c r="D23" s="4">
        <f>'Income Statement'!F8/'Balance Sheet'!F28</f>
        <v>28.021202907597203</v>
      </c>
      <c r="E23" s="4">
        <f>'Income Statement'!G8/'Balance Sheet'!G28</f>
        <v>32.031270434376459</v>
      </c>
    </row>
    <row r="25" spans="1:5" x14ac:dyDescent="0.35">
      <c r="A25" t="s">
        <v>251</v>
      </c>
      <c r="B25" s="4">
        <f>'Income Statement'!D10/AVERAGE('Balance Sheet'!D22,'Balance Sheet'!D33)</f>
        <v>1.6419212439329718</v>
      </c>
      <c r="C25" s="4">
        <f>'Income Statement'!E10/AVERAGE('Balance Sheet'!E22,'Balance Sheet'!E33)</f>
        <v>1.6438566231442124</v>
      </c>
      <c r="D25" s="4">
        <f>'Income Statement'!F10/AVERAGE('Balance Sheet'!F22,'Balance Sheet'!F33)</f>
        <v>1.7711562335796889</v>
      </c>
      <c r="E25" s="4">
        <f>'Income Statement'!G10/AVERAGE('Balance Sheet'!G22,'Balance Sheet'!G33)</f>
        <v>1.8048023682770349</v>
      </c>
    </row>
    <row r="27" spans="1:5" x14ac:dyDescent="0.35">
      <c r="A27" s="1" t="s">
        <v>253</v>
      </c>
      <c r="B27">
        <v>2020</v>
      </c>
      <c r="C27">
        <v>2021</v>
      </c>
      <c r="D27">
        <v>2022</v>
      </c>
      <c r="E27">
        <v>2023</v>
      </c>
    </row>
    <row r="29" spans="1:5" x14ac:dyDescent="0.35">
      <c r="A29" t="s">
        <v>205</v>
      </c>
      <c r="B29">
        <v>33182.67</v>
      </c>
      <c r="C29">
        <v>26533.02</v>
      </c>
      <c r="D29">
        <v>41748.51</v>
      </c>
      <c r="E29">
        <v>54863.16</v>
      </c>
    </row>
    <row r="30" spans="1:5" x14ac:dyDescent="0.35">
      <c r="A30" t="s">
        <v>206</v>
      </c>
      <c r="B30">
        <v>0</v>
      </c>
      <c r="C30" s="8">
        <f>(C29-B29)/B29</f>
        <v>-0.20039526656534867</v>
      </c>
      <c r="D30" s="8">
        <f t="shared" ref="D30:E30" si="1">(D29-C29)/C29</f>
        <v>0.57345488753259155</v>
      </c>
      <c r="E30" s="8">
        <f t="shared" si="1"/>
        <v>0.3141345643233735</v>
      </c>
    </row>
    <row r="31" spans="1:5" x14ac:dyDescent="0.35">
      <c r="A31" s="1" t="s">
        <v>253</v>
      </c>
      <c r="B31">
        <v>2020</v>
      </c>
      <c r="C31">
        <v>2021</v>
      </c>
      <c r="D31">
        <v>2022</v>
      </c>
      <c r="E31">
        <v>2023</v>
      </c>
    </row>
    <row r="32" spans="1:5" x14ac:dyDescent="0.35">
      <c r="A32" t="s">
        <v>204</v>
      </c>
      <c r="B32" s="4">
        <f>'Income Statement'!D8-'Income Statement'!D13</f>
        <v>16462.489999999998</v>
      </c>
      <c r="C32" s="4">
        <f>'Income Statement'!E8-'Income Statement'!E13</f>
        <v>11457.54</v>
      </c>
      <c r="D32" s="4">
        <f>'Income Statement'!F8-'Income Statement'!F13</f>
        <v>22544.15</v>
      </c>
      <c r="E32" s="4">
        <f>'Income Statement'!G8-'Income Statement'!G13</f>
        <v>30680.720000000005</v>
      </c>
    </row>
    <row r="33" spans="1:5" x14ac:dyDescent="0.35">
      <c r="A33" t="s">
        <v>207</v>
      </c>
      <c r="B33" s="8">
        <f>B32/'Income Statement'!D8</f>
        <v>0.49611709967883832</v>
      </c>
      <c r="C33" s="8">
        <f>C32/'Income Statement'!E8</f>
        <v>0.43182193357559751</v>
      </c>
      <c r="D33" s="8">
        <f>D32/'Income Statement'!F8</f>
        <v>0.53999891253604027</v>
      </c>
      <c r="E33" s="8">
        <f>E32/'Income Statement'!G8</f>
        <v>0.55922261860235545</v>
      </c>
    </row>
    <row r="34" spans="1:5" x14ac:dyDescent="0.35">
      <c r="A34" s="1" t="s">
        <v>253</v>
      </c>
      <c r="B34">
        <v>2020</v>
      </c>
      <c r="C34">
        <v>2021</v>
      </c>
      <c r="D34">
        <v>2022</v>
      </c>
      <c r="E34">
        <v>2023</v>
      </c>
    </row>
    <row r="35" spans="1:5" x14ac:dyDescent="0.35">
      <c r="A35" t="s">
        <v>208</v>
      </c>
      <c r="B35" s="4">
        <f>'Income Statement'!D10-SUM('Income Statement'!D13,'Income Statement'!D16)</f>
        <v>11149.45</v>
      </c>
      <c r="C35" s="4">
        <f>'Income Statement'!E10-SUM('Income Statement'!E13,'Income Statement'!E16)</f>
        <v>8350.1499999999978</v>
      </c>
      <c r="D35" s="4">
        <f>'Income Statement'!F10-SUM('Income Statement'!F13,'Income Statement'!F16)</f>
        <v>18501.97</v>
      </c>
      <c r="E35" s="4">
        <f>'Income Statement'!G10-SUM('Income Statement'!G13,'Income Statement'!G16)</f>
        <v>24843.790000000005</v>
      </c>
    </row>
    <row r="36" spans="1:5" x14ac:dyDescent="0.35">
      <c r="A36" t="s">
        <v>209</v>
      </c>
      <c r="B36" s="8">
        <f>B35/'Income Statement'!D10</f>
        <v>0.33140750807306901</v>
      </c>
      <c r="C36" s="8">
        <f>C35/'Income Statement'!E10</f>
        <v>0.2990221970753647</v>
      </c>
      <c r="D36" s="8">
        <f>D35/'Income Statement'!F10</f>
        <v>0.43511615541258614</v>
      </c>
      <c r="E36" s="8">
        <f>E35/'Income Statement'!G10</f>
        <v>0.4449693270543244</v>
      </c>
    </row>
    <row r="38" spans="1:5" x14ac:dyDescent="0.35">
      <c r="A38" t="s">
        <v>211</v>
      </c>
      <c r="B38" s="4">
        <f>'Income Statement'!D10-SUM('Income Statement'!D13,'Income Statement'!D15,'Income Statement'!D16)</f>
        <v>8989.16</v>
      </c>
      <c r="C38" s="4">
        <f>'Income Statement'!E10-SUM('Income Statement'!E13,'Income Statement'!E15,'Income Statement'!E16)</f>
        <v>6577.2499999999964</v>
      </c>
      <c r="D38" s="4">
        <f>'Income Statement'!F10-SUM('Income Statement'!F13,'Income Statement'!F15,'Income Statement'!F16)</f>
        <v>16936.900000000001</v>
      </c>
      <c r="E38" s="4">
        <f>'Income Statement'!G10-SUM('Income Statement'!G13,'Income Statement'!G15,'Income Statement'!G16)</f>
        <v>23182.570000000003</v>
      </c>
    </row>
    <row r="39" spans="1:5" x14ac:dyDescent="0.35">
      <c r="A39" t="s">
        <v>212</v>
      </c>
      <c r="B39" s="8">
        <f>B38/'Income Statement'!D10</f>
        <v>0.26719480470069007</v>
      </c>
      <c r="C39" s="8">
        <f>C38/'Income Statement'!E10</f>
        <v>0.23553394199073574</v>
      </c>
      <c r="D39" s="8">
        <f>D38/'Income Statement'!F10</f>
        <v>0.39830995362155652</v>
      </c>
      <c r="E39" s="8">
        <f>E38/'Income Statement'!G10</f>
        <v>0.41521573690204955</v>
      </c>
    </row>
    <row r="41" spans="1:5" x14ac:dyDescent="0.35">
      <c r="A41" t="s">
        <v>215</v>
      </c>
      <c r="B41" s="4">
        <f>'Income Statement'!D18</f>
        <v>8660.6899999999987</v>
      </c>
      <c r="C41" s="4">
        <f>'Income Statement'!E18</f>
        <v>6288.2699999999968</v>
      </c>
      <c r="D41" s="4">
        <f>'Income Statement'!F18</f>
        <v>16735.04</v>
      </c>
      <c r="E41" s="4">
        <f>'Income Statement'!G18</f>
        <v>22789.150000000009</v>
      </c>
    </row>
    <row r="42" spans="1:5" x14ac:dyDescent="0.35">
      <c r="A42" t="s">
        <v>216</v>
      </c>
      <c r="B42" s="8">
        <f>B41/'Income Statement'!D10</f>
        <v>0.2574313254100738</v>
      </c>
      <c r="C42" s="8">
        <f>C41/'Income Statement'!E10</f>
        <v>0.22518545310001656</v>
      </c>
      <c r="D42" s="8">
        <f>D41/'Income Statement'!F10</f>
        <v>0.39356275388382128</v>
      </c>
      <c r="E42" s="8">
        <f>E41/'Income Statement'!G10</f>
        <v>0.40816931473177237</v>
      </c>
    </row>
    <row r="43" spans="1:5" x14ac:dyDescent="0.35">
      <c r="A43" s="1" t="s">
        <v>253</v>
      </c>
      <c r="B43">
        <v>2020</v>
      </c>
      <c r="C43">
        <v>2021</v>
      </c>
      <c r="D43">
        <v>2022</v>
      </c>
      <c r="E43">
        <v>2023</v>
      </c>
    </row>
    <row r="44" spans="1:5" x14ac:dyDescent="0.35">
      <c r="A44" t="s">
        <v>219</v>
      </c>
      <c r="B44" s="4">
        <f>'Income Statement'!D30</f>
        <v>6139.2699999999986</v>
      </c>
      <c r="C44" s="4">
        <f>'Income Statement'!E30</f>
        <v>4462.4399999999969</v>
      </c>
      <c r="D44" s="4">
        <f>'Income Statement'!F30</f>
        <v>12679.860000000002</v>
      </c>
      <c r="E44" s="4">
        <f>'Income Statement'!G30</f>
        <v>16860.110000000008</v>
      </c>
    </row>
    <row r="45" spans="1:5" x14ac:dyDescent="0.35">
      <c r="A45" t="s">
        <v>220</v>
      </c>
      <c r="B45" s="8">
        <f>B44/'Income Statement'!D8</f>
        <v>0.1850143463440404</v>
      </c>
      <c r="C45" s="8">
        <f>C44/'Income Statement'!E8</f>
        <v>0.16818439815746555</v>
      </c>
      <c r="D45" s="8">
        <f>D44/'Income Statement'!F8</f>
        <v>0.30372006090756298</v>
      </c>
      <c r="E45" s="8">
        <f>E44/'Income Statement'!G8</f>
        <v>0.30731204691818714</v>
      </c>
    </row>
    <row r="47" spans="1:5" x14ac:dyDescent="0.35">
      <c r="A47" t="s">
        <v>221</v>
      </c>
      <c r="B47">
        <v>1351.37</v>
      </c>
      <c r="C47">
        <v>1375.68</v>
      </c>
    </row>
    <row r="49" spans="1:5" x14ac:dyDescent="0.35">
      <c r="A49" t="s">
        <v>222</v>
      </c>
      <c r="B49">
        <v>16722.82</v>
      </c>
      <c r="C49">
        <v>20489.080000000002</v>
      </c>
    </row>
    <row r="50" spans="1:5" x14ac:dyDescent="0.35">
      <c r="A50" t="s">
        <v>227</v>
      </c>
      <c r="B50" s="4"/>
      <c r="C50" s="4">
        <f>('Income Statement'!E30-687.84)/'Income Statement'!E30</f>
        <v>0.84586011240487258</v>
      </c>
    </row>
    <row r="52" spans="1:5" x14ac:dyDescent="0.35">
      <c r="A52" t="s">
        <v>228</v>
      </c>
      <c r="B52">
        <v>0</v>
      </c>
      <c r="C52">
        <v>687</v>
      </c>
      <c r="D52">
        <v>2774.41</v>
      </c>
      <c r="E52">
        <v>4585.71</v>
      </c>
    </row>
    <row r="53" spans="1:5" x14ac:dyDescent="0.35">
      <c r="A53" t="s">
        <v>229</v>
      </c>
      <c r="B53">
        <v>0</v>
      </c>
      <c r="C53" s="8">
        <f>IF('Income Statement'!D30&gt;0, 'Ratio Analysis'!C52/'Income Statement'!D30, 0)</f>
        <v>0.11190255518978644</v>
      </c>
      <c r="D53" s="8">
        <f>IF('Income Statement'!E30&gt;0, 'Ratio Analysis'!D52/'Income Statement'!E30, 0)</f>
        <v>0.62172488593684216</v>
      </c>
      <c r="E53" s="8">
        <f>IF('Income Statement'!F30&gt;0, 'Ratio Analysis'!E52/'Income Statement'!F30, 0)</f>
        <v>0.36165304664247078</v>
      </c>
    </row>
    <row r="55" spans="1:5" x14ac:dyDescent="0.35">
      <c r="A55" t="s">
        <v>143</v>
      </c>
      <c r="B55" s="4">
        <f>'Income Statement'!D15</f>
        <v>2160.29</v>
      </c>
      <c r="C55" s="4">
        <f>'Income Statement'!E15</f>
        <v>1772.9</v>
      </c>
      <c r="D55" s="4">
        <f>'Income Statement'!F15</f>
        <v>1565.07</v>
      </c>
      <c r="E55" s="4">
        <f>'Income Statement'!G15</f>
        <v>1661.22</v>
      </c>
    </row>
    <row r="56" spans="1:5" x14ac:dyDescent="0.35">
      <c r="A56" t="s">
        <v>210</v>
      </c>
      <c r="B56" s="8">
        <f>B55/'Income Statement'!D10</f>
        <v>6.4212703372378929E-2</v>
      </c>
      <c r="C56" s="8">
        <f>C55/'Income Statement'!E10</f>
        <v>6.3488255084628936E-2</v>
      </c>
      <c r="D56" s="8">
        <f>D55/'Income Statement'!F10</f>
        <v>3.6806201791029607E-2</v>
      </c>
      <c r="E56" s="8">
        <f>E55/'Income Statement'!G10</f>
        <v>2.9753590152274863E-2</v>
      </c>
    </row>
    <row r="58" spans="1:5" x14ac:dyDescent="0.35">
      <c r="A58" t="s">
        <v>213</v>
      </c>
      <c r="B58" s="4">
        <f>'Income Statement'!D14</f>
        <v>328.47</v>
      </c>
      <c r="C58" s="4">
        <f>'Income Statement'!E14</f>
        <v>288.98</v>
      </c>
      <c r="D58" s="4">
        <f>'Income Statement'!F14</f>
        <v>201.86</v>
      </c>
      <c r="E58" s="4">
        <f>'Income Statement'!G14</f>
        <v>393.42</v>
      </c>
    </row>
    <row r="59" spans="1:5" x14ac:dyDescent="0.35">
      <c r="A59" t="s">
        <v>214</v>
      </c>
      <c r="B59" s="8">
        <f>B58/'Income Statement'!D10</f>
        <v>9.7634792906162171E-3</v>
      </c>
      <c r="C59" s="8">
        <f>C58/'Income Statement'!E10</f>
        <v>1.0348488890719199E-2</v>
      </c>
      <c r="D59" s="8">
        <f>D58/'Income Statement'!F10</f>
        <v>4.7471997377352051E-3</v>
      </c>
      <c r="E59" s="8">
        <f>E58/'Income Statement'!G10</f>
        <v>7.0464221702772516E-3</v>
      </c>
    </row>
    <row r="61" spans="1:5" x14ac:dyDescent="0.35">
      <c r="A61" t="s">
        <v>217</v>
      </c>
      <c r="B61">
        <f>'Income Statement'!D24</f>
        <v>2521.4199999999996</v>
      </c>
      <c r="C61">
        <f>'Income Statement'!E24</f>
        <v>1825.83</v>
      </c>
      <c r="D61">
        <f>'Income Statement'!F24</f>
        <v>4078.97</v>
      </c>
      <c r="E61">
        <f>'Income Statement'!G24</f>
        <v>5965.7000000000007</v>
      </c>
    </row>
    <row r="62" spans="1:5" x14ac:dyDescent="0.35">
      <c r="A62" t="s">
        <v>218</v>
      </c>
      <c r="B62" s="8">
        <f>B61/'Income Statement'!D18</f>
        <v>0.29113384730315944</v>
      </c>
      <c r="C62" s="8">
        <f>C61/'Income Statement'!E18</f>
        <v>0.2903548988831588</v>
      </c>
      <c r="D62" s="8">
        <f>D61/'Income Statement'!F18</f>
        <v>0.24373828804711548</v>
      </c>
      <c r="E62" s="8">
        <f>E61/'Income Statement'!G18</f>
        <v>0.26177808299124794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456C-CD18-499C-AE94-9A9A51A2A757}">
  <sheetPr codeName="Sheet11"/>
  <dimension ref="A1:M362"/>
  <sheetViews>
    <sheetView tabSelected="1" workbookViewId="0">
      <selection activeCell="M314" sqref="M314"/>
    </sheetView>
  </sheetViews>
  <sheetFormatPr defaultRowHeight="14.5" x14ac:dyDescent="0.35"/>
  <cols>
    <col min="1" max="1" width="9.7265625" bestFit="1" customWidth="1"/>
    <col min="2" max="2" width="7.36328125" hidden="1" customWidth="1"/>
    <col min="3" max="3" width="6.54296875" hidden="1" customWidth="1"/>
    <col min="4" max="4" width="6.36328125" hidden="1" customWidth="1"/>
    <col min="5" max="5" width="7.26953125" customWidth="1"/>
    <col min="6" max="6" width="14" hidden="1" customWidth="1"/>
    <col min="7" max="7" width="20.81640625" hidden="1" customWidth="1"/>
    <col min="8" max="8" width="20" hidden="1" customWidth="1"/>
    <col min="9" max="9" width="5.54296875" hidden="1" customWidth="1"/>
    <col min="10" max="10" width="6" hidden="1" customWidth="1"/>
    <col min="11" max="11" width="15.26953125" bestFit="1" customWidth="1"/>
    <col min="12" max="24" width="9.1796875" bestFit="1" customWidth="1"/>
    <col min="25" max="44" width="8.81640625" bestFit="1" customWidth="1"/>
    <col min="45" max="64" width="9.08984375" bestFit="1" customWidth="1"/>
    <col min="65" max="85" width="9.54296875" bestFit="1" customWidth="1"/>
    <col min="86" max="104" width="9.08984375" bestFit="1" customWidth="1"/>
    <col min="105" max="125" width="9.7265625" bestFit="1" customWidth="1"/>
    <col min="126" max="147" width="8.90625" bestFit="1" customWidth="1"/>
    <col min="148" max="168" width="8.26953125" bestFit="1" customWidth="1"/>
    <col min="169" max="188" width="9.26953125" bestFit="1" customWidth="1"/>
    <col min="189" max="210" width="9.08984375" bestFit="1" customWidth="1"/>
    <col min="211" max="229" width="9" bestFit="1" customWidth="1"/>
    <col min="230" max="250" width="9.36328125" bestFit="1" customWidth="1"/>
    <col min="251" max="272" width="9.1796875" bestFit="1" customWidth="1"/>
    <col min="273" max="293" width="8.81640625" bestFit="1" customWidth="1"/>
    <col min="294" max="313" width="9.08984375" bestFit="1" customWidth="1"/>
    <col min="314" max="334" width="9.54296875" bestFit="1" customWidth="1"/>
    <col min="335" max="351" width="9.08984375" bestFit="1" customWidth="1"/>
    <col min="352" max="371" width="9.7265625" bestFit="1" customWidth="1"/>
    <col min="372" max="372" width="10.7265625" bestFit="1" customWidth="1"/>
  </cols>
  <sheetData>
    <row r="1" spans="1:11" x14ac:dyDescent="0.35">
      <c r="A1" s="29" t="s">
        <v>230</v>
      </c>
      <c r="B1" s="30" t="s">
        <v>231</v>
      </c>
      <c r="C1" s="30" t="s">
        <v>232</v>
      </c>
      <c r="D1" s="30" t="s">
        <v>233</v>
      </c>
      <c r="E1" s="30" t="s">
        <v>234</v>
      </c>
      <c r="F1" s="30" t="s">
        <v>235</v>
      </c>
      <c r="G1" s="30" t="s">
        <v>236</v>
      </c>
      <c r="H1" s="30" t="s">
        <v>237</v>
      </c>
      <c r="I1" s="30" t="s">
        <v>238</v>
      </c>
      <c r="J1" s="31" t="s">
        <v>239</v>
      </c>
      <c r="K1" s="30" t="s">
        <v>262</v>
      </c>
    </row>
    <row r="2" spans="1:11" hidden="1" x14ac:dyDescent="0.35">
      <c r="A2" s="27">
        <v>44544</v>
      </c>
      <c r="B2" s="22">
        <v>600</v>
      </c>
      <c r="C2" s="22">
        <v>615</v>
      </c>
      <c r="D2" s="22">
        <v>565.54999999999995</v>
      </c>
      <c r="E2" s="22">
        <v>583.54999999999995</v>
      </c>
      <c r="F2" s="22">
        <v>319364</v>
      </c>
      <c r="G2" s="22">
        <v>8232465801.6499996</v>
      </c>
      <c r="H2" s="22">
        <v>5451106</v>
      </c>
      <c r="I2" s="22">
        <v>49.45</v>
      </c>
      <c r="J2" s="28">
        <v>-16.45</v>
      </c>
      <c r="K2" s="35"/>
    </row>
    <row r="3" spans="1:11" hidden="1" x14ac:dyDescent="0.35">
      <c r="A3" s="27">
        <v>44545</v>
      </c>
      <c r="B3" s="22">
        <v>585</v>
      </c>
      <c r="C3" s="22">
        <v>598.79999999999995</v>
      </c>
      <c r="D3" s="22">
        <v>578</v>
      </c>
      <c r="E3" s="22">
        <v>584.95000000000005</v>
      </c>
      <c r="F3" s="22">
        <v>37584</v>
      </c>
      <c r="G3" s="22">
        <v>788198410.64999998</v>
      </c>
      <c r="H3" s="22">
        <v>506378</v>
      </c>
      <c r="I3" s="22">
        <v>20.8</v>
      </c>
      <c r="J3" s="28">
        <v>-0.05</v>
      </c>
      <c r="K3" s="22"/>
    </row>
    <row r="4" spans="1:11" hidden="1" x14ac:dyDescent="0.35">
      <c r="A4" s="27">
        <v>44546</v>
      </c>
      <c r="B4" s="22">
        <v>586</v>
      </c>
      <c r="C4" s="22">
        <v>594.5</v>
      </c>
      <c r="D4" s="22">
        <v>566.1</v>
      </c>
      <c r="E4" s="22">
        <v>570.9</v>
      </c>
      <c r="F4" s="22">
        <v>15551</v>
      </c>
      <c r="G4" s="22">
        <v>385745769.14999998</v>
      </c>
      <c r="H4" s="22">
        <v>317529</v>
      </c>
      <c r="I4" s="22">
        <v>28.4</v>
      </c>
      <c r="J4" s="28">
        <v>-15.1</v>
      </c>
      <c r="K4" s="22"/>
    </row>
    <row r="5" spans="1:11" hidden="1" x14ac:dyDescent="0.35">
      <c r="A5" s="27">
        <v>44547</v>
      </c>
      <c r="B5" s="22">
        <v>570.79999999999995</v>
      </c>
      <c r="C5" s="22">
        <v>578.95000000000005</v>
      </c>
      <c r="D5" s="22">
        <v>564.95000000000005</v>
      </c>
      <c r="E5" s="22">
        <v>568.75</v>
      </c>
      <c r="F5" s="22">
        <v>11469</v>
      </c>
      <c r="G5" s="22">
        <v>377778903.64999998</v>
      </c>
      <c r="H5" s="22">
        <v>324058</v>
      </c>
      <c r="I5" s="22">
        <v>14</v>
      </c>
      <c r="J5" s="28">
        <v>-2.0499999999999998</v>
      </c>
      <c r="K5" s="22"/>
    </row>
    <row r="6" spans="1:11" hidden="1" x14ac:dyDescent="0.35">
      <c r="A6" s="27">
        <v>44550</v>
      </c>
      <c r="B6" s="22">
        <v>555</v>
      </c>
      <c r="C6" s="22">
        <v>560.65</v>
      </c>
      <c r="D6" s="22">
        <v>542.6</v>
      </c>
      <c r="E6" s="22">
        <v>551.54999999999995</v>
      </c>
      <c r="F6" s="22">
        <v>10998</v>
      </c>
      <c r="G6" s="22">
        <v>435847172</v>
      </c>
      <c r="H6" s="22">
        <v>447914</v>
      </c>
      <c r="I6" s="22">
        <v>18.05</v>
      </c>
      <c r="J6" s="28">
        <v>-3.45</v>
      </c>
      <c r="K6" s="22"/>
    </row>
    <row r="7" spans="1:11" hidden="1" x14ac:dyDescent="0.35">
      <c r="A7" s="27">
        <v>44551</v>
      </c>
      <c r="B7" s="22">
        <v>552</v>
      </c>
      <c r="C7" s="22">
        <v>578.4</v>
      </c>
      <c r="D7" s="22">
        <v>552</v>
      </c>
      <c r="E7" s="22">
        <v>574.65</v>
      </c>
      <c r="F7" s="22">
        <v>9561</v>
      </c>
      <c r="G7" s="22">
        <v>325559709.30000001</v>
      </c>
      <c r="H7" s="22">
        <v>305525</v>
      </c>
      <c r="I7" s="22">
        <v>26.4</v>
      </c>
      <c r="J7" s="28">
        <v>22.65</v>
      </c>
      <c r="K7" s="22"/>
    </row>
    <row r="8" spans="1:11" hidden="1" x14ac:dyDescent="0.35">
      <c r="A8" s="27">
        <v>44552</v>
      </c>
      <c r="B8" s="22">
        <v>570</v>
      </c>
      <c r="C8" s="22">
        <v>588.95000000000005</v>
      </c>
      <c r="D8" s="22">
        <v>570</v>
      </c>
      <c r="E8" s="22">
        <v>580.5</v>
      </c>
      <c r="F8" s="22">
        <v>7393</v>
      </c>
      <c r="G8" s="22">
        <v>175488211.80000001</v>
      </c>
      <c r="H8" s="22">
        <v>121160</v>
      </c>
      <c r="I8" s="22">
        <v>18.95</v>
      </c>
      <c r="J8" s="28">
        <v>10.5</v>
      </c>
      <c r="K8" s="22"/>
    </row>
    <row r="9" spans="1:11" hidden="1" x14ac:dyDescent="0.35">
      <c r="A9" s="27">
        <v>44553</v>
      </c>
      <c r="B9" s="22">
        <v>580.5</v>
      </c>
      <c r="C9" s="22">
        <v>587</v>
      </c>
      <c r="D9" s="22">
        <v>570.04999999999995</v>
      </c>
      <c r="E9" s="22">
        <v>576.1</v>
      </c>
      <c r="F9" s="22">
        <v>6376</v>
      </c>
      <c r="G9" s="22">
        <v>118988959.2</v>
      </c>
      <c r="H9" s="22">
        <v>93514</v>
      </c>
      <c r="I9" s="22">
        <v>16.95</v>
      </c>
      <c r="J9" s="28">
        <v>-4.4000000000000004</v>
      </c>
      <c r="K9" s="22"/>
    </row>
    <row r="10" spans="1:11" hidden="1" x14ac:dyDescent="0.35">
      <c r="A10" s="27">
        <v>44554</v>
      </c>
      <c r="B10" s="22">
        <v>574.1</v>
      </c>
      <c r="C10" s="22">
        <v>577.29999999999995</v>
      </c>
      <c r="D10" s="22">
        <v>565.6</v>
      </c>
      <c r="E10" s="22">
        <v>571.4</v>
      </c>
      <c r="F10" s="22">
        <v>4229</v>
      </c>
      <c r="G10" s="22">
        <v>84635480.5</v>
      </c>
      <c r="H10" s="22">
        <v>50162</v>
      </c>
      <c r="I10" s="22">
        <v>11.7</v>
      </c>
      <c r="J10" s="28">
        <v>-2.7</v>
      </c>
      <c r="K10" s="22"/>
    </row>
    <row r="11" spans="1:11" hidden="1" x14ac:dyDescent="0.35">
      <c r="A11" s="27">
        <v>44557</v>
      </c>
      <c r="B11" s="22">
        <v>563.1</v>
      </c>
      <c r="C11" s="22">
        <v>572.95000000000005</v>
      </c>
      <c r="D11" s="22">
        <v>563.1</v>
      </c>
      <c r="E11" s="22">
        <v>571.45000000000005</v>
      </c>
      <c r="F11" s="22">
        <v>3483</v>
      </c>
      <c r="G11" s="22">
        <v>124678631.34999999</v>
      </c>
      <c r="H11" s="22">
        <v>148836</v>
      </c>
      <c r="I11" s="22">
        <v>9.85</v>
      </c>
      <c r="J11" s="28">
        <v>8.35</v>
      </c>
      <c r="K11" s="22"/>
    </row>
    <row r="12" spans="1:11" hidden="1" x14ac:dyDescent="0.35">
      <c r="A12" s="27">
        <v>44558</v>
      </c>
      <c r="B12" s="22">
        <v>572</v>
      </c>
      <c r="C12" s="22">
        <v>578</v>
      </c>
      <c r="D12" s="22">
        <v>567</v>
      </c>
      <c r="E12" s="22">
        <v>572.04999999999995</v>
      </c>
      <c r="F12" s="22">
        <v>5050</v>
      </c>
      <c r="G12" s="22">
        <v>135000118.75</v>
      </c>
      <c r="H12" s="22">
        <v>72884</v>
      </c>
      <c r="I12" s="22">
        <v>11</v>
      </c>
      <c r="J12" s="28">
        <v>0.05</v>
      </c>
      <c r="K12" s="22"/>
    </row>
    <row r="13" spans="1:11" hidden="1" x14ac:dyDescent="0.35">
      <c r="A13" s="27">
        <v>44559</v>
      </c>
      <c r="B13" s="22">
        <v>570.1</v>
      </c>
      <c r="C13" s="22">
        <v>602.04999999999995</v>
      </c>
      <c r="D13" s="22">
        <v>568.20000000000005</v>
      </c>
      <c r="E13" s="22">
        <v>583.15</v>
      </c>
      <c r="F13" s="22">
        <v>11440</v>
      </c>
      <c r="G13" s="22">
        <v>218513923.09999999</v>
      </c>
      <c r="H13" s="22">
        <v>117476</v>
      </c>
      <c r="I13" s="22">
        <v>33.85</v>
      </c>
      <c r="J13" s="28">
        <v>13.05</v>
      </c>
      <c r="K13" s="22"/>
    </row>
    <row r="14" spans="1:11" hidden="1" x14ac:dyDescent="0.35">
      <c r="A14" s="27">
        <v>44560</v>
      </c>
      <c r="B14" s="22">
        <v>580.15</v>
      </c>
      <c r="C14" s="22">
        <v>605</v>
      </c>
      <c r="D14" s="22">
        <v>580.15</v>
      </c>
      <c r="E14" s="22">
        <v>585.75</v>
      </c>
      <c r="F14" s="22">
        <v>16879</v>
      </c>
      <c r="G14" s="22">
        <v>379212554.14999998</v>
      </c>
      <c r="H14" s="22">
        <v>244712</v>
      </c>
      <c r="I14" s="22">
        <v>24.85</v>
      </c>
      <c r="J14" s="28">
        <v>5.6</v>
      </c>
      <c r="K14" s="22"/>
    </row>
    <row r="15" spans="1:11" hidden="1" x14ac:dyDescent="0.35">
      <c r="A15" s="27">
        <v>44561</v>
      </c>
      <c r="B15" s="22">
        <v>587.95000000000005</v>
      </c>
      <c r="C15" s="22">
        <v>606</v>
      </c>
      <c r="D15" s="22">
        <v>585</v>
      </c>
      <c r="E15" s="22">
        <v>588.5</v>
      </c>
      <c r="F15" s="22">
        <v>12529</v>
      </c>
      <c r="G15" s="22">
        <v>228593133.25</v>
      </c>
      <c r="H15" s="22">
        <v>161669</v>
      </c>
      <c r="I15" s="22">
        <v>21</v>
      </c>
      <c r="J15" s="28">
        <v>0.55000000000000004</v>
      </c>
      <c r="K15" s="22"/>
    </row>
    <row r="16" spans="1:11" x14ac:dyDescent="0.35">
      <c r="A16" s="27">
        <v>44564</v>
      </c>
      <c r="B16" s="22">
        <v>595</v>
      </c>
      <c r="C16" s="22">
        <v>642.5</v>
      </c>
      <c r="D16" s="22">
        <v>592.04999999999995</v>
      </c>
      <c r="E16" s="22">
        <v>632.75</v>
      </c>
      <c r="F16" s="22">
        <v>33224</v>
      </c>
      <c r="G16" s="22">
        <v>697656275.70000005</v>
      </c>
      <c r="H16" s="22">
        <v>431239</v>
      </c>
      <c r="I16" s="22">
        <v>50.45</v>
      </c>
      <c r="J16" s="28">
        <v>37.75</v>
      </c>
      <c r="K16" s="22"/>
    </row>
    <row r="17" spans="1:11" x14ac:dyDescent="0.35">
      <c r="A17" s="27">
        <v>44565</v>
      </c>
      <c r="B17" s="22">
        <v>629.70000000000005</v>
      </c>
      <c r="C17" s="22">
        <v>654</v>
      </c>
      <c r="D17" s="22">
        <v>618.35</v>
      </c>
      <c r="E17" s="22">
        <v>639.79999999999995</v>
      </c>
      <c r="F17" s="22">
        <v>29073</v>
      </c>
      <c r="G17" s="22">
        <v>603868060.54999995</v>
      </c>
      <c r="H17" s="22">
        <v>252404</v>
      </c>
      <c r="I17" s="22">
        <v>35.65</v>
      </c>
      <c r="J17" s="28">
        <v>10.1</v>
      </c>
      <c r="K17" s="22"/>
    </row>
    <row r="18" spans="1:11" x14ac:dyDescent="0.35">
      <c r="A18" s="27">
        <v>44566</v>
      </c>
      <c r="B18" s="22">
        <v>635.9</v>
      </c>
      <c r="C18" s="22">
        <v>648.5</v>
      </c>
      <c r="D18" s="22">
        <v>631.4</v>
      </c>
      <c r="E18" s="22">
        <v>637.1</v>
      </c>
      <c r="F18" s="22">
        <v>12939</v>
      </c>
      <c r="G18" s="22">
        <v>220788553.5</v>
      </c>
      <c r="H18" s="22">
        <v>104128</v>
      </c>
      <c r="I18" s="22">
        <v>17.100000000000001</v>
      </c>
      <c r="J18" s="28">
        <v>1.2</v>
      </c>
      <c r="K18" s="22"/>
    </row>
    <row r="19" spans="1:11" x14ac:dyDescent="0.35">
      <c r="A19" s="27">
        <v>44567</v>
      </c>
      <c r="B19" s="22">
        <v>634.9</v>
      </c>
      <c r="C19" s="22">
        <v>642</v>
      </c>
      <c r="D19" s="22">
        <v>624</v>
      </c>
      <c r="E19" s="22">
        <v>634.70000000000005</v>
      </c>
      <c r="F19" s="22">
        <v>9114</v>
      </c>
      <c r="G19" s="22">
        <v>190736727.55000001</v>
      </c>
      <c r="H19" s="22">
        <v>131482</v>
      </c>
      <c r="I19" s="22">
        <v>18</v>
      </c>
      <c r="J19" s="28">
        <v>-0.2</v>
      </c>
      <c r="K19" s="22"/>
    </row>
    <row r="20" spans="1:11" x14ac:dyDescent="0.35">
      <c r="A20" s="27">
        <v>44568</v>
      </c>
      <c r="B20" s="22">
        <v>646</v>
      </c>
      <c r="C20" s="22">
        <v>649</v>
      </c>
      <c r="D20" s="22">
        <v>608</v>
      </c>
      <c r="E20" s="22">
        <v>619.45000000000005</v>
      </c>
      <c r="F20" s="22">
        <v>33205</v>
      </c>
      <c r="G20" s="22">
        <v>599266038.20000005</v>
      </c>
      <c r="H20" s="22">
        <v>336518</v>
      </c>
      <c r="I20" s="22">
        <v>41</v>
      </c>
      <c r="J20" s="28">
        <v>-26.55</v>
      </c>
      <c r="K20" s="22"/>
    </row>
    <row r="21" spans="1:11" x14ac:dyDescent="0.35">
      <c r="A21" s="27">
        <v>44571</v>
      </c>
      <c r="B21" s="22">
        <v>610.1</v>
      </c>
      <c r="C21" s="22">
        <v>644.4</v>
      </c>
      <c r="D21" s="22">
        <v>597.04999999999995</v>
      </c>
      <c r="E21" s="22">
        <v>629.29999999999995</v>
      </c>
      <c r="F21" s="22">
        <v>30177</v>
      </c>
      <c r="G21" s="22">
        <v>729075455</v>
      </c>
      <c r="H21" s="22">
        <v>501768</v>
      </c>
      <c r="I21" s="22">
        <v>47.35</v>
      </c>
      <c r="J21" s="28">
        <v>19.2</v>
      </c>
      <c r="K21" s="22"/>
    </row>
    <row r="22" spans="1:11" x14ac:dyDescent="0.35">
      <c r="A22" s="27">
        <v>44572</v>
      </c>
      <c r="B22" s="22">
        <v>629.70000000000005</v>
      </c>
      <c r="C22" s="22">
        <v>640.75</v>
      </c>
      <c r="D22" s="22">
        <v>619</v>
      </c>
      <c r="E22" s="22">
        <v>626</v>
      </c>
      <c r="F22" s="22">
        <v>11154</v>
      </c>
      <c r="G22" s="22">
        <v>238004216.80000001</v>
      </c>
      <c r="H22" s="22">
        <v>174953</v>
      </c>
      <c r="I22" s="22">
        <v>21.75</v>
      </c>
      <c r="J22" s="28">
        <v>-3.7</v>
      </c>
      <c r="K22" s="22"/>
    </row>
    <row r="23" spans="1:11" x14ac:dyDescent="0.35">
      <c r="A23" s="27">
        <v>44573</v>
      </c>
      <c r="B23" s="22">
        <v>630.70000000000005</v>
      </c>
      <c r="C23" s="22">
        <v>634.9</v>
      </c>
      <c r="D23" s="22">
        <v>610.1</v>
      </c>
      <c r="E23" s="22">
        <v>618.45000000000005</v>
      </c>
      <c r="F23" s="22">
        <v>7537</v>
      </c>
      <c r="G23" s="22">
        <v>100652596.34999999</v>
      </c>
      <c r="H23" s="22">
        <v>85937</v>
      </c>
      <c r="I23" s="22">
        <v>24.8</v>
      </c>
      <c r="J23" s="28">
        <v>-12.25</v>
      </c>
      <c r="K23" s="22"/>
    </row>
    <row r="24" spans="1:11" x14ac:dyDescent="0.35">
      <c r="A24" s="27">
        <v>44574</v>
      </c>
      <c r="B24" s="22">
        <v>623.45000000000005</v>
      </c>
      <c r="C24" s="22">
        <v>627.9</v>
      </c>
      <c r="D24" s="22">
        <v>613.79999999999995</v>
      </c>
      <c r="E24" s="22">
        <v>619.9</v>
      </c>
      <c r="F24" s="22">
        <v>11854</v>
      </c>
      <c r="G24" s="22">
        <v>218284732.40000001</v>
      </c>
      <c r="H24" s="22">
        <v>272165</v>
      </c>
      <c r="I24" s="22">
        <v>14.1</v>
      </c>
      <c r="J24" s="28">
        <v>-3.55</v>
      </c>
      <c r="K24" s="22"/>
    </row>
    <row r="25" spans="1:11" x14ac:dyDescent="0.35">
      <c r="A25" s="27">
        <v>44575</v>
      </c>
      <c r="B25" s="22">
        <v>623.9</v>
      </c>
      <c r="C25" s="22">
        <v>629</v>
      </c>
      <c r="D25" s="22">
        <v>616.54999999999995</v>
      </c>
      <c r="E25" s="22">
        <v>622.95000000000005</v>
      </c>
      <c r="F25" s="22">
        <v>3666</v>
      </c>
      <c r="G25" s="22">
        <v>103694255.15000001</v>
      </c>
      <c r="H25" s="22">
        <v>61407</v>
      </c>
      <c r="I25" s="22">
        <v>12.45</v>
      </c>
      <c r="J25" s="28">
        <v>-0.95</v>
      </c>
      <c r="K25" s="22"/>
    </row>
    <row r="26" spans="1:11" x14ac:dyDescent="0.35">
      <c r="A26" s="27">
        <v>44578</v>
      </c>
      <c r="B26" s="22">
        <v>628.5</v>
      </c>
      <c r="C26" s="22">
        <v>638.04999999999995</v>
      </c>
      <c r="D26" s="22">
        <v>616.1</v>
      </c>
      <c r="E26" s="22">
        <v>619</v>
      </c>
      <c r="F26" s="22">
        <v>7555</v>
      </c>
      <c r="G26" s="22">
        <v>168614625.80000001</v>
      </c>
      <c r="H26" s="22">
        <v>105788</v>
      </c>
      <c r="I26" s="22">
        <v>21.95</v>
      </c>
      <c r="J26" s="28">
        <v>-9.5</v>
      </c>
      <c r="K26" s="22"/>
    </row>
    <row r="27" spans="1:11" x14ac:dyDescent="0.35">
      <c r="A27" s="27">
        <v>44579</v>
      </c>
      <c r="B27" s="22">
        <v>626</v>
      </c>
      <c r="C27" s="22">
        <v>630.04999999999995</v>
      </c>
      <c r="D27" s="22">
        <v>610</v>
      </c>
      <c r="E27" s="22">
        <v>613.5</v>
      </c>
      <c r="F27" s="22">
        <v>5050</v>
      </c>
      <c r="G27" s="22">
        <v>95705425.150000006</v>
      </c>
      <c r="H27" s="22">
        <v>72894</v>
      </c>
      <c r="I27" s="22">
        <v>20.05</v>
      </c>
      <c r="J27" s="28">
        <v>-12.5</v>
      </c>
      <c r="K27" s="22"/>
    </row>
    <row r="28" spans="1:11" x14ac:dyDescent="0.35">
      <c r="A28" s="27">
        <v>44580</v>
      </c>
      <c r="B28" s="22">
        <v>613</v>
      </c>
      <c r="C28" s="22">
        <v>621</v>
      </c>
      <c r="D28" s="22">
        <v>599.70000000000005</v>
      </c>
      <c r="E28" s="22">
        <v>610.85</v>
      </c>
      <c r="F28" s="22">
        <v>3406</v>
      </c>
      <c r="G28" s="22">
        <v>88490618.25</v>
      </c>
      <c r="H28" s="22">
        <v>82053</v>
      </c>
      <c r="I28" s="22">
        <v>21.3</v>
      </c>
      <c r="J28" s="28">
        <v>-2.15</v>
      </c>
      <c r="K28" s="22"/>
    </row>
    <row r="29" spans="1:11" x14ac:dyDescent="0.35">
      <c r="A29" s="27">
        <v>44581</v>
      </c>
      <c r="B29" s="22">
        <v>605.1</v>
      </c>
      <c r="C29" s="22">
        <v>626.4</v>
      </c>
      <c r="D29" s="22">
        <v>602.75</v>
      </c>
      <c r="E29" s="22">
        <v>605.04999999999995</v>
      </c>
      <c r="F29" s="22">
        <v>7430</v>
      </c>
      <c r="G29" s="22">
        <v>190022434.75</v>
      </c>
      <c r="H29" s="22">
        <v>186736</v>
      </c>
      <c r="I29" s="22">
        <v>23.65</v>
      </c>
      <c r="J29" s="28">
        <v>-0.05</v>
      </c>
      <c r="K29" s="22"/>
    </row>
    <row r="30" spans="1:11" x14ac:dyDescent="0.35">
      <c r="A30" s="27">
        <v>44582</v>
      </c>
      <c r="B30" s="22">
        <v>596</v>
      </c>
      <c r="C30" s="22">
        <v>620.9</v>
      </c>
      <c r="D30" s="22">
        <v>595.95000000000005</v>
      </c>
      <c r="E30" s="22">
        <v>603.1</v>
      </c>
      <c r="F30" s="22">
        <v>8485</v>
      </c>
      <c r="G30" s="22">
        <v>129276636.75</v>
      </c>
      <c r="H30" s="22">
        <v>80460</v>
      </c>
      <c r="I30" s="22">
        <v>24.95</v>
      </c>
      <c r="J30" s="28">
        <v>7.1</v>
      </c>
      <c r="K30" s="22"/>
    </row>
    <row r="31" spans="1:11" x14ac:dyDescent="0.35">
      <c r="A31" s="27">
        <v>44585</v>
      </c>
      <c r="B31" s="22">
        <v>604.9</v>
      </c>
      <c r="C31" s="22">
        <v>608.29999999999995</v>
      </c>
      <c r="D31" s="22">
        <v>571</v>
      </c>
      <c r="E31" s="22">
        <v>580.04999999999995</v>
      </c>
      <c r="F31" s="22">
        <v>8922</v>
      </c>
      <c r="G31" s="22">
        <v>185131135.15000001</v>
      </c>
      <c r="H31" s="22">
        <v>209995</v>
      </c>
      <c r="I31" s="22">
        <v>37.299999999999997</v>
      </c>
      <c r="J31" s="28">
        <v>-24.85</v>
      </c>
      <c r="K31" s="22"/>
    </row>
    <row r="32" spans="1:11" x14ac:dyDescent="0.35">
      <c r="A32" s="27">
        <v>44586</v>
      </c>
      <c r="B32" s="22">
        <v>580</v>
      </c>
      <c r="C32" s="22">
        <v>600.79999999999995</v>
      </c>
      <c r="D32" s="22">
        <v>574.25</v>
      </c>
      <c r="E32" s="22">
        <v>592.45000000000005</v>
      </c>
      <c r="F32" s="22">
        <v>6665</v>
      </c>
      <c r="G32" s="22">
        <v>89000579.849999994</v>
      </c>
      <c r="H32" s="22">
        <v>58599</v>
      </c>
      <c r="I32" s="22">
        <v>26.55</v>
      </c>
      <c r="J32" s="28">
        <v>12.45</v>
      </c>
      <c r="K32" s="22"/>
    </row>
    <row r="33" spans="1:11" x14ac:dyDescent="0.35">
      <c r="A33" s="27">
        <v>44588</v>
      </c>
      <c r="B33" s="22">
        <v>590</v>
      </c>
      <c r="C33" s="22">
        <v>599</v>
      </c>
      <c r="D33" s="22">
        <v>582.79999999999995</v>
      </c>
      <c r="E33" s="22">
        <v>593.70000000000005</v>
      </c>
      <c r="F33" s="22">
        <v>2862</v>
      </c>
      <c r="G33" s="22">
        <v>29365338.399999999</v>
      </c>
      <c r="H33" s="22">
        <v>21118</v>
      </c>
      <c r="I33" s="22">
        <v>16.2</v>
      </c>
      <c r="J33" s="28">
        <v>3.7</v>
      </c>
      <c r="K33" s="22"/>
    </row>
    <row r="34" spans="1:11" x14ac:dyDescent="0.35">
      <c r="A34" s="27">
        <v>44589</v>
      </c>
      <c r="B34" s="22">
        <v>596.9</v>
      </c>
      <c r="C34" s="22">
        <v>610.95000000000005</v>
      </c>
      <c r="D34" s="22">
        <v>590</v>
      </c>
      <c r="E34" s="22">
        <v>594.20000000000005</v>
      </c>
      <c r="F34" s="22">
        <v>4865</v>
      </c>
      <c r="G34" s="22">
        <v>59647465.350000001</v>
      </c>
      <c r="H34" s="22">
        <v>46422</v>
      </c>
      <c r="I34" s="22">
        <v>20.95</v>
      </c>
      <c r="J34" s="28">
        <v>-2.7</v>
      </c>
      <c r="K34" s="22"/>
    </row>
    <row r="35" spans="1:11" x14ac:dyDescent="0.35">
      <c r="A35" s="27">
        <v>44592</v>
      </c>
      <c r="B35" s="22">
        <v>599.65</v>
      </c>
      <c r="C35" s="22">
        <v>604</v>
      </c>
      <c r="D35" s="22">
        <v>581</v>
      </c>
      <c r="E35" s="22">
        <v>584.5</v>
      </c>
      <c r="F35" s="22">
        <v>4672</v>
      </c>
      <c r="G35" s="22">
        <v>117729994.25</v>
      </c>
      <c r="H35" s="22">
        <v>156247</v>
      </c>
      <c r="I35" s="22">
        <v>23</v>
      </c>
      <c r="J35" s="28">
        <v>-15.15</v>
      </c>
      <c r="K35" s="22"/>
    </row>
    <row r="36" spans="1:11" x14ac:dyDescent="0.35">
      <c r="A36" s="27">
        <v>44593</v>
      </c>
      <c r="B36" s="22">
        <v>589</v>
      </c>
      <c r="C36" s="22">
        <v>598</v>
      </c>
      <c r="D36" s="22">
        <v>580</v>
      </c>
      <c r="E36" s="22">
        <v>589.1</v>
      </c>
      <c r="F36" s="22">
        <v>6229</v>
      </c>
      <c r="G36" s="22">
        <v>82474998.200000003</v>
      </c>
      <c r="H36" s="22">
        <v>53919</v>
      </c>
      <c r="I36" s="22">
        <v>18</v>
      </c>
      <c r="J36" s="28">
        <v>0.1</v>
      </c>
      <c r="K36" s="22"/>
    </row>
    <row r="37" spans="1:11" x14ac:dyDescent="0.35">
      <c r="A37" s="27">
        <v>44594</v>
      </c>
      <c r="B37" s="22">
        <v>591.1</v>
      </c>
      <c r="C37" s="22">
        <v>601</v>
      </c>
      <c r="D37" s="22">
        <v>589.1</v>
      </c>
      <c r="E37" s="22">
        <v>593.45000000000005</v>
      </c>
      <c r="F37" s="22">
        <v>2930</v>
      </c>
      <c r="G37" s="22">
        <v>40369285.75</v>
      </c>
      <c r="H37" s="22">
        <v>23369</v>
      </c>
      <c r="I37" s="22">
        <v>11.9</v>
      </c>
      <c r="J37" s="28">
        <v>2.35</v>
      </c>
      <c r="K37" s="22"/>
    </row>
    <row r="38" spans="1:11" x14ac:dyDescent="0.35">
      <c r="A38" s="27">
        <v>44595</v>
      </c>
      <c r="B38" s="22">
        <v>589.25</v>
      </c>
      <c r="C38" s="22">
        <v>595.95000000000005</v>
      </c>
      <c r="D38" s="22">
        <v>586.35</v>
      </c>
      <c r="E38" s="22">
        <v>587</v>
      </c>
      <c r="F38" s="22">
        <v>1676</v>
      </c>
      <c r="G38" s="22">
        <v>23897818.949999999</v>
      </c>
      <c r="H38" s="22">
        <v>20945</v>
      </c>
      <c r="I38" s="22">
        <v>9.6</v>
      </c>
      <c r="J38" s="28">
        <v>-2.25</v>
      </c>
      <c r="K38" s="22"/>
    </row>
    <row r="39" spans="1:11" x14ac:dyDescent="0.35">
      <c r="A39" s="27">
        <v>44596</v>
      </c>
      <c r="B39" s="22">
        <v>588</v>
      </c>
      <c r="C39" s="22">
        <v>590.04999999999995</v>
      </c>
      <c r="D39" s="22">
        <v>574</v>
      </c>
      <c r="E39" s="22">
        <v>587.5</v>
      </c>
      <c r="F39" s="22">
        <v>2719</v>
      </c>
      <c r="G39" s="22">
        <v>38873974.399999999</v>
      </c>
      <c r="H39" s="22">
        <v>31688</v>
      </c>
      <c r="I39" s="22">
        <v>16.05</v>
      </c>
      <c r="J39" s="28">
        <v>-0.5</v>
      </c>
      <c r="K39" s="22"/>
    </row>
    <row r="40" spans="1:11" x14ac:dyDescent="0.35">
      <c r="A40" s="27">
        <v>44599</v>
      </c>
      <c r="B40" s="22">
        <v>587</v>
      </c>
      <c r="C40" s="22">
        <v>589.65</v>
      </c>
      <c r="D40" s="22">
        <v>580</v>
      </c>
      <c r="E40" s="22">
        <v>583.4</v>
      </c>
      <c r="F40" s="22">
        <v>1740</v>
      </c>
      <c r="G40" s="22">
        <v>22033053.5</v>
      </c>
      <c r="H40" s="22">
        <v>14107</v>
      </c>
      <c r="I40" s="22">
        <v>9.65</v>
      </c>
      <c r="J40" s="28">
        <v>-3.6</v>
      </c>
      <c r="K40" s="22"/>
    </row>
    <row r="41" spans="1:11" x14ac:dyDescent="0.35">
      <c r="A41" s="27">
        <v>44600</v>
      </c>
      <c r="B41" s="22">
        <v>583</v>
      </c>
      <c r="C41" s="22">
        <v>590</v>
      </c>
      <c r="D41" s="22">
        <v>570.15</v>
      </c>
      <c r="E41" s="22">
        <v>583.15</v>
      </c>
      <c r="F41" s="22">
        <v>5348</v>
      </c>
      <c r="G41" s="22">
        <v>59464615.299999997</v>
      </c>
      <c r="H41" s="22">
        <v>53574</v>
      </c>
      <c r="I41" s="22">
        <v>19.850000000000001</v>
      </c>
      <c r="J41" s="28">
        <v>0.15</v>
      </c>
      <c r="K41" s="22"/>
    </row>
    <row r="42" spans="1:11" x14ac:dyDescent="0.35">
      <c r="A42" s="27">
        <v>44601</v>
      </c>
      <c r="B42" s="22">
        <v>586</v>
      </c>
      <c r="C42" s="22">
        <v>591</v>
      </c>
      <c r="D42" s="22">
        <v>570</v>
      </c>
      <c r="E42" s="22">
        <v>581.85</v>
      </c>
      <c r="F42" s="22">
        <v>7625</v>
      </c>
      <c r="G42" s="22">
        <v>77763906.650000006</v>
      </c>
      <c r="H42" s="22">
        <v>67513</v>
      </c>
      <c r="I42" s="22">
        <v>21</v>
      </c>
      <c r="J42" s="28">
        <v>-4.1500000000000004</v>
      </c>
      <c r="K42" s="22"/>
    </row>
    <row r="43" spans="1:11" x14ac:dyDescent="0.35">
      <c r="A43" s="27">
        <v>44602</v>
      </c>
      <c r="B43" s="22">
        <v>583</v>
      </c>
      <c r="C43" s="22">
        <v>607.75</v>
      </c>
      <c r="D43" s="22">
        <v>582.15</v>
      </c>
      <c r="E43" s="22">
        <v>605.70000000000005</v>
      </c>
      <c r="F43" s="22">
        <v>7104</v>
      </c>
      <c r="G43" s="22">
        <v>115465009.90000001</v>
      </c>
      <c r="H43" s="22">
        <v>92157</v>
      </c>
      <c r="I43" s="22">
        <v>25.6</v>
      </c>
      <c r="J43" s="28">
        <v>22.7</v>
      </c>
      <c r="K43" s="22"/>
    </row>
    <row r="44" spans="1:11" x14ac:dyDescent="0.35">
      <c r="A44" s="27">
        <v>44603</v>
      </c>
      <c r="B44" s="22">
        <v>612.95000000000005</v>
      </c>
      <c r="C44" s="22">
        <v>613.79999999999995</v>
      </c>
      <c r="D44" s="22">
        <v>550</v>
      </c>
      <c r="E44" s="22">
        <v>591.79999999999995</v>
      </c>
      <c r="F44" s="22">
        <v>8177</v>
      </c>
      <c r="G44" s="22">
        <v>112366535.59999999</v>
      </c>
      <c r="H44" s="22">
        <v>87936</v>
      </c>
      <c r="I44" s="22">
        <v>63.8</v>
      </c>
      <c r="J44" s="28">
        <v>-21.15</v>
      </c>
      <c r="K44" s="22"/>
    </row>
    <row r="45" spans="1:11" x14ac:dyDescent="0.35">
      <c r="A45" s="27">
        <v>44606</v>
      </c>
      <c r="B45" s="22">
        <v>575.4</v>
      </c>
      <c r="C45" s="22">
        <v>585.95000000000005</v>
      </c>
      <c r="D45" s="22">
        <v>554.5</v>
      </c>
      <c r="E45" s="22">
        <v>568.70000000000005</v>
      </c>
      <c r="F45" s="22">
        <v>10011</v>
      </c>
      <c r="G45" s="22">
        <v>131969284.90000001</v>
      </c>
      <c r="H45" s="22">
        <v>124291</v>
      </c>
      <c r="I45" s="22">
        <v>31.45</v>
      </c>
      <c r="J45" s="28">
        <v>-6.7</v>
      </c>
      <c r="K45" s="22"/>
    </row>
    <row r="46" spans="1:11" x14ac:dyDescent="0.35">
      <c r="A46" s="27">
        <v>44607</v>
      </c>
      <c r="B46" s="22">
        <v>566</v>
      </c>
      <c r="C46" s="22">
        <v>592.4</v>
      </c>
      <c r="D46" s="22">
        <v>557.25</v>
      </c>
      <c r="E46" s="22">
        <v>586.15</v>
      </c>
      <c r="F46" s="22">
        <v>11496</v>
      </c>
      <c r="G46" s="22">
        <v>170375497.19999999</v>
      </c>
      <c r="H46" s="22">
        <v>136387</v>
      </c>
      <c r="I46" s="22">
        <v>35.15</v>
      </c>
      <c r="J46" s="28">
        <v>20.149999999999999</v>
      </c>
      <c r="K46" s="22"/>
    </row>
    <row r="47" spans="1:11" x14ac:dyDescent="0.35">
      <c r="A47" s="27">
        <v>44608</v>
      </c>
      <c r="B47" s="22">
        <v>585</v>
      </c>
      <c r="C47" s="22">
        <v>591.5</v>
      </c>
      <c r="D47" s="22">
        <v>570.1</v>
      </c>
      <c r="E47" s="22">
        <v>571.75</v>
      </c>
      <c r="F47" s="22">
        <v>3111</v>
      </c>
      <c r="G47" s="22">
        <v>37043475.549999997</v>
      </c>
      <c r="H47" s="22">
        <v>28201</v>
      </c>
      <c r="I47" s="22">
        <v>21.4</v>
      </c>
      <c r="J47" s="28">
        <v>-13.25</v>
      </c>
      <c r="K47" s="22"/>
    </row>
    <row r="48" spans="1:11" x14ac:dyDescent="0.35">
      <c r="A48" s="27">
        <v>44609</v>
      </c>
      <c r="B48" s="22">
        <v>573</v>
      </c>
      <c r="C48" s="22">
        <v>578</v>
      </c>
      <c r="D48" s="22">
        <v>562</v>
      </c>
      <c r="E48" s="22">
        <v>572.85</v>
      </c>
      <c r="F48" s="22">
        <v>4306</v>
      </c>
      <c r="G48" s="22">
        <v>76226952.700000003</v>
      </c>
      <c r="H48" s="22">
        <v>69793</v>
      </c>
      <c r="I48" s="22">
        <v>16</v>
      </c>
      <c r="J48" s="28">
        <v>-0.15</v>
      </c>
      <c r="K48" s="22"/>
    </row>
    <row r="49" spans="1:11" x14ac:dyDescent="0.35">
      <c r="A49" s="27">
        <v>44610</v>
      </c>
      <c r="B49" s="22">
        <v>567.1</v>
      </c>
      <c r="C49" s="22">
        <v>573.29999999999995</v>
      </c>
      <c r="D49" s="22">
        <v>560.20000000000005</v>
      </c>
      <c r="E49" s="22">
        <v>566.20000000000005</v>
      </c>
      <c r="F49" s="22">
        <v>3578</v>
      </c>
      <c r="G49" s="22">
        <v>62460661.25</v>
      </c>
      <c r="H49" s="22">
        <v>54810</v>
      </c>
      <c r="I49" s="22">
        <v>13.1</v>
      </c>
      <c r="J49" s="28">
        <v>-0.9</v>
      </c>
      <c r="K49" s="22"/>
    </row>
    <row r="50" spans="1:11" x14ac:dyDescent="0.35">
      <c r="A50" s="27">
        <v>44613</v>
      </c>
      <c r="B50" s="22">
        <v>559.79999999999995</v>
      </c>
      <c r="C50" s="22">
        <v>568.15</v>
      </c>
      <c r="D50" s="22">
        <v>556</v>
      </c>
      <c r="E50" s="22">
        <v>563.20000000000005</v>
      </c>
      <c r="F50" s="22">
        <v>2470</v>
      </c>
      <c r="G50" s="22">
        <v>45896161.5</v>
      </c>
      <c r="H50" s="22">
        <v>35303</v>
      </c>
      <c r="I50" s="22">
        <v>12.15</v>
      </c>
      <c r="J50" s="28">
        <v>3.4</v>
      </c>
      <c r="K50" s="22"/>
    </row>
    <row r="51" spans="1:11" x14ac:dyDescent="0.35">
      <c r="A51" s="27">
        <v>44614</v>
      </c>
      <c r="B51" s="22">
        <v>550.1</v>
      </c>
      <c r="C51" s="22">
        <v>564</v>
      </c>
      <c r="D51" s="22">
        <v>546.1</v>
      </c>
      <c r="E51" s="22">
        <v>560.45000000000005</v>
      </c>
      <c r="F51" s="22">
        <v>3151</v>
      </c>
      <c r="G51" s="22">
        <v>78750338.049999997</v>
      </c>
      <c r="H51" s="22">
        <v>89385</v>
      </c>
      <c r="I51" s="22">
        <v>17.899999999999999</v>
      </c>
      <c r="J51" s="28">
        <v>10.35</v>
      </c>
      <c r="K51" s="22"/>
    </row>
    <row r="52" spans="1:11" x14ac:dyDescent="0.35">
      <c r="A52" s="27">
        <v>44615</v>
      </c>
      <c r="B52" s="22">
        <v>557.1</v>
      </c>
      <c r="C52" s="22">
        <v>572.4</v>
      </c>
      <c r="D52" s="22">
        <v>556.4</v>
      </c>
      <c r="E52" s="22">
        <v>560.9</v>
      </c>
      <c r="F52" s="22">
        <v>1449</v>
      </c>
      <c r="G52" s="22">
        <v>11934921.199999999</v>
      </c>
      <c r="H52" s="22">
        <v>6985</v>
      </c>
      <c r="I52" s="22">
        <v>16</v>
      </c>
      <c r="J52" s="28">
        <v>3.8</v>
      </c>
      <c r="K52" s="22"/>
    </row>
    <row r="53" spans="1:11" x14ac:dyDescent="0.35">
      <c r="A53" s="27">
        <v>44616</v>
      </c>
      <c r="B53" s="22">
        <v>550.85</v>
      </c>
      <c r="C53" s="22">
        <v>556.65</v>
      </c>
      <c r="D53" s="22">
        <v>542.04999999999995</v>
      </c>
      <c r="E53" s="22">
        <v>551.4</v>
      </c>
      <c r="F53" s="22">
        <v>5794</v>
      </c>
      <c r="G53" s="22">
        <v>87486553.049999997</v>
      </c>
      <c r="H53" s="22">
        <v>93220</v>
      </c>
      <c r="I53" s="22">
        <v>14.6</v>
      </c>
      <c r="J53" s="28">
        <v>0.55000000000000004</v>
      </c>
      <c r="K53" s="22"/>
    </row>
    <row r="54" spans="1:11" x14ac:dyDescent="0.35">
      <c r="A54" s="27">
        <v>44617</v>
      </c>
      <c r="B54" s="22">
        <v>555</v>
      </c>
      <c r="C54" s="22">
        <v>564.9</v>
      </c>
      <c r="D54" s="22">
        <v>555</v>
      </c>
      <c r="E54" s="22">
        <v>559.79999999999995</v>
      </c>
      <c r="F54" s="22">
        <v>3343</v>
      </c>
      <c r="G54" s="22">
        <v>71779764.299999997</v>
      </c>
      <c r="H54" s="22">
        <v>93193</v>
      </c>
      <c r="I54" s="22">
        <v>9.9</v>
      </c>
      <c r="J54" s="28">
        <v>4.8</v>
      </c>
      <c r="K54" s="22"/>
    </row>
    <row r="55" spans="1:11" x14ac:dyDescent="0.35">
      <c r="A55" s="27">
        <v>44620</v>
      </c>
      <c r="B55" s="22">
        <v>559.79999999999995</v>
      </c>
      <c r="C55" s="22">
        <v>561.45000000000005</v>
      </c>
      <c r="D55" s="22">
        <v>554.04999999999995</v>
      </c>
      <c r="E55" s="22">
        <v>559</v>
      </c>
      <c r="F55" s="22">
        <v>1387</v>
      </c>
      <c r="G55" s="22">
        <v>15526869.550000001</v>
      </c>
      <c r="H55" s="22">
        <v>11700</v>
      </c>
      <c r="I55" s="22">
        <v>7.4</v>
      </c>
      <c r="J55" s="28">
        <v>-0.8</v>
      </c>
      <c r="K55" s="22"/>
    </row>
    <row r="56" spans="1:11" x14ac:dyDescent="0.35">
      <c r="A56" s="27">
        <v>44622</v>
      </c>
      <c r="B56" s="22">
        <v>554.1</v>
      </c>
      <c r="C56" s="22">
        <v>565</v>
      </c>
      <c r="D56" s="22">
        <v>552.1</v>
      </c>
      <c r="E56" s="22">
        <v>555.70000000000005</v>
      </c>
      <c r="F56" s="22">
        <v>1631</v>
      </c>
      <c r="G56" s="22">
        <v>22128710.699999999</v>
      </c>
      <c r="H56" s="22">
        <v>9705</v>
      </c>
      <c r="I56" s="22">
        <v>12.9</v>
      </c>
      <c r="J56" s="28">
        <v>1.6</v>
      </c>
      <c r="K56" s="22"/>
    </row>
    <row r="57" spans="1:11" x14ac:dyDescent="0.35">
      <c r="A57" s="27">
        <v>44623</v>
      </c>
      <c r="B57" s="22">
        <v>555</v>
      </c>
      <c r="C57" s="22">
        <v>566.9</v>
      </c>
      <c r="D57" s="22">
        <v>555</v>
      </c>
      <c r="E57" s="22">
        <v>562.29999999999995</v>
      </c>
      <c r="F57" s="22">
        <v>1759</v>
      </c>
      <c r="G57" s="22">
        <v>21274392.050000001</v>
      </c>
      <c r="H57" s="22">
        <v>15181</v>
      </c>
      <c r="I57" s="22">
        <v>11.9</v>
      </c>
      <c r="J57" s="28">
        <v>7.3</v>
      </c>
      <c r="K57" s="22"/>
    </row>
    <row r="58" spans="1:11" x14ac:dyDescent="0.35">
      <c r="A58" s="27">
        <v>44624</v>
      </c>
      <c r="B58" s="22">
        <v>554</v>
      </c>
      <c r="C58" s="22">
        <v>564.65</v>
      </c>
      <c r="D58" s="22">
        <v>554</v>
      </c>
      <c r="E58" s="22">
        <v>556.9</v>
      </c>
      <c r="F58" s="22">
        <v>1409</v>
      </c>
      <c r="G58" s="22">
        <v>16700212.199999999</v>
      </c>
      <c r="H58" s="22">
        <v>14201</v>
      </c>
      <c r="I58" s="22">
        <v>10.65</v>
      </c>
      <c r="J58" s="28">
        <v>2.9</v>
      </c>
      <c r="K58" s="22"/>
    </row>
    <row r="59" spans="1:11" x14ac:dyDescent="0.35">
      <c r="A59" s="27">
        <v>44627</v>
      </c>
      <c r="B59" s="22">
        <v>555</v>
      </c>
      <c r="C59" s="22">
        <v>561.20000000000005</v>
      </c>
      <c r="D59" s="22">
        <v>552</v>
      </c>
      <c r="E59" s="22">
        <v>559.15</v>
      </c>
      <c r="F59" s="22">
        <v>1858</v>
      </c>
      <c r="G59" s="22">
        <v>20049746.050000001</v>
      </c>
      <c r="H59" s="22">
        <v>19700</v>
      </c>
      <c r="I59" s="22">
        <v>9.1999999999999993</v>
      </c>
      <c r="J59" s="28">
        <v>4.1500000000000004</v>
      </c>
      <c r="K59" s="22"/>
    </row>
    <row r="60" spans="1:11" x14ac:dyDescent="0.35">
      <c r="A60" s="27">
        <v>44628</v>
      </c>
      <c r="B60" s="22">
        <v>556.1</v>
      </c>
      <c r="C60" s="22">
        <v>601.79999999999995</v>
      </c>
      <c r="D60" s="22">
        <v>556.1</v>
      </c>
      <c r="E60" s="22">
        <v>583.65</v>
      </c>
      <c r="F60" s="22">
        <v>8310</v>
      </c>
      <c r="G60" s="22">
        <v>128268920.55</v>
      </c>
      <c r="H60" s="22">
        <v>102501</v>
      </c>
      <c r="I60" s="22">
        <v>45.7</v>
      </c>
      <c r="J60" s="28">
        <v>27.55</v>
      </c>
      <c r="K60" s="22"/>
    </row>
    <row r="61" spans="1:11" x14ac:dyDescent="0.35">
      <c r="A61" s="27">
        <v>44629</v>
      </c>
      <c r="B61" s="22">
        <v>590.5</v>
      </c>
      <c r="C61" s="22">
        <v>590.5</v>
      </c>
      <c r="D61" s="22">
        <v>572.4</v>
      </c>
      <c r="E61" s="22">
        <v>584.5</v>
      </c>
      <c r="F61" s="22">
        <v>4840</v>
      </c>
      <c r="G61" s="22">
        <v>63136157.850000001</v>
      </c>
      <c r="H61" s="22">
        <v>44942</v>
      </c>
      <c r="I61" s="22">
        <v>18.100000000000001</v>
      </c>
      <c r="J61" s="28">
        <v>-6</v>
      </c>
      <c r="K61" s="22"/>
    </row>
    <row r="62" spans="1:11" x14ac:dyDescent="0.35">
      <c r="A62" s="27">
        <v>44630</v>
      </c>
      <c r="B62" s="22">
        <v>589.75</v>
      </c>
      <c r="C62" s="22">
        <v>590</v>
      </c>
      <c r="D62" s="22">
        <v>570</v>
      </c>
      <c r="E62" s="22">
        <v>578.1</v>
      </c>
      <c r="F62" s="22">
        <v>4994</v>
      </c>
      <c r="G62" s="22">
        <v>45789764.950000003</v>
      </c>
      <c r="H62" s="22">
        <v>28086</v>
      </c>
      <c r="I62" s="22">
        <v>20</v>
      </c>
      <c r="J62" s="28">
        <v>-11.65</v>
      </c>
      <c r="K62" s="22"/>
    </row>
    <row r="63" spans="1:11" x14ac:dyDescent="0.35">
      <c r="A63" s="27">
        <v>44631</v>
      </c>
      <c r="B63" s="22">
        <v>580</v>
      </c>
      <c r="C63" s="22">
        <v>584</v>
      </c>
      <c r="D63" s="22">
        <v>570.75</v>
      </c>
      <c r="E63" s="22">
        <v>572.85</v>
      </c>
      <c r="F63" s="22">
        <v>1863</v>
      </c>
      <c r="G63" s="22">
        <v>79101024.349999994</v>
      </c>
      <c r="H63" s="22">
        <v>115886</v>
      </c>
      <c r="I63" s="22">
        <v>13.25</v>
      </c>
      <c r="J63" s="28">
        <v>-7.15</v>
      </c>
      <c r="K63" s="22"/>
    </row>
    <row r="64" spans="1:11" x14ac:dyDescent="0.35">
      <c r="A64" s="27">
        <v>44634</v>
      </c>
      <c r="B64" s="22">
        <v>569</v>
      </c>
      <c r="C64" s="22">
        <v>577.45000000000005</v>
      </c>
      <c r="D64" s="22">
        <v>560.75</v>
      </c>
      <c r="E64" s="22">
        <v>568.45000000000005</v>
      </c>
      <c r="F64" s="22">
        <v>4527</v>
      </c>
      <c r="G64" s="22">
        <v>42843210.25</v>
      </c>
      <c r="H64" s="22">
        <v>38175</v>
      </c>
      <c r="I64" s="22">
        <v>16.7</v>
      </c>
      <c r="J64" s="28">
        <v>-0.55000000000000004</v>
      </c>
      <c r="K64" s="22"/>
    </row>
    <row r="65" spans="1:11" x14ac:dyDescent="0.35">
      <c r="A65" s="27">
        <v>44635</v>
      </c>
      <c r="B65" s="22">
        <v>570</v>
      </c>
      <c r="C65" s="22">
        <v>573.4</v>
      </c>
      <c r="D65" s="22">
        <v>563</v>
      </c>
      <c r="E65" s="22">
        <v>564.25</v>
      </c>
      <c r="F65" s="22">
        <v>1524</v>
      </c>
      <c r="G65" s="22">
        <v>11604025</v>
      </c>
      <c r="H65" s="22">
        <v>11373</v>
      </c>
      <c r="I65" s="22">
        <v>10.4</v>
      </c>
      <c r="J65" s="28">
        <v>-5.75</v>
      </c>
      <c r="K65" s="22"/>
    </row>
    <row r="66" spans="1:11" x14ac:dyDescent="0.35">
      <c r="A66" s="27">
        <v>44636</v>
      </c>
      <c r="B66" s="22">
        <v>576.75</v>
      </c>
      <c r="C66" s="22">
        <v>576.75</v>
      </c>
      <c r="D66" s="22">
        <v>569.20000000000005</v>
      </c>
      <c r="E66" s="22">
        <v>573.85</v>
      </c>
      <c r="F66" s="22">
        <v>1467</v>
      </c>
      <c r="G66" s="22">
        <v>13732544.449999999</v>
      </c>
      <c r="H66" s="22">
        <v>9159</v>
      </c>
      <c r="I66" s="22">
        <v>7.55</v>
      </c>
      <c r="J66" s="28">
        <v>-2.9</v>
      </c>
      <c r="K66" s="22"/>
    </row>
    <row r="67" spans="1:11" x14ac:dyDescent="0.35">
      <c r="A67" s="27">
        <v>44637</v>
      </c>
      <c r="B67" s="22">
        <v>579.75</v>
      </c>
      <c r="C67" s="22">
        <v>580.5</v>
      </c>
      <c r="D67" s="22">
        <v>567.5</v>
      </c>
      <c r="E67" s="22">
        <v>570.04999999999995</v>
      </c>
      <c r="F67" s="22">
        <v>2866</v>
      </c>
      <c r="G67" s="22">
        <v>25079724</v>
      </c>
      <c r="H67" s="22">
        <v>16820</v>
      </c>
      <c r="I67" s="22">
        <v>13</v>
      </c>
      <c r="J67" s="28">
        <v>-9.6999999999999993</v>
      </c>
      <c r="K67" s="22"/>
    </row>
    <row r="68" spans="1:11" x14ac:dyDescent="0.35">
      <c r="A68" s="27">
        <v>44641</v>
      </c>
      <c r="B68" s="22">
        <v>572</v>
      </c>
      <c r="C68" s="22">
        <v>578.5</v>
      </c>
      <c r="D68" s="22">
        <v>566.15</v>
      </c>
      <c r="E68" s="22">
        <v>576.20000000000005</v>
      </c>
      <c r="F68" s="22">
        <v>2049</v>
      </c>
      <c r="G68" s="22">
        <v>25249452.050000001</v>
      </c>
      <c r="H68" s="22">
        <v>20562</v>
      </c>
      <c r="I68" s="22">
        <v>12.35</v>
      </c>
      <c r="J68" s="28">
        <v>4.2</v>
      </c>
      <c r="K68" s="22"/>
    </row>
    <row r="69" spans="1:11" x14ac:dyDescent="0.35">
      <c r="A69" s="27">
        <v>44642</v>
      </c>
      <c r="B69" s="22">
        <v>580.70000000000005</v>
      </c>
      <c r="C69" s="22">
        <v>589.25</v>
      </c>
      <c r="D69" s="22">
        <v>578</v>
      </c>
      <c r="E69" s="22">
        <v>586.70000000000005</v>
      </c>
      <c r="F69" s="22">
        <v>3144</v>
      </c>
      <c r="G69" s="22">
        <v>43509797.049999997</v>
      </c>
      <c r="H69" s="22">
        <v>48929</v>
      </c>
      <c r="I69" s="22">
        <v>11.25</v>
      </c>
      <c r="J69" s="28">
        <v>6</v>
      </c>
      <c r="K69" s="22"/>
    </row>
    <row r="70" spans="1:11" x14ac:dyDescent="0.35">
      <c r="A70" s="27">
        <v>44643</v>
      </c>
      <c r="B70" s="22">
        <v>590</v>
      </c>
      <c r="C70" s="22">
        <v>596.04999999999995</v>
      </c>
      <c r="D70" s="22">
        <v>582</v>
      </c>
      <c r="E70" s="22">
        <v>588.35</v>
      </c>
      <c r="F70" s="22">
        <v>3376</v>
      </c>
      <c r="G70" s="22">
        <v>45726788.950000003</v>
      </c>
      <c r="H70" s="22">
        <v>23577</v>
      </c>
      <c r="I70" s="22">
        <v>14.05</v>
      </c>
      <c r="J70" s="28">
        <v>-1.65</v>
      </c>
      <c r="K70" s="22"/>
    </row>
    <row r="71" spans="1:11" x14ac:dyDescent="0.35">
      <c r="A71" s="27">
        <v>44644</v>
      </c>
      <c r="B71" s="22">
        <v>585</v>
      </c>
      <c r="C71" s="22">
        <v>592.45000000000005</v>
      </c>
      <c r="D71" s="22">
        <v>585</v>
      </c>
      <c r="E71" s="22">
        <v>591.54999999999995</v>
      </c>
      <c r="F71" s="22">
        <v>932</v>
      </c>
      <c r="G71" s="22">
        <v>17198836.350000001</v>
      </c>
      <c r="H71" s="22">
        <v>20186</v>
      </c>
      <c r="I71" s="22">
        <v>7.45</v>
      </c>
      <c r="J71" s="28">
        <v>6.55</v>
      </c>
      <c r="K71" s="22"/>
    </row>
    <row r="72" spans="1:11" x14ac:dyDescent="0.35">
      <c r="A72" s="27">
        <v>44645</v>
      </c>
      <c r="B72" s="22">
        <v>593</v>
      </c>
      <c r="C72" s="22">
        <v>597.79999999999995</v>
      </c>
      <c r="D72" s="22">
        <v>591</v>
      </c>
      <c r="E72" s="22">
        <v>594</v>
      </c>
      <c r="F72" s="22">
        <v>1894</v>
      </c>
      <c r="G72" s="22">
        <v>27606919.149999999</v>
      </c>
      <c r="H72" s="22">
        <v>24409</v>
      </c>
      <c r="I72" s="22">
        <v>6.8</v>
      </c>
      <c r="J72" s="28">
        <v>1</v>
      </c>
      <c r="K72" s="22"/>
    </row>
    <row r="73" spans="1:11" x14ac:dyDescent="0.35">
      <c r="A73" s="27">
        <v>44648</v>
      </c>
      <c r="B73" s="22">
        <v>594.45000000000005</v>
      </c>
      <c r="C73" s="22">
        <v>596.4</v>
      </c>
      <c r="D73" s="22">
        <v>589.04999999999995</v>
      </c>
      <c r="E73" s="22">
        <v>593.79999999999995</v>
      </c>
      <c r="F73" s="22">
        <v>1075</v>
      </c>
      <c r="G73" s="22">
        <v>13212361.6</v>
      </c>
      <c r="H73" s="22">
        <v>11555</v>
      </c>
      <c r="I73" s="22">
        <v>7.35</v>
      </c>
      <c r="J73" s="28">
        <v>-0.65</v>
      </c>
      <c r="K73" s="22"/>
    </row>
    <row r="74" spans="1:11" x14ac:dyDescent="0.35">
      <c r="A74" s="27">
        <v>44649</v>
      </c>
      <c r="B74" s="22">
        <v>595</v>
      </c>
      <c r="C74" s="22">
        <v>599</v>
      </c>
      <c r="D74" s="22">
        <v>588.54999999999995</v>
      </c>
      <c r="E74" s="22">
        <v>595.15</v>
      </c>
      <c r="F74" s="22">
        <v>2495</v>
      </c>
      <c r="G74" s="22">
        <v>95006924</v>
      </c>
      <c r="H74" s="22">
        <v>119671</v>
      </c>
      <c r="I74" s="22">
        <v>10.45</v>
      </c>
      <c r="J74" s="28">
        <v>0.15</v>
      </c>
      <c r="K74" s="22"/>
    </row>
    <row r="75" spans="1:11" x14ac:dyDescent="0.35">
      <c r="A75" s="27">
        <v>44650</v>
      </c>
      <c r="B75" s="22">
        <v>604.79999999999995</v>
      </c>
      <c r="C75" s="22">
        <v>623</v>
      </c>
      <c r="D75" s="22">
        <v>602</v>
      </c>
      <c r="E75" s="22">
        <v>606.5</v>
      </c>
      <c r="F75" s="22">
        <v>9068</v>
      </c>
      <c r="G75" s="22">
        <v>141440715.84999999</v>
      </c>
      <c r="H75" s="22">
        <v>77862</v>
      </c>
      <c r="I75" s="22">
        <v>21</v>
      </c>
      <c r="J75" s="28">
        <v>1.7</v>
      </c>
      <c r="K75" s="22"/>
    </row>
    <row r="76" spans="1:11" x14ac:dyDescent="0.35">
      <c r="A76" s="27">
        <v>44651</v>
      </c>
      <c r="B76" s="22">
        <v>610</v>
      </c>
      <c r="C76" s="22">
        <v>612.4</v>
      </c>
      <c r="D76" s="22">
        <v>603</v>
      </c>
      <c r="E76" s="22">
        <v>606.29999999999995</v>
      </c>
      <c r="F76" s="22">
        <v>2535</v>
      </c>
      <c r="G76" s="22">
        <v>38657788.75</v>
      </c>
      <c r="H76" s="22">
        <v>37877</v>
      </c>
      <c r="I76" s="22">
        <v>9.4</v>
      </c>
      <c r="J76" s="28">
        <v>-3.7</v>
      </c>
      <c r="K76" s="22"/>
    </row>
    <row r="77" spans="1:11" x14ac:dyDescent="0.35">
      <c r="A77" s="27">
        <v>44652</v>
      </c>
      <c r="B77" s="22">
        <v>617</v>
      </c>
      <c r="C77" s="22">
        <v>617</v>
      </c>
      <c r="D77" s="22">
        <v>605.20000000000005</v>
      </c>
      <c r="E77" s="22">
        <v>608.4</v>
      </c>
      <c r="F77" s="22">
        <v>2675</v>
      </c>
      <c r="G77" s="22">
        <v>19919556.899999999</v>
      </c>
      <c r="H77" s="22">
        <v>18134</v>
      </c>
      <c r="I77" s="22">
        <v>11.8</v>
      </c>
      <c r="J77" s="28">
        <v>-8.6</v>
      </c>
      <c r="K77" s="22"/>
    </row>
    <row r="78" spans="1:11" x14ac:dyDescent="0.35">
      <c r="A78" s="27">
        <v>44655</v>
      </c>
      <c r="B78" s="22">
        <v>610</v>
      </c>
      <c r="C78" s="22">
        <v>618.25</v>
      </c>
      <c r="D78" s="22">
        <v>606</v>
      </c>
      <c r="E78" s="22">
        <v>614.5</v>
      </c>
      <c r="F78" s="22">
        <v>3315</v>
      </c>
      <c r="G78" s="22">
        <v>55075091.850000001</v>
      </c>
      <c r="H78" s="22">
        <v>33424</v>
      </c>
      <c r="I78" s="22">
        <v>12.25</v>
      </c>
      <c r="J78" s="28">
        <v>4.5</v>
      </c>
      <c r="K78" s="22"/>
    </row>
    <row r="79" spans="1:11" x14ac:dyDescent="0.35">
      <c r="A79" s="27">
        <v>44656</v>
      </c>
      <c r="B79" s="22">
        <v>615</v>
      </c>
      <c r="C79" s="22">
        <v>619</v>
      </c>
      <c r="D79" s="22">
        <v>611.25</v>
      </c>
      <c r="E79" s="22">
        <v>612.29999999999995</v>
      </c>
      <c r="F79" s="22">
        <v>1399</v>
      </c>
      <c r="G79" s="22">
        <v>22811391.75</v>
      </c>
      <c r="H79" s="22">
        <v>20866</v>
      </c>
      <c r="I79" s="22">
        <v>7.75</v>
      </c>
      <c r="J79" s="28">
        <v>-2.7</v>
      </c>
      <c r="K79" s="22"/>
    </row>
    <row r="80" spans="1:11" x14ac:dyDescent="0.35">
      <c r="A80" s="27">
        <v>44657</v>
      </c>
      <c r="B80" s="22">
        <v>612</v>
      </c>
      <c r="C80" s="22">
        <v>636</v>
      </c>
      <c r="D80" s="22">
        <v>611.04999999999995</v>
      </c>
      <c r="E80" s="22">
        <v>621.25</v>
      </c>
      <c r="F80" s="22">
        <v>3673</v>
      </c>
      <c r="G80" s="22">
        <v>51460414.299999997</v>
      </c>
      <c r="H80" s="22">
        <v>28806</v>
      </c>
      <c r="I80" s="22">
        <v>24.95</v>
      </c>
      <c r="J80" s="28">
        <v>9.25</v>
      </c>
      <c r="K80" s="22"/>
    </row>
    <row r="81" spans="1:11" x14ac:dyDescent="0.35">
      <c r="A81" s="27">
        <v>44658</v>
      </c>
      <c r="B81" s="22">
        <v>620</v>
      </c>
      <c r="C81" s="22">
        <v>625</v>
      </c>
      <c r="D81" s="22">
        <v>606</v>
      </c>
      <c r="E81" s="22">
        <v>609.79999999999995</v>
      </c>
      <c r="F81" s="22">
        <v>2127</v>
      </c>
      <c r="G81" s="22">
        <v>63967354.899999999</v>
      </c>
      <c r="H81" s="22">
        <v>69200</v>
      </c>
      <c r="I81" s="22">
        <v>19</v>
      </c>
      <c r="J81" s="28">
        <v>-10.199999999999999</v>
      </c>
      <c r="K81" s="22"/>
    </row>
    <row r="82" spans="1:11" x14ac:dyDescent="0.35">
      <c r="A82" s="27">
        <v>44659</v>
      </c>
      <c r="B82" s="22">
        <v>609</v>
      </c>
      <c r="C82" s="22">
        <v>621.79999999999995</v>
      </c>
      <c r="D82" s="22">
        <v>609</v>
      </c>
      <c r="E82" s="22">
        <v>610.9</v>
      </c>
      <c r="F82" s="22">
        <v>1528</v>
      </c>
      <c r="G82" s="22">
        <v>25305841.850000001</v>
      </c>
      <c r="H82" s="22">
        <v>22343</v>
      </c>
      <c r="I82" s="22">
        <v>12.8</v>
      </c>
      <c r="J82" s="28">
        <v>1.9</v>
      </c>
      <c r="K82" s="22"/>
    </row>
    <row r="83" spans="1:11" x14ac:dyDescent="0.35">
      <c r="A83" s="27">
        <v>44662</v>
      </c>
      <c r="B83" s="22">
        <v>611</v>
      </c>
      <c r="C83" s="22">
        <v>612.70000000000005</v>
      </c>
      <c r="D83" s="22">
        <v>606.25</v>
      </c>
      <c r="E83" s="22">
        <v>610</v>
      </c>
      <c r="F83" s="22">
        <v>1685</v>
      </c>
      <c r="G83" s="22">
        <v>21738503.25</v>
      </c>
      <c r="H83" s="22">
        <v>19757</v>
      </c>
      <c r="I83" s="22">
        <v>6.45</v>
      </c>
      <c r="J83" s="28">
        <v>-1</v>
      </c>
      <c r="K83" s="22"/>
    </row>
    <row r="84" spans="1:11" x14ac:dyDescent="0.35">
      <c r="A84" s="27">
        <v>44663</v>
      </c>
      <c r="B84" s="22">
        <v>618</v>
      </c>
      <c r="C84" s="22">
        <v>620.4</v>
      </c>
      <c r="D84" s="22">
        <v>610</v>
      </c>
      <c r="E84" s="22">
        <v>612.65</v>
      </c>
      <c r="F84" s="22">
        <v>4948</v>
      </c>
      <c r="G84" s="22">
        <v>70896377.5</v>
      </c>
      <c r="H84" s="22">
        <v>46447</v>
      </c>
      <c r="I84" s="22">
        <v>10.4</v>
      </c>
      <c r="J84" s="28">
        <v>-5.35</v>
      </c>
      <c r="K84" s="22"/>
    </row>
    <row r="85" spans="1:11" x14ac:dyDescent="0.35">
      <c r="A85" s="27">
        <v>44664</v>
      </c>
      <c r="B85" s="22">
        <v>655</v>
      </c>
      <c r="C85" s="22">
        <v>721.35</v>
      </c>
      <c r="D85" s="22">
        <v>655</v>
      </c>
      <c r="E85" s="22">
        <v>666.15</v>
      </c>
      <c r="F85" s="22">
        <v>121705</v>
      </c>
      <c r="G85" s="22">
        <v>2376933753.4499998</v>
      </c>
      <c r="H85" s="22">
        <v>701711</v>
      </c>
      <c r="I85" s="22">
        <v>66.349999999999994</v>
      </c>
      <c r="J85" s="28">
        <v>11.15</v>
      </c>
      <c r="K85" s="22"/>
    </row>
    <row r="86" spans="1:11" x14ac:dyDescent="0.35">
      <c r="A86" s="27">
        <v>44669</v>
      </c>
      <c r="B86" s="22">
        <v>662</v>
      </c>
      <c r="C86" s="22">
        <v>707</v>
      </c>
      <c r="D86" s="22">
        <v>651</v>
      </c>
      <c r="E86" s="22">
        <v>699.2</v>
      </c>
      <c r="F86" s="22">
        <v>51452</v>
      </c>
      <c r="G86" s="22">
        <v>807394378</v>
      </c>
      <c r="H86" s="22">
        <v>308225</v>
      </c>
      <c r="I86" s="22">
        <v>56</v>
      </c>
      <c r="J86" s="28">
        <v>37.200000000000003</v>
      </c>
      <c r="K86" s="22"/>
    </row>
    <row r="87" spans="1:11" x14ac:dyDescent="0.35">
      <c r="A87" s="27">
        <v>44670</v>
      </c>
      <c r="B87" s="22">
        <v>707</v>
      </c>
      <c r="C87" s="22">
        <v>708.4</v>
      </c>
      <c r="D87" s="22">
        <v>654</v>
      </c>
      <c r="E87" s="22">
        <v>660.7</v>
      </c>
      <c r="F87" s="22">
        <v>15328</v>
      </c>
      <c r="G87" s="22">
        <v>213844900.05000001</v>
      </c>
      <c r="H87" s="22">
        <v>93101</v>
      </c>
      <c r="I87" s="22">
        <v>54.4</v>
      </c>
      <c r="J87" s="28">
        <v>-46.3</v>
      </c>
      <c r="K87" s="22"/>
    </row>
    <row r="88" spans="1:11" x14ac:dyDescent="0.35">
      <c r="A88" s="27">
        <v>44671</v>
      </c>
      <c r="B88" s="22">
        <v>667</v>
      </c>
      <c r="C88" s="22">
        <v>685</v>
      </c>
      <c r="D88" s="22">
        <v>652.20000000000005</v>
      </c>
      <c r="E88" s="22">
        <v>658.3</v>
      </c>
      <c r="F88" s="22">
        <v>7342</v>
      </c>
      <c r="G88" s="22">
        <v>97583896.799999997</v>
      </c>
      <c r="H88" s="22">
        <v>37062</v>
      </c>
      <c r="I88" s="22">
        <v>32.799999999999997</v>
      </c>
      <c r="J88" s="28">
        <v>-8.6999999999999993</v>
      </c>
      <c r="K88" s="22"/>
    </row>
    <row r="89" spans="1:11" x14ac:dyDescent="0.35">
      <c r="A89" s="27">
        <v>44672</v>
      </c>
      <c r="B89" s="22">
        <v>662.2</v>
      </c>
      <c r="C89" s="22">
        <v>670.7</v>
      </c>
      <c r="D89" s="22">
        <v>647.15</v>
      </c>
      <c r="E89" s="22">
        <v>649.4</v>
      </c>
      <c r="F89" s="22">
        <v>4458</v>
      </c>
      <c r="G89" s="22">
        <v>63862967.799999997</v>
      </c>
      <c r="H89" s="22">
        <v>36871</v>
      </c>
      <c r="I89" s="22">
        <v>23.55</v>
      </c>
      <c r="J89" s="28">
        <v>-12.8</v>
      </c>
      <c r="K89" s="22"/>
    </row>
    <row r="90" spans="1:11" x14ac:dyDescent="0.35">
      <c r="A90" s="27">
        <v>44673</v>
      </c>
      <c r="B90" s="22">
        <v>645</v>
      </c>
      <c r="C90" s="22">
        <v>668</v>
      </c>
      <c r="D90" s="22">
        <v>644</v>
      </c>
      <c r="E90" s="22">
        <v>653.1</v>
      </c>
      <c r="F90" s="22">
        <v>6082</v>
      </c>
      <c r="G90" s="22">
        <v>87923662.950000003</v>
      </c>
      <c r="H90" s="22">
        <v>55858</v>
      </c>
      <c r="I90" s="22">
        <v>24</v>
      </c>
      <c r="J90" s="28">
        <v>8.1</v>
      </c>
      <c r="K90" s="22"/>
    </row>
    <row r="91" spans="1:11" x14ac:dyDescent="0.35">
      <c r="A91" s="27">
        <v>44676</v>
      </c>
      <c r="B91" s="22">
        <v>652.85</v>
      </c>
      <c r="C91" s="22">
        <v>654.65</v>
      </c>
      <c r="D91" s="22">
        <v>638.15</v>
      </c>
      <c r="E91" s="22">
        <v>641.85</v>
      </c>
      <c r="F91" s="22">
        <v>3753</v>
      </c>
      <c r="G91" s="22">
        <v>43196800.950000003</v>
      </c>
      <c r="H91" s="22">
        <v>27563</v>
      </c>
      <c r="I91" s="22">
        <v>16.5</v>
      </c>
      <c r="J91" s="28">
        <v>-11</v>
      </c>
      <c r="K91" s="22"/>
    </row>
    <row r="92" spans="1:11" x14ac:dyDescent="0.35">
      <c r="A92" s="27">
        <v>44677</v>
      </c>
      <c r="B92" s="22">
        <v>649</v>
      </c>
      <c r="C92" s="22">
        <v>657.7</v>
      </c>
      <c r="D92" s="22">
        <v>635.1</v>
      </c>
      <c r="E92" s="22">
        <v>640.65</v>
      </c>
      <c r="F92" s="22">
        <v>4433</v>
      </c>
      <c r="G92" s="22">
        <v>88457050.400000006</v>
      </c>
      <c r="H92" s="22">
        <v>85971</v>
      </c>
      <c r="I92" s="22">
        <v>22.6</v>
      </c>
      <c r="J92" s="28">
        <v>-8.35</v>
      </c>
      <c r="K92" s="22"/>
    </row>
    <row r="93" spans="1:11" x14ac:dyDescent="0.35">
      <c r="A93" s="27">
        <v>44678</v>
      </c>
      <c r="B93" s="22">
        <v>639.85</v>
      </c>
      <c r="C93" s="22">
        <v>675</v>
      </c>
      <c r="D93" s="22">
        <v>624.5</v>
      </c>
      <c r="E93" s="22">
        <v>668.65</v>
      </c>
      <c r="F93" s="22">
        <v>7859</v>
      </c>
      <c r="G93" s="22">
        <v>115856685.8</v>
      </c>
      <c r="H93" s="22">
        <v>73624</v>
      </c>
      <c r="I93" s="22">
        <v>50.5</v>
      </c>
      <c r="J93" s="28">
        <v>28.8</v>
      </c>
      <c r="K93" s="22"/>
    </row>
    <row r="94" spans="1:11" x14ac:dyDescent="0.35">
      <c r="A94" s="27">
        <v>44679</v>
      </c>
      <c r="B94" s="22">
        <v>672</v>
      </c>
      <c r="C94" s="22">
        <v>674.95</v>
      </c>
      <c r="D94" s="22">
        <v>644.70000000000005</v>
      </c>
      <c r="E94" s="22">
        <v>654.25</v>
      </c>
      <c r="F94" s="22">
        <v>4515</v>
      </c>
      <c r="G94" s="22">
        <v>58058772.450000003</v>
      </c>
      <c r="H94" s="22">
        <v>33391</v>
      </c>
      <c r="I94" s="22">
        <v>30.25</v>
      </c>
      <c r="J94" s="28">
        <v>-17.75</v>
      </c>
      <c r="K94" s="22"/>
    </row>
    <row r="95" spans="1:11" x14ac:dyDescent="0.35">
      <c r="A95" s="27">
        <v>44680</v>
      </c>
      <c r="B95" s="22">
        <v>650.5</v>
      </c>
      <c r="C95" s="22">
        <v>666.05</v>
      </c>
      <c r="D95" s="22">
        <v>642.65</v>
      </c>
      <c r="E95" s="22">
        <v>648.6</v>
      </c>
      <c r="F95" s="22">
        <v>2769</v>
      </c>
      <c r="G95" s="22">
        <v>44497207.75</v>
      </c>
      <c r="H95" s="22">
        <v>33185</v>
      </c>
      <c r="I95" s="22">
        <v>23.4</v>
      </c>
      <c r="J95" s="28">
        <v>-1.9</v>
      </c>
      <c r="K95" s="22"/>
    </row>
    <row r="96" spans="1:11" x14ac:dyDescent="0.35">
      <c r="A96" s="27">
        <v>44683</v>
      </c>
      <c r="B96" s="22">
        <v>650</v>
      </c>
      <c r="C96" s="22">
        <v>662</v>
      </c>
      <c r="D96" s="22">
        <v>636.15</v>
      </c>
      <c r="E96" s="22">
        <v>647.4</v>
      </c>
      <c r="F96" s="22">
        <v>8243</v>
      </c>
      <c r="G96" s="22">
        <v>172075008.90000001</v>
      </c>
      <c r="H96" s="22">
        <v>182368</v>
      </c>
      <c r="I96" s="22">
        <v>25.85</v>
      </c>
      <c r="J96" s="28">
        <v>-2.6</v>
      </c>
      <c r="K96" s="22"/>
    </row>
    <row r="97" spans="1:11" x14ac:dyDescent="0.35">
      <c r="A97" s="27">
        <v>44685</v>
      </c>
      <c r="B97" s="22">
        <v>660</v>
      </c>
      <c r="C97" s="22">
        <v>660</v>
      </c>
      <c r="D97" s="22">
        <v>641.04999999999995</v>
      </c>
      <c r="E97" s="22">
        <v>642.75</v>
      </c>
      <c r="F97" s="22">
        <v>2224</v>
      </c>
      <c r="G97" s="22">
        <v>29072727.25</v>
      </c>
      <c r="H97" s="22">
        <v>25166</v>
      </c>
      <c r="I97" s="22">
        <v>18.95</v>
      </c>
      <c r="J97" s="28">
        <v>-17.25</v>
      </c>
      <c r="K97" s="22"/>
    </row>
    <row r="98" spans="1:11" x14ac:dyDescent="0.35">
      <c r="A98" s="27">
        <v>44686</v>
      </c>
      <c r="B98" s="22">
        <v>642</v>
      </c>
      <c r="C98" s="22">
        <v>658.3</v>
      </c>
      <c r="D98" s="22">
        <v>631</v>
      </c>
      <c r="E98" s="22">
        <v>637.1</v>
      </c>
      <c r="F98" s="22">
        <v>2601</v>
      </c>
      <c r="G98" s="22">
        <v>31146993.399999999</v>
      </c>
      <c r="H98" s="22">
        <v>27093</v>
      </c>
      <c r="I98" s="22">
        <v>27.3</v>
      </c>
      <c r="J98" s="28">
        <v>-4.9000000000000004</v>
      </c>
      <c r="K98" s="22"/>
    </row>
    <row r="99" spans="1:11" x14ac:dyDescent="0.35">
      <c r="A99" s="27">
        <v>44687</v>
      </c>
      <c r="B99" s="22">
        <v>628</v>
      </c>
      <c r="C99" s="22">
        <v>635</v>
      </c>
      <c r="D99" s="22">
        <v>612.20000000000005</v>
      </c>
      <c r="E99" s="22">
        <v>629.54999999999995</v>
      </c>
      <c r="F99" s="22">
        <v>4107</v>
      </c>
      <c r="G99" s="22">
        <v>47343624.850000001</v>
      </c>
      <c r="H99" s="22">
        <v>40322</v>
      </c>
      <c r="I99" s="22">
        <v>22.8</v>
      </c>
      <c r="J99" s="28">
        <v>1.55</v>
      </c>
      <c r="K99" s="22"/>
    </row>
    <row r="100" spans="1:11" x14ac:dyDescent="0.35">
      <c r="A100" s="27">
        <v>44690</v>
      </c>
      <c r="B100" s="22">
        <v>621.1</v>
      </c>
      <c r="C100" s="22">
        <v>635.95000000000005</v>
      </c>
      <c r="D100" s="22">
        <v>617</v>
      </c>
      <c r="E100" s="22">
        <v>625.6</v>
      </c>
      <c r="F100" s="22">
        <v>4311</v>
      </c>
      <c r="G100" s="22">
        <v>48176913.799999997</v>
      </c>
      <c r="H100" s="22">
        <v>23060</v>
      </c>
      <c r="I100" s="22">
        <v>18.95</v>
      </c>
      <c r="J100" s="28">
        <v>4.5</v>
      </c>
      <c r="K100" s="22"/>
    </row>
    <row r="101" spans="1:11" x14ac:dyDescent="0.35">
      <c r="A101" s="27">
        <v>44691</v>
      </c>
      <c r="B101" s="22">
        <v>628</v>
      </c>
      <c r="C101" s="22">
        <v>634.54999999999995</v>
      </c>
      <c r="D101" s="22">
        <v>623.5</v>
      </c>
      <c r="E101" s="22">
        <v>628.65</v>
      </c>
      <c r="F101" s="22">
        <v>2479</v>
      </c>
      <c r="G101" s="22">
        <v>30709561.25</v>
      </c>
      <c r="H101" s="22">
        <v>26348</v>
      </c>
      <c r="I101" s="22">
        <v>11.05</v>
      </c>
      <c r="J101" s="28">
        <v>0.65</v>
      </c>
      <c r="K101" s="22"/>
    </row>
    <row r="102" spans="1:11" x14ac:dyDescent="0.35">
      <c r="A102" s="27">
        <v>44692</v>
      </c>
      <c r="B102" s="22">
        <v>623.1</v>
      </c>
      <c r="C102" s="22">
        <v>630</v>
      </c>
      <c r="D102" s="22">
        <v>609.5</v>
      </c>
      <c r="E102" s="22">
        <v>620.1</v>
      </c>
      <c r="F102" s="22">
        <v>3357</v>
      </c>
      <c r="G102" s="22">
        <v>34944700.350000001</v>
      </c>
      <c r="H102" s="22">
        <v>28153</v>
      </c>
      <c r="I102" s="22">
        <v>20.5</v>
      </c>
      <c r="J102" s="28">
        <v>-3</v>
      </c>
      <c r="K102" s="22"/>
    </row>
    <row r="103" spans="1:11" x14ac:dyDescent="0.35">
      <c r="A103" s="27">
        <v>44693</v>
      </c>
      <c r="B103" s="22">
        <v>619.9</v>
      </c>
      <c r="C103" s="22">
        <v>620.35</v>
      </c>
      <c r="D103" s="22">
        <v>608</v>
      </c>
      <c r="E103" s="22">
        <v>612.15</v>
      </c>
      <c r="F103" s="22">
        <v>2406</v>
      </c>
      <c r="G103" s="22">
        <v>49406549.649999999</v>
      </c>
      <c r="H103" s="22">
        <v>56240</v>
      </c>
      <c r="I103" s="22">
        <v>12.35</v>
      </c>
      <c r="J103" s="28">
        <v>-7.75</v>
      </c>
      <c r="K103" s="22"/>
    </row>
    <row r="104" spans="1:11" x14ac:dyDescent="0.35">
      <c r="A104" s="27">
        <v>44694</v>
      </c>
      <c r="B104" s="22">
        <v>624.75</v>
      </c>
      <c r="C104" s="22">
        <v>624.75</v>
      </c>
      <c r="D104" s="22">
        <v>610</v>
      </c>
      <c r="E104" s="22">
        <v>612.54999999999995</v>
      </c>
      <c r="F104" s="22">
        <v>1437</v>
      </c>
      <c r="G104" s="22">
        <v>15816895.25</v>
      </c>
      <c r="H104" s="22">
        <v>11923</v>
      </c>
      <c r="I104" s="22">
        <v>14.75</v>
      </c>
      <c r="J104" s="28">
        <v>-12.2</v>
      </c>
      <c r="K104" s="22"/>
    </row>
    <row r="105" spans="1:11" x14ac:dyDescent="0.35">
      <c r="A105" s="27">
        <v>44697</v>
      </c>
      <c r="B105" s="22">
        <v>622.75</v>
      </c>
      <c r="C105" s="22">
        <v>622.75</v>
      </c>
      <c r="D105" s="22">
        <v>607.25</v>
      </c>
      <c r="E105" s="22">
        <v>615.25</v>
      </c>
      <c r="F105" s="22">
        <v>1533</v>
      </c>
      <c r="G105" s="22">
        <v>17618369.600000001</v>
      </c>
      <c r="H105" s="22">
        <v>9982</v>
      </c>
      <c r="I105" s="22">
        <v>15.5</v>
      </c>
      <c r="J105" s="28">
        <v>-7.5</v>
      </c>
      <c r="K105" s="22"/>
    </row>
    <row r="106" spans="1:11" x14ac:dyDescent="0.35">
      <c r="A106" s="27">
        <v>44698</v>
      </c>
      <c r="B106" s="22">
        <v>624.75</v>
      </c>
      <c r="C106" s="22">
        <v>668</v>
      </c>
      <c r="D106" s="22">
        <v>616.25</v>
      </c>
      <c r="E106" s="22">
        <v>659.9</v>
      </c>
      <c r="F106" s="22">
        <v>6152</v>
      </c>
      <c r="G106" s="22">
        <v>76016814.200000003</v>
      </c>
      <c r="H106" s="22">
        <v>35508</v>
      </c>
      <c r="I106" s="22">
        <v>51.75</v>
      </c>
      <c r="J106" s="28">
        <v>35.15</v>
      </c>
      <c r="K106" s="22"/>
    </row>
    <row r="107" spans="1:11" x14ac:dyDescent="0.35">
      <c r="A107" s="27">
        <v>44699</v>
      </c>
      <c r="B107" s="22">
        <v>666.05</v>
      </c>
      <c r="C107" s="22">
        <v>669.55</v>
      </c>
      <c r="D107" s="22">
        <v>635.25</v>
      </c>
      <c r="E107" s="22">
        <v>638.20000000000005</v>
      </c>
      <c r="F107" s="22">
        <v>3155</v>
      </c>
      <c r="G107" s="22">
        <v>31264766.199999999</v>
      </c>
      <c r="H107" s="22">
        <v>14989</v>
      </c>
      <c r="I107" s="22">
        <v>34.299999999999997</v>
      </c>
      <c r="J107" s="28">
        <v>-27.85</v>
      </c>
      <c r="K107" s="22"/>
    </row>
    <row r="108" spans="1:11" x14ac:dyDescent="0.35">
      <c r="A108" s="27">
        <v>44700</v>
      </c>
      <c r="B108" s="22">
        <v>620</v>
      </c>
      <c r="C108" s="22">
        <v>642.85</v>
      </c>
      <c r="D108" s="22">
        <v>618.25</v>
      </c>
      <c r="E108" s="22">
        <v>637</v>
      </c>
      <c r="F108" s="22">
        <v>2282</v>
      </c>
      <c r="G108" s="22">
        <v>21719049.399999999</v>
      </c>
      <c r="H108" s="22">
        <v>17915</v>
      </c>
      <c r="I108" s="22">
        <v>24.6</v>
      </c>
      <c r="J108" s="28">
        <v>17</v>
      </c>
      <c r="K108" s="22"/>
    </row>
    <row r="109" spans="1:11" x14ac:dyDescent="0.35">
      <c r="A109" s="27">
        <v>44701</v>
      </c>
      <c r="B109" s="22">
        <v>644.45000000000005</v>
      </c>
      <c r="C109" s="22">
        <v>667.9</v>
      </c>
      <c r="D109" s="22">
        <v>630.04999999999995</v>
      </c>
      <c r="E109" s="22">
        <v>656.75</v>
      </c>
      <c r="F109" s="22">
        <v>5100</v>
      </c>
      <c r="G109" s="22">
        <v>50500672.100000001</v>
      </c>
      <c r="H109" s="22">
        <v>22460</v>
      </c>
      <c r="I109" s="22">
        <v>37.85</v>
      </c>
      <c r="J109" s="28">
        <v>12.3</v>
      </c>
      <c r="K109" s="22"/>
    </row>
    <row r="110" spans="1:11" x14ac:dyDescent="0.35">
      <c r="A110" s="27">
        <v>44704</v>
      </c>
      <c r="B110" s="22">
        <v>656.3</v>
      </c>
      <c r="C110" s="22">
        <v>661</v>
      </c>
      <c r="D110" s="22">
        <v>630</v>
      </c>
      <c r="E110" s="22">
        <v>633.4</v>
      </c>
      <c r="F110" s="22">
        <v>2835</v>
      </c>
      <c r="G110" s="22">
        <v>25739917.149999999</v>
      </c>
      <c r="H110" s="22">
        <v>18485</v>
      </c>
      <c r="I110" s="22">
        <v>31</v>
      </c>
      <c r="J110" s="28">
        <v>-22.9</v>
      </c>
      <c r="K110" s="22"/>
    </row>
    <row r="111" spans="1:11" x14ac:dyDescent="0.35">
      <c r="A111" s="27">
        <v>44705</v>
      </c>
      <c r="B111" s="22">
        <v>637</v>
      </c>
      <c r="C111" s="22">
        <v>638.95000000000005</v>
      </c>
      <c r="D111" s="22">
        <v>624</v>
      </c>
      <c r="E111" s="22">
        <v>626.54999999999995</v>
      </c>
      <c r="F111" s="22">
        <v>1442</v>
      </c>
      <c r="G111" s="22">
        <v>9905128.1999999993</v>
      </c>
      <c r="H111" s="22">
        <v>6610</v>
      </c>
      <c r="I111" s="22">
        <v>14.95</v>
      </c>
      <c r="J111" s="28">
        <v>-10.45</v>
      </c>
      <c r="K111" s="22"/>
    </row>
    <row r="112" spans="1:11" x14ac:dyDescent="0.35">
      <c r="A112" s="27">
        <v>44706</v>
      </c>
      <c r="B112" s="22">
        <v>627.1</v>
      </c>
      <c r="C112" s="22">
        <v>633.79999999999995</v>
      </c>
      <c r="D112" s="22">
        <v>620.29999999999995</v>
      </c>
      <c r="E112" s="22">
        <v>626.04999999999995</v>
      </c>
      <c r="F112" s="22">
        <v>2205</v>
      </c>
      <c r="G112" s="22">
        <v>17087706.949999999</v>
      </c>
      <c r="H112" s="22">
        <v>10594</v>
      </c>
      <c r="I112" s="22">
        <v>13.5</v>
      </c>
      <c r="J112" s="28">
        <v>-1.05</v>
      </c>
      <c r="K112" s="22"/>
    </row>
    <row r="113" spans="1:11" x14ac:dyDescent="0.35">
      <c r="A113" s="27">
        <v>44707</v>
      </c>
      <c r="B113" s="22">
        <v>631.79999999999995</v>
      </c>
      <c r="C113" s="22">
        <v>637.1</v>
      </c>
      <c r="D113" s="22">
        <v>619.25</v>
      </c>
      <c r="E113" s="22">
        <v>626.35</v>
      </c>
      <c r="F113" s="22">
        <v>4185</v>
      </c>
      <c r="G113" s="22">
        <v>39547874.049999997</v>
      </c>
      <c r="H113" s="22">
        <v>28232</v>
      </c>
      <c r="I113" s="22">
        <v>17.850000000000001</v>
      </c>
      <c r="J113" s="28">
        <v>-5.45</v>
      </c>
      <c r="K113" s="22"/>
    </row>
    <row r="114" spans="1:11" x14ac:dyDescent="0.35">
      <c r="A114" s="27">
        <v>44708</v>
      </c>
      <c r="B114" s="22">
        <v>626.1</v>
      </c>
      <c r="C114" s="22">
        <v>654.54999999999995</v>
      </c>
      <c r="D114" s="22">
        <v>623.45000000000005</v>
      </c>
      <c r="E114" s="22">
        <v>645.95000000000005</v>
      </c>
      <c r="F114" s="22">
        <v>4166</v>
      </c>
      <c r="G114" s="22">
        <v>34326203.899999999</v>
      </c>
      <c r="H114" s="22">
        <v>21178</v>
      </c>
      <c r="I114" s="22">
        <v>31.1</v>
      </c>
      <c r="J114" s="28">
        <v>19.850000000000001</v>
      </c>
      <c r="K114" s="22"/>
    </row>
    <row r="115" spans="1:11" x14ac:dyDescent="0.35">
      <c r="A115" s="27">
        <v>44711</v>
      </c>
      <c r="B115" s="22">
        <v>649</v>
      </c>
      <c r="C115" s="22">
        <v>669.4</v>
      </c>
      <c r="D115" s="22">
        <v>647.6</v>
      </c>
      <c r="E115" s="22">
        <v>651.95000000000005</v>
      </c>
      <c r="F115" s="22">
        <v>5219</v>
      </c>
      <c r="G115" s="22">
        <v>53742072.950000003</v>
      </c>
      <c r="H115" s="22">
        <v>32775</v>
      </c>
      <c r="I115" s="22">
        <v>21.8</v>
      </c>
      <c r="J115" s="28">
        <v>2.95</v>
      </c>
      <c r="K115" s="22"/>
    </row>
    <row r="116" spans="1:11" x14ac:dyDescent="0.35">
      <c r="A116" s="27">
        <v>44712</v>
      </c>
      <c r="B116" s="22">
        <v>648</v>
      </c>
      <c r="C116" s="22">
        <v>669.7</v>
      </c>
      <c r="D116" s="22">
        <v>648</v>
      </c>
      <c r="E116" s="22">
        <v>661.2</v>
      </c>
      <c r="F116" s="22">
        <v>2276</v>
      </c>
      <c r="G116" s="22">
        <v>22054444.550000001</v>
      </c>
      <c r="H116" s="22">
        <v>14533</v>
      </c>
      <c r="I116" s="22">
        <v>21.7</v>
      </c>
      <c r="J116" s="28">
        <v>13.2</v>
      </c>
      <c r="K116" s="22"/>
    </row>
    <row r="117" spans="1:11" hidden="1" x14ac:dyDescent="0.35">
      <c r="A117" s="27">
        <v>44713</v>
      </c>
      <c r="B117" s="22">
        <v>663.7</v>
      </c>
      <c r="C117" s="22">
        <v>669</v>
      </c>
      <c r="D117" s="22">
        <v>656.75</v>
      </c>
      <c r="E117" s="22">
        <v>665.05</v>
      </c>
      <c r="F117" s="22">
        <v>1956</v>
      </c>
      <c r="G117" s="22">
        <v>22288671.949999999</v>
      </c>
      <c r="H117" s="22">
        <v>15551</v>
      </c>
      <c r="I117" s="22">
        <v>12.25</v>
      </c>
      <c r="J117" s="28">
        <v>1.35</v>
      </c>
      <c r="K117" s="22"/>
    </row>
    <row r="118" spans="1:11" hidden="1" x14ac:dyDescent="0.35">
      <c r="A118" s="27">
        <v>44714</v>
      </c>
      <c r="B118" s="22">
        <v>666</v>
      </c>
      <c r="C118" s="22">
        <v>689.65</v>
      </c>
      <c r="D118" s="22">
        <v>660.9</v>
      </c>
      <c r="E118" s="22">
        <v>676.2</v>
      </c>
      <c r="F118" s="22">
        <v>11796</v>
      </c>
      <c r="G118" s="22">
        <v>223308456.65000001</v>
      </c>
      <c r="H118" s="22">
        <v>179118</v>
      </c>
      <c r="I118" s="22">
        <v>28.75</v>
      </c>
      <c r="J118" s="28">
        <v>10.199999999999999</v>
      </c>
      <c r="K118" s="22"/>
    </row>
    <row r="119" spans="1:11" hidden="1" x14ac:dyDescent="0.35">
      <c r="A119" s="27">
        <v>44715</v>
      </c>
      <c r="B119" s="22">
        <v>681.9</v>
      </c>
      <c r="C119" s="22">
        <v>682</v>
      </c>
      <c r="D119" s="22">
        <v>661.55</v>
      </c>
      <c r="E119" s="22">
        <v>669.4</v>
      </c>
      <c r="F119" s="22">
        <v>2542</v>
      </c>
      <c r="G119" s="22">
        <v>22263219.5</v>
      </c>
      <c r="H119" s="22">
        <v>14790</v>
      </c>
      <c r="I119" s="22">
        <v>20.45</v>
      </c>
      <c r="J119" s="28">
        <v>-12.5</v>
      </c>
      <c r="K119" s="22"/>
    </row>
    <row r="120" spans="1:11" hidden="1" x14ac:dyDescent="0.35">
      <c r="A120" s="27">
        <v>44718</v>
      </c>
      <c r="B120" s="22">
        <v>669.4</v>
      </c>
      <c r="C120" s="22">
        <v>669.9</v>
      </c>
      <c r="D120" s="22">
        <v>650.54999999999995</v>
      </c>
      <c r="E120" s="22">
        <v>657.55</v>
      </c>
      <c r="F120" s="22">
        <v>1512</v>
      </c>
      <c r="G120" s="22">
        <v>13876746.9</v>
      </c>
      <c r="H120" s="22">
        <v>9783</v>
      </c>
      <c r="I120" s="22">
        <v>19.350000000000001</v>
      </c>
      <c r="J120" s="28">
        <v>-11.85</v>
      </c>
      <c r="K120" s="22"/>
    </row>
    <row r="121" spans="1:11" hidden="1" x14ac:dyDescent="0.35">
      <c r="A121" s="27">
        <v>44719</v>
      </c>
      <c r="B121" s="22">
        <v>653</v>
      </c>
      <c r="C121" s="22">
        <v>663.05</v>
      </c>
      <c r="D121" s="22">
        <v>650.70000000000005</v>
      </c>
      <c r="E121" s="22">
        <v>661.2</v>
      </c>
      <c r="F121" s="22">
        <v>1164</v>
      </c>
      <c r="G121" s="22">
        <v>15322190.5</v>
      </c>
      <c r="H121" s="22">
        <v>13833</v>
      </c>
      <c r="I121" s="22">
        <v>12.35</v>
      </c>
      <c r="J121" s="28">
        <v>8.1999999999999993</v>
      </c>
      <c r="K121" s="22"/>
    </row>
    <row r="122" spans="1:11" hidden="1" x14ac:dyDescent="0.35">
      <c r="A122" s="27">
        <v>44720</v>
      </c>
      <c r="B122" s="22">
        <v>666</v>
      </c>
      <c r="C122" s="22">
        <v>666</v>
      </c>
      <c r="D122" s="22">
        <v>655</v>
      </c>
      <c r="E122" s="22">
        <v>659.15</v>
      </c>
      <c r="F122" s="22">
        <v>1130</v>
      </c>
      <c r="G122" s="22">
        <v>8306795.9000000004</v>
      </c>
      <c r="H122" s="22">
        <v>6438</v>
      </c>
      <c r="I122" s="22">
        <v>11</v>
      </c>
      <c r="J122" s="28">
        <v>-6.85</v>
      </c>
      <c r="K122" s="22"/>
    </row>
    <row r="123" spans="1:11" hidden="1" x14ac:dyDescent="0.35">
      <c r="A123" s="27">
        <v>44721</v>
      </c>
      <c r="B123" s="22">
        <v>655</v>
      </c>
      <c r="C123" s="22">
        <v>674.45</v>
      </c>
      <c r="D123" s="22">
        <v>653.70000000000005</v>
      </c>
      <c r="E123" s="22">
        <v>661.3</v>
      </c>
      <c r="F123" s="22">
        <v>1652</v>
      </c>
      <c r="G123" s="22">
        <v>15683739.25</v>
      </c>
      <c r="H123" s="22">
        <v>10768</v>
      </c>
      <c r="I123" s="22">
        <v>20.75</v>
      </c>
      <c r="J123" s="28">
        <v>6.3</v>
      </c>
      <c r="K123" s="22"/>
    </row>
    <row r="124" spans="1:11" hidden="1" x14ac:dyDescent="0.35">
      <c r="A124" s="27">
        <v>44722</v>
      </c>
      <c r="B124" s="22">
        <v>660.9</v>
      </c>
      <c r="C124" s="22">
        <v>661.85</v>
      </c>
      <c r="D124" s="22">
        <v>652.4</v>
      </c>
      <c r="E124" s="22">
        <v>655.5</v>
      </c>
      <c r="F124" s="22">
        <v>842</v>
      </c>
      <c r="G124" s="22">
        <v>8282659.3499999996</v>
      </c>
      <c r="H124" s="22">
        <v>7285</v>
      </c>
      <c r="I124" s="22">
        <v>9.4499999999999993</v>
      </c>
      <c r="J124" s="28">
        <v>-5.4</v>
      </c>
      <c r="K124" s="22"/>
    </row>
    <row r="125" spans="1:11" hidden="1" x14ac:dyDescent="0.35">
      <c r="A125" s="27">
        <v>44725</v>
      </c>
      <c r="B125" s="22">
        <v>650</v>
      </c>
      <c r="C125" s="22">
        <v>652.65</v>
      </c>
      <c r="D125" s="22">
        <v>633</v>
      </c>
      <c r="E125" s="22">
        <v>634.29999999999995</v>
      </c>
      <c r="F125" s="22">
        <v>1608</v>
      </c>
      <c r="G125" s="22">
        <v>16940010.75</v>
      </c>
      <c r="H125" s="22">
        <v>17831</v>
      </c>
      <c r="I125" s="22">
        <v>19.649999999999999</v>
      </c>
      <c r="J125" s="28">
        <v>-15.7</v>
      </c>
      <c r="K125" s="22"/>
    </row>
    <row r="126" spans="1:11" hidden="1" x14ac:dyDescent="0.35">
      <c r="A126" s="27">
        <v>44726</v>
      </c>
      <c r="B126" s="22">
        <v>631</v>
      </c>
      <c r="C126" s="22">
        <v>643</v>
      </c>
      <c r="D126" s="22">
        <v>629</v>
      </c>
      <c r="E126" s="22">
        <v>632.85</v>
      </c>
      <c r="F126" s="22">
        <v>1829</v>
      </c>
      <c r="G126" s="22">
        <v>12033799.5</v>
      </c>
      <c r="H126" s="22">
        <v>9440</v>
      </c>
      <c r="I126" s="22">
        <v>14</v>
      </c>
      <c r="J126" s="28">
        <v>1.85</v>
      </c>
      <c r="K126" s="22"/>
    </row>
    <row r="127" spans="1:11" hidden="1" x14ac:dyDescent="0.35">
      <c r="A127" s="27">
        <v>44727</v>
      </c>
      <c r="B127" s="22">
        <v>639</v>
      </c>
      <c r="C127" s="22">
        <v>650</v>
      </c>
      <c r="D127" s="22">
        <v>632</v>
      </c>
      <c r="E127" s="22">
        <v>644.45000000000005</v>
      </c>
      <c r="F127" s="22">
        <v>1347</v>
      </c>
      <c r="G127" s="22">
        <v>19893400.550000001</v>
      </c>
      <c r="H127" s="22">
        <v>23087</v>
      </c>
      <c r="I127" s="22">
        <v>18</v>
      </c>
      <c r="J127" s="28">
        <v>5.45</v>
      </c>
      <c r="K127" s="22"/>
    </row>
    <row r="128" spans="1:11" hidden="1" x14ac:dyDescent="0.35">
      <c r="A128" s="27">
        <v>44728</v>
      </c>
      <c r="B128" s="22">
        <v>659.95</v>
      </c>
      <c r="C128" s="22">
        <v>659.95</v>
      </c>
      <c r="D128" s="22">
        <v>624.75</v>
      </c>
      <c r="E128" s="22">
        <v>625.9</v>
      </c>
      <c r="F128" s="22">
        <v>1743</v>
      </c>
      <c r="G128" s="22">
        <v>16632087.85</v>
      </c>
      <c r="H128" s="22">
        <v>17349</v>
      </c>
      <c r="I128" s="22">
        <v>35.200000000000003</v>
      </c>
      <c r="J128" s="28">
        <v>-34.049999999999997</v>
      </c>
      <c r="K128" s="22"/>
    </row>
    <row r="129" spans="1:11" hidden="1" x14ac:dyDescent="0.35">
      <c r="A129" s="27">
        <v>44729</v>
      </c>
      <c r="B129" s="22">
        <v>625.9</v>
      </c>
      <c r="C129" s="22">
        <v>632.6</v>
      </c>
      <c r="D129" s="22">
        <v>616.25</v>
      </c>
      <c r="E129" s="22">
        <v>619.65</v>
      </c>
      <c r="F129" s="22">
        <v>2629</v>
      </c>
      <c r="G129" s="22">
        <v>18010487.449999999</v>
      </c>
      <c r="H129" s="22">
        <v>18950</v>
      </c>
      <c r="I129" s="22">
        <v>16.350000000000001</v>
      </c>
      <c r="J129" s="28">
        <v>-6.25</v>
      </c>
      <c r="K129" s="22"/>
    </row>
    <row r="130" spans="1:11" hidden="1" x14ac:dyDescent="0.35">
      <c r="A130" s="27">
        <v>44732</v>
      </c>
      <c r="B130" s="22">
        <v>618.5</v>
      </c>
      <c r="C130" s="22">
        <v>625.79999999999995</v>
      </c>
      <c r="D130" s="22">
        <v>612</v>
      </c>
      <c r="E130" s="22">
        <v>619.9</v>
      </c>
      <c r="F130" s="22">
        <v>2168</v>
      </c>
      <c r="G130" s="22">
        <v>28686435.850000001</v>
      </c>
      <c r="H130" s="22">
        <v>32492</v>
      </c>
      <c r="I130" s="22">
        <v>13.8</v>
      </c>
      <c r="J130" s="28">
        <v>1.4</v>
      </c>
      <c r="K130" s="22"/>
    </row>
    <row r="131" spans="1:11" hidden="1" x14ac:dyDescent="0.35">
      <c r="A131" s="27">
        <v>44733</v>
      </c>
      <c r="B131" s="22">
        <v>619</v>
      </c>
      <c r="C131" s="22">
        <v>651</v>
      </c>
      <c r="D131" s="22">
        <v>618.85</v>
      </c>
      <c r="E131" s="22">
        <v>647.5</v>
      </c>
      <c r="F131" s="22">
        <v>4700</v>
      </c>
      <c r="G131" s="22">
        <v>53080788.899999999</v>
      </c>
      <c r="H131" s="22">
        <v>49581</v>
      </c>
      <c r="I131" s="22">
        <v>32.15</v>
      </c>
      <c r="J131" s="28">
        <v>28.5</v>
      </c>
      <c r="K131" s="22"/>
    </row>
    <row r="132" spans="1:11" hidden="1" x14ac:dyDescent="0.35">
      <c r="A132" s="27">
        <v>44734</v>
      </c>
      <c r="B132" s="22">
        <v>647.5</v>
      </c>
      <c r="C132" s="22">
        <v>656.15</v>
      </c>
      <c r="D132" s="22">
        <v>627</v>
      </c>
      <c r="E132" s="22">
        <v>628.85</v>
      </c>
      <c r="F132" s="22">
        <v>1567</v>
      </c>
      <c r="G132" s="22">
        <v>11768575.75</v>
      </c>
      <c r="H132" s="22">
        <v>8024</v>
      </c>
      <c r="I132" s="22">
        <v>29.15</v>
      </c>
      <c r="J132" s="28">
        <v>-18.649999999999999</v>
      </c>
      <c r="K132" s="22"/>
    </row>
    <row r="133" spans="1:11" hidden="1" x14ac:dyDescent="0.35">
      <c r="A133" s="27">
        <v>44735</v>
      </c>
      <c r="B133" s="22">
        <v>637.85</v>
      </c>
      <c r="C133" s="22">
        <v>640.5</v>
      </c>
      <c r="D133" s="22">
        <v>628</v>
      </c>
      <c r="E133" s="22">
        <v>639.65</v>
      </c>
      <c r="F133" s="22">
        <v>1059</v>
      </c>
      <c r="G133" s="22">
        <v>6830802.2999999998</v>
      </c>
      <c r="H133" s="22">
        <v>4837</v>
      </c>
      <c r="I133" s="22">
        <v>12.5</v>
      </c>
      <c r="J133" s="28">
        <v>1.8</v>
      </c>
      <c r="K133" s="22"/>
    </row>
    <row r="134" spans="1:11" hidden="1" x14ac:dyDescent="0.35">
      <c r="A134" s="27">
        <v>44736</v>
      </c>
      <c r="B134" s="22">
        <v>640</v>
      </c>
      <c r="C134" s="22">
        <v>654.79999999999995</v>
      </c>
      <c r="D134" s="22">
        <v>637.65</v>
      </c>
      <c r="E134" s="22">
        <v>641.20000000000005</v>
      </c>
      <c r="F134" s="22">
        <v>2536</v>
      </c>
      <c r="G134" s="22">
        <v>20887477.949999999</v>
      </c>
      <c r="H134" s="22">
        <v>15533</v>
      </c>
      <c r="I134" s="22">
        <v>17.149999999999999</v>
      </c>
      <c r="J134" s="28">
        <v>1.2</v>
      </c>
      <c r="K134" s="22"/>
    </row>
    <row r="135" spans="1:11" hidden="1" x14ac:dyDescent="0.35">
      <c r="A135" s="27">
        <v>44739</v>
      </c>
      <c r="B135" s="22">
        <v>641.5</v>
      </c>
      <c r="C135" s="22">
        <v>658.05</v>
      </c>
      <c r="D135" s="22">
        <v>639.5</v>
      </c>
      <c r="E135" s="22">
        <v>650.29999999999995</v>
      </c>
      <c r="F135" s="22">
        <v>6923</v>
      </c>
      <c r="G135" s="22">
        <v>37808139.799999997</v>
      </c>
      <c r="H135" s="22">
        <v>28468</v>
      </c>
      <c r="I135" s="22">
        <v>18.55</v>
      </c>
      <c r="J135" s="28">
        <v>8.8000000000000007</v>
      </c>
      <c r="K135" s="22"/>
    </row>
    <row r="136" spans="1:11" hidden="1" x14ac:dyDescent="0.35">
      <c r="A136" s="27">
        <v>44740</v>
      </c>
      <c r="B136" s="22">
        <v>643.79999999999995</v>
      </c>
      <c r="C136" s="22">
        <v>650.75</v>
      </c>
      <c r="D136" s="22">
        <v>641.29999999999995</v>
      </c>
      <c r="E136" s="22">
        <v>644.6</v>
      </c>
      <c r="F136" s="22">
        <v>1028</v>
      </c>
      <c r="G136" s="22">
        <v>4001824.55</v>
      </c>
      <c r="H136" s="22">
        <v>2015</v>
      </c>
      <c r="I136" s="22">
        <v>9.4499999999999993</v>
      </c>
      <c r="J136" s="28">
        <v>0.8</v>
      </c>
      <c r="K136" s="22"/>
    </row>
    <row r="137" spans="1:11" hidden="1" x14ac:dyDescent="0.35">
      <c r="A137" s="27">
        <v>44741</v>
      </c>
      <c r="B137" s="22">
        <v>640.04999999999995</v>
      </c>
      <c r="C137" s="22">
        <v>649.95000000000005</v>
      </c>
      <c r="D137" s="22">
        <v>640</v>
      </c>
      <c r="E137" s="22">
        <v>645</v>
      </c>
      <c r="F137" s="22">
        <v>1980</v>
      </c>
      <c r="G137" s="22">
        <v>6865187.9500000002</v>
      </c>
      <c r="H137" s="22">
        <v>4543</v>
      </c>
      <c r="I137" s="22">
        <v>9.9499999999999993</v>
      </c>
      <c r="J137" s="28">
        <v>4.95</v>
      </c>
      <c r="K137" s="22"/>
    </row>
    <row r="138" spans="1:11" hidden="1" x14ac:dyDescent="0.35">
      <c r="A138" s="27">
        <v>44742</v>
      </c>
      <c r="B138" s="22">
        <v>649.9</v>
      </c>
      <c r="C138" s="22">
        <v>661</v>
      </c>
      <c r="D138" s="22">
        <v>644.1</v>
      </c>
      <c r="E138" s="22">
        <v>656.7</v>
      </c>
      <c r="F138" s="22">
        <v>3346</v>
      </c>
      <c r="G138" s="22">
        <v>27942770.449999999</v>
      </c>
      <c r="H138" s="22">
        <v>25530</v>
      </c>
      <c r="I138" s="22">
        <v>16.899999999999999</v>
      </c>
      <c r="J138" s="28">
        <v>6.8</v>
      </c>
      <c r="K138" s="22"/>
    </row>
    <row r="139" spans="1:11" hidden="1" x14ac:dyDescent="0.35">
      <c r="A139" s="27">
        <v>44743</v>
      </c>
      <c r="B139" s="22">
        <v>650</v>
      </c>
      <c r="C139" s="22">
        <v>659</v>
      </c>
      <c r="D139" s="22">
        <v>650</v>
      </c>
      <c r="E139" s="22">
        <v>652.70000000000005</v>
      </c>
      <c r="F139" s="22">
        <v>1393</v>
      </c>
      <c r="G139" s="22">
        <v>7690885.3499999996</v>
      </c>
      <c r="H139" s="22">
        <v>6852</v>
      </c>
      <c r="I139" s="22">
        <v>9</v>
      </c>
      <c r="J139" s="28">
        <v>2.7</v>
      </c>
      <c r="K139" s="22"/>
    </row>
    <row r="140" spans="1:11" hidden="1" x14ac:dyDescent="0.35">
      <c r="A140" s="27">
        <v>44746</v>
      </c>
      <c r="B140" s="22">
        <v>658.25</v>
      </c>
      <c r="C140" s="22">
        <v>679</v>
      </c>
      <c r="D140" s="22">
        <v>650.1</v>
      </c>
      <c r="E140" s="22">
        <v>673.55</v>
      </c>
      <c r="F140" s="22">
        <v>2470</v>
      </c>
      <c r="G140" s="22">
        <v>26155201.850000001</v>
      </c>
      <c r="H140" s="22">
        <v>23068</v>
      </c>
      <c r="I140" s="22">
        <v>28.9</v>
      </c>
      <c r="J140" s="28">
        <v>15.3</v>
      </c>
      <c r="K140" s="22"/>
    </row>
    <row r="141" spans="1:11" hidden="1" x14ac:dyDescent="0.35">
      <c r="A141" s="27">
        <v>44747</v>
      </c>
      <c r="B141" s="22">
        <v>680.5</v>
      </c>
      <c r="C141" s="22">
        <v>680.5</v>
      </c>
      <c r="D141" s="22">
        <v>654</v>
      </c>
      <c r="E141" s="22">
        <v>659.2</v>
      </c>
      <c r="F141" s="22">
        <v>4615</v>
      </c>
      <c r="G141" s="22">
        <v>62139160.549999997</v>
      </c>
      <c r="H141" s="22">
        <v>54138</v>
      </c>
      <c r="I141" s="22">
        <v>26.5</v>
      </c>
      <c r="J141" s="28">
        <v>-21.3</v>
      </c>
      <c r="K141" s="22"/>
    </row>
    <row r="142" spans="1:11" hidden="1" x14ac:dyDescent="0.35">
      <c r="A142" s="27">
        <v>44748</v>
      </c>
      <c r="B142" s="22">
        <v>652.1</v>
      </c>
      <c r="C142" s="22">
        <v>664.4</v>
      </c>
      <c r="D142" s="22">
        <v>652.1</v>
      </c>
      <c r="E142" s="22">
        <v>655</v>
      </c>
      <c r="F142" s="22">
        <v>1253</v>
      </c>
      <c r="G142" s="22">
        <v>9508399.3499999996</v>
      </c>
      <c r="H142" s="22">
        <v>8186</v>
      </c>
      <c r="I142" s="22">
        <v>12.3</v>
      </c>
      <c r="J142" s="28">
        <v>2.9</v>
      </c>
      <c r="K142" s="22"/>
    </row>
    <row r="143" spans="1:11" hidden="1" x14ac:dyDescent="0.35">
      <c r="A143" s="27">
        <v>44749</v>
      </c>
      <c r="B143" s="22">
        <v>657</v>
      </c>
      <c r="C143" s="22">
        <v>664</v>
      </c>
      <c r="D143" s="22">
        <v>654.1</v>
      </c>
      <c r="E143" s="22">
        <v>655.5</v>
      </c>
      <c r="F143" s="22">
        <v>1470</v>
      </c>
      <c r="G143" s="22">
        <v>13895656.949999999</v>
      </c>
      <c r="H143" s="22">
        <v>14457</v>
      </c>
      <c r="I143" s="22">
        <v>9.9</v>
      </c>
      <c r="J143" s="28">
        <v>-1.5</v>
      </c>
      <c r="K143" s="22"/>
    </row>
    <row r="144" spans="1:11" hidden="1" x14ac:dyDescent="0.35">
      <c r="A144" s="27">
        <v>44750</v>
      </c>
      <c r="B144" s="22">
        <v>662.8</v>
      </c>
      <c r="C144" s="22">
        <v>662.8</v>
      </c>
      <c r="D144" s="22">
        <v>646</v>
      </c>
      <c r="E144" s="22">
        <v>648.04999999999995</v>
      </c>
      <c r="F144" s="22">
        <v>1874</v>
      </c>
      <c r="G144" s="22">
        <v>33127852.600000001</v>
      </c>
      <c r="H144" s="22">
        <v>37153</v>
      </c>
      <c r="I144" s="22">
        <v>16.8</v>
      </c>
      <c r="J144" s="28">
        <v>-14.75</v>
      </c>
      <c r="K144" s="22"/>
    </row>
    <row r="145" spans="1:11" hidden="1" x14ac:dyDescent="0.35">
      <c r="A145" s="27">
        <v>44753</v>
      </c>
      <c r="B145" s="22">
        <v>653.9</v>
      </c>
      <c r="C145" s="22">
        <v>666</v>
      </c>
      <c r="D145" s="22">
        <v>644</v>
      </c>
      <c r="E145" s="22">
        <v>646.79999999999995</v>
      </c>
      <c r="F145" s="22">
        <v>4117</v>
      </c>
      <c r="G145" s="22">
        <v>83774124.099999994</v>
      </c>
      <c r="H145" s="22">
        <v>87010</v>
      </c>
      <c r="I145" s="22">
        <v>22</v>
      </c>
      <c r="J145" s="28">
        <v>-7.1</v>
      </c>
      <c r="K145" s="22"/>
    </row>
    <row r="146" spans="1:11" hidden="1" x14ac:dyDescent="0.35">
      <c r="A146" s="27">
        <v>44754</v>
      </c>
      <c r="B146" s="22">
        <v>652</v>
      </c>
      <c r="C146" s="22">
        <v>665</v>
      </c>
      <c r="D146" s="22">
        <v>648.9</v>
      </c>
      <c r="E146" s="22">
        <v>652.4</v>
      </c>
      <c r="F146" s="22">
        <v>7162</v>
      </c>
      <c r="G146" s="22">
        <v>118460155.05</v>
      </c>
      <c r="H146" s="22">
        <v>99379</v>
      </c>
      <c r="I146" s="22">
        <v>16.100000000000001</v>
      </c>
      <c r="J146" s="28">
        <v>0.4</v>
      </c>
      <c r="K146" s="22"/>
    </row>
    <row r="147" spans="1:11" hidden="1" x14ac:dyDescent="0.35">
      <c r="A147" s="27">
        <v>44755</v>
      </c>
      <c r="B147" s="22">
        <v>674.4</v>
      </c>
      <c r="C147" s="22">
        <v>683.95</v>
      </c>
      <c r="D147" s="22">
        <v>650</v>
      </c>
      <c r="E147" s="22">
        <v>650.5</v>
      </c>
      <c r="F147" s="22">
        <v>17007</v>
      </c>
      <c r="G147" s="22">
        <v>276492815.55000001</v>
      </c>
      <c r="H147" s="22">
        <v>107860</v>
      </c>
      <c r="I147" s="22">
        <v>33.950000000000003</v>
      </c>
      <c r="J147" s="28">
        <v>-23.9</v>
      </c>
      <c r="K147" s="22"/>
    </row>
    <row r="148" spans="1:11" hidden="1" x14ac:dyDescent="0.35">
      <c r="A148" s="27">
        <v>44756</v>
      </c>
      <c r="B148" s="22">
        <v>657.7</v>
      </c>
      <c r="C148" s="22">
        <v>657.7</v>
      </c>
      <c r="D148" s="22">
        <v>635.25</v>
      </c>
      <c r="E148" s="22">
        <v>649.45000000000005</v>
      </c>
      <c r="F148" s="22">
        <v>4982</v>
      </c>
      <c r="G148" s="22">
        <v>71028913.25</v>
      </c>
      <c r="H148" s="22">
        <v>49250</v>
      </c>
      <c r="I148" s="22">
        <v>22.45</v>
      </c>
      <c r="J148" s="28">
        <v>-8.25</v>
      </c>
      <c r="K148" s="22"/>
    </row>
    <row r="149" spans="1:11" hidden="1" x14ac:dyDescent="0.35">
      <c r="A149" s="27">
        <v>44757</v>
      </c>
      <c r="B149" s="22">
        <v>653</v>
      </c>
      <c r="C149" s="22">
        <v>655.65</v>
      </c>
      <c r="D149" s="22">
        <v>636.5</v>
      </c>
      <c r="E149" s="22">
        <v>638.29999999999995</v>
      </c>
      <c r="F149" s="22">
        <v>1621</v>
      </c>
      <c r="G149" s="22">
        <v>21390017.699999999</v>
      </c>
      <c r="H149" s="22">
        <v>19885</v>
      </c>
      <c r="I149" s="22">
        <v>19.149999999999999</v>
      </c>
      <c r="J149" s="28">
        <v>-14.7</v>
      </c>
      <c r="K149" s="22"/>
    </row>
    <row r="150" spans="1:11" hidden="1" x14ac:dyDescent="0.35">
      <c r="A150" s="27">
        <v>44760</v>
      </c>
      <c r="B150" s="22">
        <v>640</v>
      </c>
      <c r="C150" s="22">
        <v>646.4</v>
      </c>
      <c r="D150" s="22">
        <v>635</v>
      </c>
      <c r="E150" s="22">
        <v>635.79999999999995</v>
      </c>
      <c r="F150" s="22">
        <v>1702</v>
      </c>
      <c r="G150" s="22">
        <v>18846828.850000001</v>
      </c>
      <c r="H150" s="22">
        <v>17494</v>
      </c>
      <c r="I150" s="22">
        <v>11.4</v>
      </c>
      <c r="J150" s="28">
        <v>-4.2</v>
      </c>
      <c r="K150" s="22"/>
    </row>
    <row r="151" spans="1:11" hidden="1" x14ac:dyDescent="0.35">
      <c r="A151" s="27">
        <v>44761</v>
      </c>
      <c r="B151" s="22">
        <v>638.95000000000005</v>
      </c>
      <c r="C151" s="22">
        <v>641</v>
      </c>
      <c r="D151" s="22">
        <v>627.54999999999995</v>
      </c>
      <c r="E151" s="22">
        <v>630.20000000000005</v>
      </c>
      <c r="F151" s="22">
        <v>2843</v>
      </c>
      <c r="G151" s="22">
        <v>33928793.5</v>
      </c>
      <c r="H151" s="22">
        <v>27536</v>
      </c>
      <c r="I151" s="22">
        <v>13.45</v>
      </c>
      <c r="J151" s="28">
        <v>-8.75</v>
      </c>
      <c r="K151" s="22"/>
    </row>
    <row r="152" spans="1:11" hidden="1" x14ac:dyDescent="0.35">
      <c r="A152" s="27">
        <v>44762</v>
      </c>
      <c r="B152" s="22">
        <v>635</v>
      </c>
      <c r="C152" s="22">
        <v>636</v>
      </c>
      <c r="D152" s="22">
        <v>627.25</v>
      </c>
      <c r="E152" s="22">
        <v>629.45000000000005</v>
      </c>
      <c r="F152" s="22">
        <v>2009</v>
      </c>
      <c r="G152" s="22">
        <v>61082021.5</v>
      </c>
      <c r="H152" s="22">
        <v>72817</v>
      </c>
      <c r="I152" s="22">
        <v>8.75</v>
      </c>
      <c r="J152" s="28">
        <v>-5.55</v>
      </c>
      <c r="K152" s="22"/>
    </row>
    <row r="153" spans="1:11" hidden="1" x14ac:dyDescent="0.35">
      <c r="A153" s="27">
        <v>44763</v>
      </c>
      <c r="B153" s="22">
        <v>630</v>
      </c>
      <c r="C153" s="22">
        <v>637</v>
      </c>
      <c r="D153" s="22">
        <v>629</v>
      </c>
      <c r="E153" s="22">
        <v>633.65</v>
      </c>
      <c r="F153" s="22">
        <v>2096</v>
      </c>
      <c r="G153" s="22">
        <v>31810547.550000001</v>
      </c>
      <c r="H153" s="22">
        <v>26226</v>
      </c>
      <c r="I153" s="22">
        <v>8</v>
      </c>
      <c r="J153" s="28">
        <v>3.65</v>
      </c>
      <c r="K153" s="22"/>
    </row>
    <row r="154" spans="1:11" hidden="1" x14ac:dyDescent="0.35">
      <c r="A154" s="27">
        <v>44764</v>
      </c>
      <c r="B154" s="22">
        <v>636.54999999999995</v>
      </c>
      <c r="C154" s="22">
        <v>640</v>
      </c>
      <c r="D154" s="22">
        <v>627.1</v>
      </c>
      <c r="E154" s="22">
        <v>635.25</v>
      </c>
      <c r="F154" s="22">
        <v>2556</v>
      </c>
      <c r="G154" s="22">
        <v>52718866.299999997</v>
      </c>
      <c r="H154" s="22">
        <v>46319</v>
      </c>
      <c r="I154" s="22">
        <v>12.9</v>
      </c>
      <c r="J154" s="28">
        <v>-1.3</v>
      </c>
      <c r="K154" s="22"/>
    </row>
    <row r="155" spans="1:11" hidden="1" x14ac:dyDescent="0.35">
      <c r="A155" s="27">
        <v>44767</v>
      </c>
      <c r="B155" s="22">
        <v>638.65</v>
      </c>
      <c r="C155" s="22">
        <v>638.65</v>
      </c>
      <c r="D155" s="22">
        <v>628</v>
      </c>
      <c r="E155" s="22">
        <v>629.25</v>
      </c>
      <c r="F155" s="22">
        <v>1139</v>
      </c>
      <c r="G155" s="22">
        <v>20483575.449999999</v>
      </c>
      <c r="H155" s="22">
        <v>21845</v>
      </c>
      <c r="I155" s="22">
        <v>10.65</v>
      </c>
      <c r="J155" s="28">
        <v>-9.4</v>
      </c>
      <c r="K155" s="22"/>
    </row>
    <row r="156" spans="1:11" hidden="1" x14ac:dyDescent="0.35">
      <c r="A156" s="27">
        <v>44768</v>
      </c>
      <c r="B156" s="22">
        <v>633</v>
      </c>
      <c r="C156" s="22">
        <v>639.54999999999995</v>
      </c>
      <c r="D156" s="22">
        <v>628.85</v>
      </c>
      <c r="E156" s="22">
        <v>634.79999999999995</v>
      </c>
      <c r="F156" s="22">
        <v>1667</v>
      </c>
      <c r="G156" s="22">
        <v>23737605.449999999</v>
      </c>
      <c r="H156" s="22">
        <v>19090</v>
      </c>
      <c r="I156" s="22">
        <v>10.7</v>
      </c>
      <c r="J156" s="28">
        <v>1.8</v>
      </c>
      <c r="K156" s="22"/>
    </row>
    <row r="157" spans="1:11" hidden="1" x14ac:dyDescent="0.35">
      <c r="A157" s="27">
        <v>44769</v>
      </c>
      <c r="B157" s="22">
        <v>634.79999999999995</v>
      </c>
      <c r="C157" s="22">
        <v>642.9</v>
      </c>
      <c r="D157" s="22">
        <v>630</v>
      </c>
      <c r="E157" s="22">
        <v>641.04999999999995</v>
      </c>
      <c r="F157" s="22">
        <v>1418</v>
      </c>
      <c r="G157" s="22">
        <v>20995523.149999999</v>
      </c>
      <c r="H157" s="22">
        <v>20724</v>
      </c>
      <c r="I157" s="22">
        <v>12.9</v>
      </c>
      <c r="J157" s="28">
        <v>6.25</v>
      </c>
      <c r="K157" s="22"/>
    </row>
    <row r="158" spans="1:11" hidden="1" x14ac:dyDescent="0.35">
      <c r="A158" s="27">
        <v>44770</v>
      </c>
      <c r="B158" s="22">
        <v>644</v>
      </c>
      <c r="C158" s="22">
        <v>648.95000000000005</v>
      </c>
      <c r="D158" s="22">
        <v>639.5</v>
      </c>
      <c r="E158" s="22">
        <v>640.65</v>
      </c>
      <c r="F158" s="22">
        <v>2459</v>
      </c>
      <c r="G158" s="22">
        <v>33358347.899999999</v>
      </c>
      <c r="H158" s="22">
        <v>32555</v>
      </c>
      <c r="I158" s="22">
        <v>9.4499999999999993</v>
      </c>
      <c r="J158" s="28">
        <v>-3.35</v>
      </c>
      <c r="K158" s="22"/>
    </row>
    <row r="159" spans="1:11" hidden="1" x14ac:dyDescent="0.35">
      <c r="A159" s="27">
        <v>44771</v>
      </c>
      <c r="B159" s="22">
        <v>648</v>
      </c>
      <c r="C159" s="22">
        <v>649.85</v>
      </c>
      <c r="D159" s="22">
        <v>635</v>
      </c>
      <c r="E159" s="22">
        <v>641.04999999999995</v>
      </c>
      <c r="F159" s="22">
        <v>1790</v>
      </c>
      <c r="G159" s="22">
        <v>22545128.100000001</v>
      </c>
      <c r="H159" s="22">
        <v>20890</v>
      </c>
      <c r="I159" s="22">
        <v>14.85</v>
      </c>
      <c r="J159" s="28">
        <v>-6.95</v>
      </c>
      <c r="K159" s="22"/>
    </row>
    <row r="160" spans="1:11" hidden="1" x14ac:dyDescent="0.35">
      <c r="A160" s="27">
        <v>44774</v>
      </c>
      <c r="B160" s="22">
        <v>645</v>
      </c>
      <c r="C160" s="22">
        <v>664</v>
      </c>
      <c r="D160" s="22">
        <v>639.5</v>
      </c>
      <c r="E160" s="22">
        <v>653.9</v>
      </c>
      <c r="F160" s="22">
        <v>8941</v>
      </c>
      <c r="G160" s="22">
        <v>149204240.44999999</v>
      </c>
      <c r="H160" s="22">
        <v>148166</v>
      </c>
      <c r="I160" s="22">
        <v>24.5</v>
      </c>
      <c r="J160" s="28">
        <v>8.9</v>
      </c>
      <c r="K160" s="22"/>
    </row>
    <row r="161" spans="1:11" hidden="1" x14ac:dyDescent="0.35">
      <c r="A161" s="27">
        <v>44775</v>
      </c>
      <c r="B161" s="22">
        <v>653.9</v>
      </c>
      <c r="C161" s="22">
        <v>668.9</v>
      </c>
      <c r="D161" s="22">
        <v>653.15</v>
      </c>
      <c r="E161" s="22">
        <v>657.75</v>
      </c>
      <c r="F161" s="22">
        <v>3447</v>
      </c>
      <c r="G161" s="22">
        <v>31078440.899999999</v>
      </c>
      <c r="H161" s="22">
        <v>20610</v>
      </c>
      <c r="I161" s="22">
        <v>15.75</v>
      </c>
      <c r="J161" s="28">
        <v>3.85</v>
      </c>
      <c r="K161" s="22"/>
    </row>
    <row r="162" spans="1:11" hidden="1" x14ac:dyDescent="0.35">
      <c r="A162" s="27">
        <v>44776</v>
      </c>
      <c r="B162" s="22">
        <v>661.5</v>
      </c>
      <c r="C162" s="22">
        <v>664</v>
      </c>
      <c r="D162" s="22">
        <v>655</v>
      </c>
      <c r="E162" s="22">
        <v>657.5</v>
      </c>
      <c r="F162" s="22">
        <v>1364</v>
      </c>
      <c r="G162" s="22">
        <v>13927787.300000001</v>
      </c>
      <c r="H162" s="22">
        <v>11724</v>
      </c>
      <c r="I162" s="22">
        <v>9</v>
      </c>
      <c r="J162" s="28">
        <v>-4</v>
      </c>
      <c r="K162" s="22"/>
    </row>
    <row r="163" spans="1:11" hidden="1" x14ac:dyDescent="0.35">
      <c r="A163" s="27">
        <v>44777</v>
      </c>
      <c r="B163" s="22">
        <v>664.75</v>
      </c>
      <c r="C163" s="22">
        <v>668.5</v>
      </c>
      <c r="D163" s="22">
        <v>653.5</v>
      </c>
      <c r="E163" s="22">
        <v>663.75</v>
      </c>
      <c r="F163" s="22">
        <v>2446</v>
      </c>
      <c r="G163" s="22">
        <v>74613133.650000006</v>
      </c>
      <c r="H163" s="22">
        <v>80274</v>
      </c>
      <c r="I163" s="22">
        <v>15</v>
      </c>
      <c r="J163" s="28">
        <v>-1</v>
      </c>
      <c r="K163" s="22"/>
    </row>
    <row r="164" spans="1:11" hidden="1" x14ac:dyDescent="0.35">
      <c r="A164" s="27">
        <v>44778</v>
      </c>
      <c r="B164" s="22">
        <v>668</v>
      </c>
      <c r="C164" s="22">
        <v>675</v>
      </c>
      <c r="D164" s="22">
        <v>662</v>
      </c>
      <c r="E164" s="22">
        <v>665.7</v>
      </c>
      <c r="F164" s="22">
        <v>1411</v>
      </c>
      <c r="G164" s="22">
        <v>17049339.550000001</v>
      </c>
      <c r="H164" s="22">
        <v>16266</v>
      </c>
      <c r="I164" s="22">
        <v>13</v>
      </c>
      <c r="J164" s="28">
        <v>-2.2999999999999998</v>
      </c>
      <c r="K164" s="22"/>
    </row>
    <row r="165" spans="1:11" hidden="1" x14ac:dyDescent="0.35">
      <c r="A165" s="27">
        <v>44781</v>
      </c>
      <c r="B165" s="22">
        <v>669.95</v>
      </c>
      <c r="C165" s="22">
        <v>692.95</v>
      </c>
      <c r="D165" s="22">
        <v>664.75</v>
      </c>
      <c r="E165" s="22">
        <v>672.35</v>
      </c>
      <c r="F165" s="22">
        <v>5086</v>
      </c>
      <c r="G165" s="22">
        <v>71451600.200000003</v>
      </c>
      <c r="H165" s="22">
        <v>33164</v>
      </c>
      <c r="I165" s="22">
        <v>28.2</v>
      </c>
      <c r="J165" s="28">
        <v>2.4</v>
      </c>
      <c r="K165" s="22"/>
    </row>
    <row r="166" spans="1:11" hidden="1" x14ac:dyDescent="0.35">
      <c r="A166" s="27">
        <v>44783</v>
      </c>
      <c r="B166" s="22">
        <v>674.9</v>
      </c>
      <c r="C166" s="22">
        <v>683.9</v>
      </c>
      <c r="D166" s="22">
        <v>672</v>
      </c>
      <c r="E166" s="22">
        <v>678.55</v>
      </c>
      <c r="F166" s="22">
        <v>2817</v>
      </c>
      <c r="G166" s="22">
        <v>23977418.800000001</v>
      </c>
      <c r="H166" s="22">
        <v>17930</v>
      </c>
      <c r="I166" s="22">
        <v>11.9</v>
      </c>
      <c r="J166" s="28">
        <v>3.65</v>
      </c>
      <c r="K166" s="22"/>
    </row>
    <row r="167" spans="1:11" hidden="1" x14ac:dyDescent="0.35">
      <c r="A167" s="27">
        <v>44784</v>
      </c>
      <c r="B167" s="22">
        <v>685</v>
      </c>
      <c r="C167" s="22">
        <v>693.85</v>
      </c>
      <c r="D167" s="22">
        <v>665</v>
      </c>
      <c r="E167" s="22">
        <v>669.35</v>
      </c>
      <c r="F167" s="22">
        <v>2920</v>
      </c>
      <c r="G167" s="22">
        <v>56465943.100000001</v>
      </c>
      <c r="H167" s="22">
        <v>53363</v>
      </c>
      <c r="I167" s="22">
        <v>28.85</v>
      </c>
      <c r="J167" s="28">
        <v>-15.65</v>
      </c>
      <c r="K167" s="22"/>
    </row>
    <row r="168" spans="1:11" hidden="1" x14ac:dyDescent="0.35">
      <c r="A168" s="27">
        <v>44785</v>
      </c>
      <c r="B168" s="22">
        <v>673</v>
      </c>
      <c r="C168" s="22">
        <v>675.95</v>
      </c>
      <c r="D168" s="22">
        <v>668.5</v>
      </c>
      <c r="E168" s="22">
        <v>671.65</v>
      </c>
      <c r="F168" s="22">
        <v>791</v>
      </c>
      <c r="G168" s="22">
        <v>13068967</v>
      </c>
      <c r="H168" s="22">
        <v>12746</v>
      </c>
      <c r="I168" s="22">
        <v>7.45</v>
      </c>
      <c r="J168" s="28">
        <v>-1.35</v>
      </c>
      <c r="K168" s="22"/>
    </row>
    <row r="169" spans="1:11" hidden="1" x14ac:dyDescent="0.35">
      <c r="A169" s="27">
        <v>44789</v>
      </c>
      <c r="B169" s="22">
        <v>675.75</v>
      </c>
      <c r="C169" s="22">
        <v>681.95</v>
      </c>
      <c r="D169" s="22">
        <v>671</v>
      </c>
      <c r="E169" s="22">
        <v>673.8</v>
      </c>
      <c r="F169" s="22">
        <v>1319</v>
      </c>
      <c r="G169" s="22">
        <v>12855248.9</v>
      </c>
      <c r="H169" s="22">
        <v>8823</v>
      </c>
      <c r="I169" s="22">
        <v>10.95</v>
      </c>
      <c r="J169" s="28">
        <v>-1.95</v>
      </c>
      <c r="K169" s="22"/>
    </row>
    <row r="170" spans="1:11" hidden="1" x14ac:dyDescent="0.35">
      <c r="A170" s="27">
        <v>44790</v>
      </c>
      <c r="B170" s="22">
        <v>676.95</v>
      </c>
      <c r="C170" s="22">
        <v>678</v>
      </c>
      <c r="D170" s="22">
        <v>668.5</v>
      </c>
      <c r="E170" s="22">
        <v>670.1</v>
      </c>
      <c r="F170" s="22">
        <v>1123</v>
      </c>
      <c r="G170" s="22">
        <v>11559504.4</v>
      </c>
      <c r="H170" s="22">
        <v>10083</v>
      </c>
      <c r="I170" s="22">
        <v>9.5</v>
      </c>
      <c r="J170" s="28">
        <v>-6.85</v>
      </c>
      <c r="K170" s="22"/>
    </row>
    <row r="171" spans="1:11" hidden="1" x14ac:dyDescent="0.35">
      <c r="A171" s="27">
        <v>44791</v>
      </c>
      <c r="B171" s="22">
        <v>670</v>
      </c>
      <c r="C171" s="22">
        <v>672.95</v>
      </c>
      <c r="D171" s="22">
        <v>666</v>
      </c>
      <c r="E171" s="22">
        <v>666.55</v>
      </c>
      <c r="F171" s="22">
        <v>654</v>
      </c>
      <c r="G171" s="22">
        <v>7289359.6500000004</v>
      </c>
      <c r="H171" s="22">
        <v>6660</v>
      </c>
      <c r="I171" s="22">
        <v>6.95</v>
      </c>
      <c r="J171" s="28">
        <v>-3.45</v>
      </c>
      <c r="K171" s="22"/>
    </row>
    <row r="172" spans="1:11" hidden="1" x14ac:dyDescent="0.35">
      <c r="A172" s="27">
        <v>44792</v>
      </c>
      <c r="B172" s="22">
        <v>669.4</v>
      </c>
      <c r="C172" s="22">
        <v>671.8</v>
      </c>
      <c r="D172" s="22">
        <v>659</v>
      </c>
      <c r="E172" s="22">
        <v>660.05</v>
      </c>
      <c r="F172" s="22">
        <v>867</v>
      </c>
      <c r="G172" s="22">
        <v>11117905.15</v>
      </c>
      <c r="H172" s="22">
        <v>10154</v>
      </c>
      <c r="I172" s="22">
        <v>12.8</v>
      </c>
      <c r="J172" s="28">
        <v>-9.35</v>
      </c>
      <c r="K172" s="22"/>
    </row>
    <row r="173" spans="1:11" hidden="1" x14ac:dyDescent="0.35">
      <c r="A173" s="27">
        <v>44795</v>
      </c>
      <c r="B173" s="22">
        <v>656.1</v>
      </c>
      <c r="C173" s="22">
        <v>658.15</v>
      </c>
      <c r="D173" s="22">
        <v>650</v>
      </c>
      <c r="E173" s="22">
        <v>650.1</v>
      </c>
      <c r="F173" s="22">
        <v>766</v>
      </c>
      <c r="G173" s="22">
        <v>6707643.25</v>
      </c>
      <c r="H173" s="22">
        <v>6074</v>
      </c>
      <c r="I173" s="22">
        <v>8.15</v>
      </c>
      <c r="J173" s="28">
        <v>-6</v>
      </c>
      <c r="K173" s="22"/>
    </row>
    <row r="174" spans="1:11" hidden="1" x14ac:dyDescent="0.35">
      <c r="A174" s="27">
        <v>44796</v>
      </c>
      <c r="B174" s="22">
        <v>649.5</v>
      </c>
      <c r="C174" s="22">
        <v>653.15</v>
      </c>
      <c r="D174" s="22">
        <v>640</v>
      </c>
      <c r="E174" s="22">
        <v>643.4</v>
      </c>
      <c r="F174" s="22">
        <v>1689</v>
      </c>
      <c r="G174" s="22">
        <v>31149498.350000001</v>
      </c>
      <c r="H174" s="22">
        <v>35662</v>
      </c>
      <c r="I174" s="22">
        <v>13.15</v>
      </c>
      <c r="J174" s="28">
        <v>-6.1</v>
      </c>
      <c r="K174" s="22"/>
    </row>
    <row r="175" spans="1:11" hidden="1" x14ac:dyDescent="0.35">
      <c r="A175" s="27">
        <v>44797</v>
      </c>
      <c r="B175" s="22">
        <v>643.4</v>
      </c>
      <c r="C175" s="22">
        <v>660</v>
      </c>
      <c r="D175" s="22">
        <v>639.5</v>
      </c>
      <c r="E175" s="22">
        <v>651.5</v>
      </c>
      <c r="F175" s="22">
        <v>2949</v>
      </c>
      <c r="G175" s="22">
        <v>45432431.5</v>
      </c>
      <c r="H175" s="22">
        <v>33710</v>
      </c>
      <c r="I175" s="22">
        <v>20.5</v>
      </c>
      <c r="J175" s="28">
        <v>8.1</v>
      </c>
      <c r="K175" s="22"/>
    </row>
    <row r="176" spans="1:11" hidden="1" x14ac:dyDescent="0.35">
      <c r="A176" s="27">
        <v>44798</v>
      </c>
      <c r="B176" s="22">
        <v>654.95000000000005</v>
      </c>
      <c r="C176" s="22">
        <v>656.75</v>
      </c>
      <c r="D176" s="22">
        <v>648.25</v>
      </c>
      <c r="E176" s="22">
        <v>648.9</v>
      </c>
      <c r="F176" s="22">
        <v>851</v>
      </c>
      <c r="G176" s="22">
        <v>19754270.850000001</v>
      </c>
      <c r="H176" s="22">
        <v>24834</v>
      </c>
      <c r="I176" s="22">
        <v>8.5</v>
      </c>
      <c r="J176" s="28">
        <v>-6.05</v>
      </c>
      <c r="K176" s="22"/>
    </row>
    <row r="177" spans="1:11" hidden="1" x14ac:dyDescent="0.35">
      <c r="A177" s="27">
        <v>44799</v>
      </c>
      <c r="B177" s="22">
        <v>652</v>
      </c>
      <c r="C177" s="22">
        <v>654.45000000000005</v>
      </c>
      <c r="D177" s="22">
        <v>643.4</v>
      </c>
      <c r="E177" s="22">
        <v>650</v>
      </c>
      <c r="F177" s="22">
        <v>981</v>
      </c>
      <c r="G177" s="22">
        <v>18766299.899999999</v>
      </c>
      <c r="H177" s="22">
        <v>18559</v>
      </c>
      <c r="I177" s="22">
        <v>11.05</v>
      </c>
      <c r="J177" s="28">
        <v>-2</v>
      </c>
      <c r="K177" s="22"/>
    </row>
    <row r="178" spans="1:11" hidden="1" x14ac:dyDescent="0.35">
      <c r="A178" s="27">
        <v>44802</v>
      </c>
      <c r="B178" s="22">
        <v>649</v>
      </c>
      <c r="C178" s="22">
        <v>654.4</v>
      </c>
      <c r="D178" s="22">
        <v>646.75</v>
      </c>
      <c r="E178" s="22">
        <v>650.75</v>
      </c>
      <c r="F178" s="22">
        <v>811</v>
      </c>
      <c r="G178" s="22">
        <v>7601925.7000000002</v>
      </c>
      <c r="H178" s="22">
        <v>6802</v>
      </c>
      <c r="I178" s="22">
        <v>7.65</v>
      </c>
      <c r="J178" s="28">
        <v>1.75</v>
      </c>
      <c r="K178" s="22"/>
    </row>
    <row r="179" spans="1:11" hidden="1" x14ac:dyDescent="0.35">
      <c r="A179" s="27">
        <v>44803</v>
      </c>
      <c r="B179" s="22">
        <v>654</v>
      </c>
      <c r="C179" s="22">
        <v>660</v>
      </c>
      <c r="D179" s="22">
        <v>650</v>
      </c>
      <c r="E179" s="22">
        <v>656.5</v>
      </c>
      <c r="F179" s="22">
        <v>1078</v>
      </c>
      <c r="G179" s="22">
        <v>9009339.9000000004</v>
      </c>
      <c r="H179" s="22">
        <v>7776</v>
      </c>
      <c r="I179" s="22">
        <v>10</v>
      </c>
      <c r="J179" s="28">
        <v>2.5</v>
      </c>
      <c r="K179" s="22"/>
    </row>
    <row r="180" spans="1:11" hidden="1" x14ac:dyDescent="0.35">
      <c r="A180" s="27">
        <v>44805</v>
      </c>
      <c r="B180" s="22">
        <v>656</v>
      </c>
      <c r="C180" s="22">
        <v>658.95</v>
      </c>
      <c r="D180" s="22">
        <v>647.29999999999995</v>
      </c>
      <c r="E180" s="22">
        <v>649.1</v>
      </c>
      <c r="F180" s="22">
        <v>1461</v>
      </c>
      <c r="G180" s="22">
        <v>13058473.050000001</v>
      </c>
      <c r="H180" s="22">
        <v>8256</v>
      </c>
      <c r="I180" s="22">
        <v>11.65</v>
      </c>
      <c r="J180" s="28">
        <v>-6.9</v>
      </c>
      <c r="K180" s="22"/>
    </row>
    <row r="181" spans="1:11" hidden="1" x14ac:dyDescent="0.35">
      <c r="A181" s="27">
        <v>44806</v>
      </c>
      <c r="B181" s="22">
        <v>650</v>
      </c>
      <c r="C181" s="22">
        <v>653.9</v>
      </c>
      <c r="D181" s="22">
        <v>645</v>
      </c>
      <c r="E181" s="22">
        <v>649.70000000000005</v>
      </c>
      <c r="F181" s="22">
        <v>1037</v>
      </c>
      <c r="G181" s="22">
        <v>12035095.5</v>
      </c>
      <c r="H181" s="22">
        <v>11744</v>
      </c>
      <c r="I181" s="22">
        <v>8.9</v>
      </c>
      <c r="J181" s="28">
        <v>-0.3</v>
      </c>
      <c r="K181" s="22"/>
    </row>
    <row r="182" spans="1:11" hidden="1" x14ac:dyDescent="0.35">
      <c r="A182" s="27">
        <v>44809</v>
      </c>
      <c r="B182" s="22">
        <v>655</v>
      </c>
      <c r="C182" s="22">
        <v>661.55</v>
      </c>
      <c r="D182" s="22">
        <v>650</v>
      </c>
      <c r="E182" s="22">
        <v>657.85</v>
      </c>
      <c r="F182" s="22">
        <v>1465</v>
      </c>
      <c r="G182" s="22">
        <v>11643547.699999999</v>
      </c>
      <c r="H182" s="22">
        <v>9691</v>
      </c>
      <c r="I182" s="22">
        <v>11.55</v>
      </c>
      <c r="J182" s="28">
        <v>2.85</v>
      </c>
      <c r="K182" s="22"/>
    </row>
    <row r="183" spans="1:11" hidden="1" x14ac:dyDescent="0.35">
      <c r="A183" s="27">
        <v>44810</v>
      </c>
      <c r="B183" s="22">
        <v>659</v>
      </c>
      <c r="C183" s="22">
        <v>664.85</v>
      </c>
      <c r="D183" s="22">
        <v>653.9</v>
      </c>
      <c r="E183" s="22">
        <v>654.9</v>
      </c>
      <c r="F183" s="22">
        <v>797</v>
      </c>
      <c r="G183" s="22">
        <v>9009542.3499999996</v>
      </c>
      <c r="H183" s="22">
        <v>9198</v>
      </c>
      <c r="I183" s="22">
        <v>10.95</v>
      </c>
      <c r="J183" s="28">
        <v>-4.0999999999999996</v>
      </c>
      <c r="K183" s="22"/>
    </row>
    <row r="184" spans="1:11" hidden="1" x14ac:dyDescent="0.35">
      <c r="A184" s="27">
        <v>44811</v>
      </c>
      <c r="B184" s="22">
        <v>654</v>
      </c>
      <c r="C184" s="22">
        <v>658.9</v>
      </c>
      <c r="D184" s="22">
        <v>650.1</v>
      </c>
      <c r="E184" s="22">
        <v>652.5</v>
      </c>
      <c r="F184" s="22">
        <v>849</v>
      </c>
      <c r="G184" s="22">
        <v>8009788.5999999996</v>
      </c>
      <c r="H184" s="22">
        <v>7180</v>
      </c>
      <c r="I184" s="22">
        <v>8.8000000000000007</v>
      </c>
      <c r="J184" s="28">
        <v>-1.5</v>
      </c>
      <c r="K184" s="22"/>
    </row>
    <row r="185" spans="1:11" hidden="1" x14ac:dyDescent="0.35">
      <c r="A185" s="27">
        <v>44812</v>
      </c>
      <c r="B185" s="22">
        <v>652.45000000000005</v>
      </c>
      <c r="C185" s="22">
        <v>659.4</v>
      </c>
      <c r="D185" s="22">
        <v>652.45000000000005</v>
      </c>
      <c r="E185" s="22">
        <v>656.15</v>
      </c>
      <c r="F185" s="22">
        <v>914</v>
      </c>
      <c r="G185" s="22">
        <v>9482381.75</v>
      </c>
      <c r="H185" s="22">
        <v>8373</v>
      </c>
      <c r="I185" s="22">
        <v>6.95</v>
      </c>
      <c r="J185" s="28">
        <v>3.7</v>
      </c>
      <c r="K185" s="22"/>
    </row>
    <row r="186" spans="1:11" hidden="1" x14ac:dyDescent="0.35">
      <c r="A186" s="27">
        <v>44813</v>
      </c>
      <c r="B186" s="22">
        <v>659.95</v>
      </c>
      <c r="C186" s="22">
        <v>668.9</v>
      </c>
      <c r="D186" s="22">
        <v>644</v>
      </c>
      <c r="E186" s="22">
        <v>648.25</v>
      </c>
      <c r="F186" s="22">
        <v>5070</v>
      </c>
      <c r="G186" s="22">
        <v>75001151.150000006</v>
      </c>
      <c r="H186" s="22">
        <v>63208</v>
      </c>
      <c r="I186" s="22">
        <v>24.9</v>
      </c>
      <c r="J186" s="28">
        <v>-11.7</v>
      </c>
      <c r="K186" s="22"/>
    </row>
    <row r="187" spans="1:11" hidden="1" x14ac:dyDescent="0.35">
      <c r="A187" s="27">
        <v>44816</v>
      </c>
      <c r="B187" s="22">
        <v>654.65</v>
      </c>
      <c r="C187" s="22">
        <v>661.4</v>
      </c>
      <c r="D187" s="22">
        <v>650.95000000000005</v>
      </c>
      <c r="E187" s="22">
        <v>658.7</v>
      </c>
      <c r="F187" s="22">
        <v>1171</v>
      </c>
      <c r="G187" s="22">
        <v>12485327.75</v>
      </c>
      <c r="H187" s="22">
        <v>11194</v>
      </c>
      <c r="I187" s="22">
        <v>10.45</v>
      </c>
      <c r="J187" s="28">
        <v>4.05</v>
      </c>
      <c r="K187" s="22"/>
    </row>
    <row r="188" spans="1:11" hidden="1" x14ac:dyDescent="0.35">
      <c r="A188" s="27">
        <v>44817</v>
      </c>
      <c r="B188" s="22">
        <v>657</v>
      </c>
      <c r="C188" s="22">
        <v>673.8</v>
      </c>
      <c r="D188" s="22">
        <v>657</v>
      </c>
      <c r="E188" s="22">
        <v>663.25</v>
      </c>
      <c r="F188" s="22">
        <v>3280</v>
      </c>
      <c r="G188" s="22">
        <v>42072897</v>
      </c>
      <c r="H188" s="22">
        <v>36891</v>
      </c>
      <c r="I188" s="22">
        <v>16.8</v>
      </c>
      <c r="J188" s="28">
        <v>6.25</v>
      </c>
      <c r="K188" s="22"/>
    </row>
    <row r="189" spans="1:11" hidden="1" x14ac:dyDescent="0.35">
      <c r="A189" s="27">
        <v>44818</v>
      </c>
      <c r="B189" s="22">
        <v>662</v>
      </c>
      <c r="C189" s="22">
        <v>665.7</v>
      </c>
      <c r="D189" s="22">
        <v>661.15</v>
      </c>
      <c r="E189" s="22">
        <v>663.35</v>
      </c>
      <c r="F189" s="22">
        <v>3474</v>
      </c>
      <c r="G189" s="22">
        <v>18439378.449999999</v>
      </c>
      <c r="H189" s="22">
        <v>19791</v>
      </c>
      <c r="I189" s="22">
        <v>4.55</v>
      </c>
      <c r="J189" s="28">
        <v>1.35</v>
      </c>
      <c r="K189" s="22"/>
    </row>
    <row r="190" spans="1:11" hidden="1" x14ac:dyDescent="0.35">
      <c r="A190" s="27">
        <v>44819</v>
      </c>
      <c r="B190" s="22">
        <v>663.4</v>
      </c>
      <c r="C190" s="22">
        <v>669.6</v>
      </c>
      <c r="D190" s="22">
        <v>661</v>
      </c>
      <c r="E190" s="22">
        <v>661.35</v>
      </c>
      <c r="F190" s="22">
        <v>1726</v>
      </c>
      <c r="G190" s="22">
        <v>14335096.75</v>
      </c>
      <c r="H190" s="22">
        <v>13939</v>
      </c>
      <c r="I190" s="22">
        <v>8.6</v>
      </c>
      <c r="J190" s="28">
        <v>-2.0499999999999998</v>
      </c>
      <c r="K190" s="22"/>
    </row>
    <row r="191" spans="1:11" hidden="1" x14ac:dyDescent="0.35">
      <c r="A191" s="27">
        <v>44820</v>
      </c>
      <c r="B191" s="22">
        <v>663.95</v>
      </c>
      <c r="C191" s="22">
        <v>667.5</v>
      </c>
      <c r="D191" s="22">
        <v>658.1</v>
      </c>
      <c r="E191" s="22">
        <v>664.6</v>
      </c>
      <c r="F191" s="22">
        <v>3089</v>
      </c>
      <c r="G191" s="22">
        <v>23428702.649999999</v>
      </c>
      <c r="H191" s="22">
        <v>21078</v>
      </c>
      <c r="I191" s="22">
        <v>9.4</v>
      </c>
      <c r="J191" s="28">
        <v>0.65</v>
      </c>
      <c r="K191" s="22"/>
    </row>
    <row r="192" spans="1:11" hidden="1" x14ac:dyDescent="0.35">
      <c r="A192" s="27">
        <v>44823</v>
      </c>
      <c r="B192" s="22">
        <v>662</v>
      </c>
      <c r="C192" s="22">
        <v>666</v>
      </c>
      <c r="D192" s="22">
        <v>657.5</v>
      </c>
      <c r="E192" s="22">
        <v>661.35</v>
      </c>
      <c r="F192" s="22">
        <v>2050</v>
      </c>
      <c r="G192" s="22">
        <v>14688348.800000001</v>
      </c>
      <c r="H192" s="22">
        <v>8741</v>
      </c>
      <c r="I192" s="22">
        <v>8.5</v>
      </c>
      <c r="J192" s="28">
        <v>-0.65</v>
      </c>
      <c r="K192" s="22"/>
    </row>
    <row r="193" spans="1:11" hidden="1" x14ac:dyDescent="0.35">
      <c r="A193" s="27">
        <v>44824</v>
      </c>
      <c r="B193" s="22">
        <v>662</v>
      </c>
      <c r="C193" s="22">
        <v>675</v>
      </c>
      <c r="D193" s="22">
        <v>658.05</v>
      </c>
      <c r="E193" s="22">
        <v>659.5</v>
      </c>
      <c r="F193" s="22">
        <v>3407</v>
      </c>
      <c r="G193" s="22">
        <v>32393712.399999999</v>
      </c>
      <c r="H193" s="22">
        <v>17861</v>
      </c>
      <c r="I193" s="22">
        <v>16.95</v>
      </c>
      <c r="J193" s="28">
        <v>-2.5</v>
      </c>
      <c r="K193" s="22"/>
    </row>
    <row r="194" spans="1:11" hidden="1" x14ac:dyDescent="0.35">
      <c r="A194" s="27">
        <v>44825</v>
      </c>
      <c r="B194" s="22">
        <v>660</v>
      </c>
      <c r="C194" s="22">
        <v>663.2</v>
      </c>
      <c r="D194" s="22">
        <v>659.1</v>
      </c>
      <c r="E194" s="22">
        <v>660.5</v>
      </c>
      <c r="F194" s="22">
        <v>1454</v>
      </c>
      <c r="G194" s="22">
        <v>11548272.449999999</v>
      </c>
      <c r="H194" s="22">
        <v>10548</v>
      </c>
      <c r="I194" s="22">
        <v>4.0999999999999996</v>
      </c>
      <c r="J194" s="28">
        <v>0.5</v>
      </c>
      <c r="K194" s="22"/>
    </row>
    <row r="195" spans="1:11" hidden="1" x14ac:dyDescent="0.35">
      <c r="A195" s="27">
        <v>44826</v>
      </c>
      <c r="B195" s="22">
        <v>661.8</v>
      </c>
      <c r="C195" s="22">
        <v>670</v>
      </c>
      <c r="D195" s="22">
        <v>659</v>
      </c>
      <c r="E195" s="22">
        <v>662.1</v>
      </c>
      <c r="F195" s="22">
        <v>3245</v>
      </c>
      <c r="G195" s="22">
        <v>31513845</v>
      </c>
      <c r="H195" s="22">
        <v>23002</v>
      </c>
      <c r="I195" s="22">
        <v>11</v>
      </c>
      <c r="J195" s="28">
        <v>0.3</v>
      </c>
      <c r="K195" s="22"/>
    </row>
    <row r="196" spans="1:11" hidden="1" x14ac:dyDescent="0.35">
      <c r="A196" s="27">
        <v>44827</v>
      </c>
      <c r="B196" s="22">
        <v>662.1</v>
      </c>
      <c r="C196" s="22">
        <v>666.25</v>
      </c>
      <c r="D196" s="22">
        <v>654.75</v>
      </c>
      <c r="E196" s="22">
        <v>661.9</v>
      </c>
      <c r="F196" s="22">
        <v>2595</v>
      </c>
      <c r="G196" s="22">
        <v>153352732.44999999</v>
      </c>
      <c r="H196" s="22">
        <v>193971</v>
      </c>
      <c r="I196" s="22">
        <v>11.5</v>
      </c>
      <c r="J196" s="28">
        <v>-0.2</v>
      </c>
      <c r="K196" s="22"/>
    </row>
    <row r="197" spans="1:11" hidden="1" x14ac:dyDescent="0.35">
      <c r="A197" s="27">
        <v>44830</v>
      </c>
      <c r="B197" s="22">
        <v>662</v>
      </c>
      <c r="C197" s="22">
        <v>664.85</v>
      </c>
      <c r="D197" s="22">
        <v>657</v>
      </c>
      <c r="E197" s="22">
        <v>657.85</v>
      </c>
      <c r="F197" s="22">
        <v>926</v>
      </c>
      <c r="G197" s="22">
        <v>14500675.800000001</v>
      </c>
      <c r="H197" s="22">
        <v>14057</v>
      </c>
      <c r="I197" s="22">
        <v>7.85</v>
      </c>
      <c r="J197" s="28">
        <v>-4.1500000000000004</v>
      </c>
      <c r="K197" s="22"/>
    </row>
    <row r="198" spans="1:11" hidden="1" x14ac:dyDescent="0.35">
      <c r="A198" s="27">
        <v>44831</v>
      </c>
      <c r="B198" s="22">
        <v>661</v>
      </c>
      <c r="C198" s="22">
        <v>664.85</v>
      </c>
      <c r="D198" s="22">
        <v>659.8</v>
      </c>
      <c r="E198" s="22">
        <v>661.8</v>
      </c>
      <c r="F198" s="22">
        <v>842</v>
      </c>
      <c r="G198" s="22">
        <v>12372761.1</v>
      </c>
      <c r="H198" s="22">
        <v>10297</v>
      </c>
      <c r="I198" s="22">
        <v>5.05</v>
      </c>
      <c r="J198" s="28">
        <v>0.8</v>
      </c>
      <c r="K198" s="22"/>
    </row>
    <row r="199" spans="1:11" hidden="1" x14ac:dyDescent="0.35">
      <c r="A199" s="27">
        <v>44832</v>
      </c>
      <c r="B199" s="22">
        <v>663</v>
      </c>
      <c r="C199" s="22">
        <v>665</v>
      </c>
      <c r="D199" s="22">
        <v>655.5</v>
      </c>
      <c r="E199" s="22">
        <v>660.35</v>
      </c>
      <c r="F199" s="22">
        <v>2077</v>
      </c>
      <c r="G199" s="22">
        <v>73223980.049999997</v>
      </c>
      <c r="H199" s="22">
        <v>71525</v>
      </c>
      <c r="I199" s="22">
        <v>9.5</v>
      </c>
      <c r="J199" s="28">
        <v>-2.65</v>
      </c>
      <c r="K199" s="22"/>
    </row>
    <row r="200" spans="1:11" hidden="1" x14ac:dyDescent="0.35">
      <c r="A200" s="27">
        <v>44833</v>
      </c>
      <c r="B200" s="22">
        <v>663.9</v>
      </c>
      <c r="C200" s="22">
        <v>672</v>
      </c>
      <c r="D200" s="22">
        <v>658.5</v>
      </c>
      <c r="E200" s="22">
        <v>660.1</v>
      </c>
      <c r="F200" s="22">
        <v>1665</v>
      </c>
      <c r="G200" s="22">
        <v>31791653.600000001</v>
      </c>
      <c r="H200" s="22">
        <v>18354</v>
      </c>
      <c r="I200" s="22">
        <v>13.5</v>
      </c>
      <c r="J200" s="28">
        <v>-3.8</v>
      </c>
      <c r="K200" s="22"/>
    </row>
    <row r="201" spans="1:11" hidden="1" x14ac:dyDescent="0.35">
      <c r="A201" s="27">
        <v>44834</v>
      </c>
      <c r="B201" s="22">
        <v>660</v>
      </c>
      <c r="C201" s="22">
        <v>668.9</v>
      </c>
      <c r="D201" s="22">
        <v>654.95000000000005</v>
      </c>
      <c r="E201" s="22">
        <v>656</v>
      </c>
      <c r="F201" s="22">
        <v>2146</v>
      </c>
      <c r="G201" s="22">
        <v>135248375.15000001</v>
      </c>
      <c r="H201" s="22">
        <v>172968</v>
      </c>
      <c r="I201" s="22">
        <v>13.95</v>
      </c>
      <c r="J201" s="28">
        <v>-4</v>
      </c>
      <c r="K201" s="22"/>
    </row>
    <row r="202" spans="1:11" hidden="1" x14ac:dyDescent="0.35">
      <c r="A202" s="27">
        <v>44837</v>
      </c>
      <c r="B202" s="22">
        <v>662.55</v>
      </c>
      <c r="C202" s="22">
        <v>664.75</v>
      </c>
      <c r="D202" s="22">
        <v>658</v>
      </c>
      <c r="E202" s="22">
        <v>659.15</v>
      </c>
      <c r="F202" s="22">
        <v>971</v>
      </c>
      <c r="G202" s="22">
        <v>11515958.15</v>
      </c>
      <c r="H202" s="22">
        <v>6135</v>
      </c>
      <c r="I202" s="22">
        <v>6.75</v>
      </c>
      <c r="J202" s="28">
        <v>-3.4</v>
      </c>
      <c r="K202" s="22"/>
    </row>
    <row r="203" spans="1:11" hidden="1" x14ac:dyDescent="0.35">
      <c r="A203" s="27">
        <v>44838</v>
      </c>
      <c r="B203" s="22">
        <v>660.05</v>
      </c>
      <c r="C203" s="22">
        <v>666</v>
      </c>
      <c r="D203" s="22">
        <v>660.05</v>
      </c>
      <c r="E203" s="22">
        <v>664.8</v>
      </c>
      <c r="F203" s="22">
        <v>1049</v>
      </c>
      <c r="G203" s="22">
        <v>21380973.600000001</v>
      </c>
      <c r="H203" s="22">
        <v>20209</v>
      </c>
      <c r="I203" s="22">
        <v>5.95</v>
      </c>
      <c r="J203" s="28">
        <v>4.75</v>
      </c>
      <c r="K203" s="22"/>
    </row>
    <row r="204" spans="1:11" hidden="1" x14ac:dyDescent="0.35">
      <c r="A204" s="27">
        <v>44840</v>
      </c>
      <c r="B204" s="22">
        <v>673</v>
      </c>
      <c r="C204" s="22">
        <v>673</v>
      </c>
      <c r="D204" s="22">
        <v>663.1</v>
      </c>
      <c r="E204" s="22">
        <v>665.1</v>
      </c>
      <c r="F204" s="22">
        <v>1845</v>
      </c>
      <c r="G204" s="22">
        <v>18206910.800000001</v>
      </c>
      <c r="H204" s="22">
        <v>17632</v>
      </c>
      <c r="I204" s="22">
        <v>9.9</v>
      </c>
      <c r="J204" s="28">
        <v>-7.9</v>
      </c>
      <c r="K204" s="22"/>
    </row>
    <row r="205" spans="1:11" hidden="1" x14ac:dyDescent="0.35">
      <c r="A205" s="27">
        <v>44841</v>
      </c>
      <c r="B205" s="22">
        <v>667</v>
      </c>
      <c r="C205" s="22">
        <v>669.8</v>
      </c>
      <c r="D205" s="22">
        <v>660.9</v>
      </c>
      <c r="E205" s="22">
        <v>664.65</v>
      </c>
      <c r="F205" s="22">
        <v>1354</v>
      </c>
      <c r="G205" s="22">
        <v>20833201.100000001</v>
      </c>
      <c r="H205" s="22">
        <v>17643</v>
      </c>
      <c r="I205" s="22">
        <v>8.9</v>
      </c>
      <c r="J205" s="28">
        <v>-2.35</v>
      </c>
      <c r="K205" s="22"/>
    </row>
    <row r="206" spans="1:11" hidden="1" x14ac:dyDescent="0.35">
      <c r="A206" s="27">
        <v>44844</v>
      </c>
      <c r="B206" s="22">
        <v>664.5</v>
      </c>
      <c r="C206" s="22">
        <v>664.5</v>
      </c>
      <c r="D206" s="22">
        <v>654</v>
      </c>
      <c r="E206" s="22">
        <v>660.75</v>
      </c>
      <c r="F206" s="22">
        <v>2039</v>
      </c>
      <c r="G206" s="22">
        <v>86838041.25</v>
      </c>
      <c r="H206" s="22">
        <v>105024</v>
      </c>
      <c r="I206" s="22">
        <v>10.5</v>
      </c>
      <c r="J206" s="28">
        <v>-3.75</v>
      </c>
      <c r="K206" s="22"/>
    </row>
    <row r="207" spans="1:11" hidden="1" x14ac:dyDescent="0.35">
      <c r="A207" s="27">
        <v>44845</v>
      </c>
      <c r="B207" s="22">
        <v>663</v>
      </c>
      <c r="C207" s="22">
        <v>663</v>
      </c>
      <c r="D207" s="22">
        <v>657.5</v>
      </c>
      <c r="E207" s="22">
        <v>660</v>
      </c>
      <c r="F207" s="22">
        <v>1263</v>
      </c>
      <c r="G207" s="22">
        <v>15869528.699999999</v>
      </c>
      <c r="H207" s="22">
        <v>12892</v>
      </c>
      <c r="I207" s="22">
        <v>5.5</v>
      </c>
      <c r="J207" s="28">
        <v>-3</v>
      </c>
      <c r="K207" s="22"/>
    </row>
    <row r="208" spans="1:11" hidden="1" x14ac:dyDescent="0.35">
      <c r="A208" s="27">
        <v>44846</v>
      </c>
      <c r="B208" s="22">
        <v>662.4</v>
      </c>
      <c r="C208" s="22">
        <v>663.3</v>
      </c>
      <c r="D208" s="22">
        <v>659.45</v>
      </c>
      <c r="E208" s="22">
        <v>662.05</v>
      </c>
      <c r="F208" s="22">
        <v>911</v>
      </c>
      <c r="G208" s="22">
        <v>15263555.300000001</v>
      </c>
      <c r="H208" s="22">
        <v>14502</v>
      </c>
      <c r="I208" s="22">
        <v>3.85</v>
      </c>
      <c r="J208" s="28">
        <v>-0.35</v>
      </c>
      <c r="K208" s="22"/>
    </row>
    <row r="209" spans="1:11" hidden="1" x14ac:dyDescent="0.35">
      <c r="A209" s="27">
        <v>44847</v>
      </c>
      <c r="B209" s="22">
        <v>668.95</v>
      </c>
      <c r="C209" s="22">
        <v>691.3</v>
      </c>
      <c r="D209" s="22">
        <v>660.05</v>
      </c>
      <c r="E209" s="22">
        <v>681.05</v>
      </c>
      <c r="F209" s="22">
        <v>5028</v>
      </c>
      <c r="G209" s="22">
        <v>90462416.400000006</v>
      </c>
      <c r="H209" s="22">
        <v>72048</v>
      </c>
      <c r="I209" s="22">
        <v>31.25</v>
      </c>
      <c r="J209" s="28">
        <v>12.1</v>
      </c>
      <c r="K209" s="22"/>
    </row>
    <row r="210" spans="1:11" hidden="1" x14ac:dyDescent="0.35">
      <c r="A210" s="27">
        <v>44848</v>
      </c>
      <c r="B210" s="22">
        <v>711</v>
      </c>
      <c r="C210" s="22">
        <v>732</v>
      </c>
      <c r="D210" s="22">
        <v>672.7</v>
      </c>
      <c r="E210" s="22">
        <v>694.65</v>
      </c>
      <c r="F210" s="22">
        <v>49855</v>
      </c>
      <c r="G210" s="22">
        <v>1041707623.05</v>
      </c>
      <c r="H210" s="22">
        <v>441394</v>
      </c>
      <c r="I210" s="22">
        <v>59.3</v>
      </c>
      <c r="J210" s="28">
        <v>-16.350000000000001</v>
      </c>
      <c r="K210" s="22"/>
    </row>
    <row r="211" spans="1:11" hidden="1" x14ac:dyDescent="0.35">
      <c r="A211" s="27">
        <v>44851</v>
      </c>
      <c r="B211" s="22">
        <v>702.7</v>
      </c>
      <c r="C211" s="22">
        <v>712.4</v>
      </c>
      <c r="D211" s="22">
        <v>692</v>
      </c>
      <c r="E211" s="22">
        <v>703.75</v>
      </c>
      <c r="F211" s="22">
        <v>7428</v>
      </c>
      <c r="G211" s="22">
        <v>86483757.349999994</v>
      </c>
      <c r="H211" s="22">
        <v>40359</v>
      </c>
      <c r="I211" s="22">
        <v>20.399999999999999</v>
      </c>
      <c r="J211" s="28">
        <v>1.05</v>
      </c>
      <c r="K211" s="22"/>
    </row>
    <row r="212" spans="1:11" hidden="1" x14ac:dyDescent="0.35">
      <c r="A212" s="27">
        <v>44852</v>
      </c>
      <c r="B212" s="22">
        <v>706.9</v>
      </c>
      <c r="C212" s="22">
        <v>721</v>
      </c>
      <c r="D212" s="22">
        <v>704.15</v>
      </c>
      <c r="E212" s="22">
        <v>708.1</v>
      </c>
      <c r="F212" s="22">
        <v>9348</v>
      </c>
      <c r="G212" s="22">
        <v>125023858.05</v>
      </c>
      <c r="H212" s="22">
        <v>103092</v>
      </c>
      <c r="I212" s="22">
        <v>16.850000000000001</v>
      </c>
      <c r="J212" s="28">
        <v>1.2</v>
      </c>
      <c r="K212" s="22"/>
    </row>
    <row r="213" spans="1:11" hidden="1" x14ac:dyDescent="0.35">
      <c r="A213" s="27">
        <v>44853</v>
      </c>
      <c r="B213" s="22">
        <v>712.95</v>
      </c>
      <c r="C213" s="22">
        <v>712.95</v>
      </c>
      <c r="D213" s="22">
        <v>698</v>
      </c>
      <c r="E213" s="22">
        <v>704.65</v>
      </c>
      <c r="F213" s="22">
        <v>3739</v>
      </c>
      <c r="G213" s="22">
        <v>62269040.25</v>
      </c>
      <c r="H213" s="22">
        <v>60843</v>
      </c>
      <c r="I213" s="22">
        <v>14.95</v>
      </c>
      <c r="J213" s="28">
        <v>-8.3000000000000007</v>
      </c>
      <c r="K213" s="22"/>
    </row>
    <row r="214" spans="1:11" hidden="1" x14ac:dyDescent="0.35">
      <c r="A214" s="27">
        <v>44854</v>
      </c>
      <c r="B214" s="22">
        <v>700</v>
      </c>
      <c r="C214" s="22">
        <v>704</v>
      </c>
      <c r="D214" s="22">
        <v>695.1</v>
      </c>
      <c r="E214" s="22">
        <v>696.4</v>
      </c>
      <c r="F214" s="22">
        <v>1444</v>
      </c>
      <c r="G214" s="22">
        <v>15157771.300000001</v>
      </c>
      <c r="H214" s="22">
        <v>9743</v>
      </c>
      <c r="I214" s="22">
        <v>8.9</v>
      </c>
      <c r="J214" s="28">
        <v>-3.6</v>
      </c>
      <c r="K214" s="22"/>
    </row>
    <row r="215" spans="1:11" hidden="1" x14ac:dyDescent="0.35">
      <c r="A215" s="27">
        <v>44855</v>
      </c>
      <c r="B215" s="22">
        <v>700</v>
      </c>
      <c r="C215" s="22">
        <v>703.3</v>
      </c>
      <c r="D215" s="22">
        <v>696.55</v>
      </c>
      <c r="E215" s="22">
        <v>699</v>
      </c>
      <c r="F215" s="22">
        <v>1647</v>
      </c>
      <c r="G215" s="22">
        <v>23801641.600000001</v>
      </c>
      <c r="H215" s="22">
        <v>20673</v>
      </c>
      <c r="I215" s="22">
        <v>6.75</v>
      </c>
      <c r="J215" s="28">
        <v>-1</v>
      </c>
      <c r="K215" s="22"/>
    </row>
    <row r="216" spans="1:11" hidden="1" x14ac:dyDescent="0.35">
      <c r="A216" s="27">
        <v>44858</v>
      </c>
      <c r="B216" s="22">
        <v>709</v>
      </c>
      <c r="C216" s="22">
        <v>711</v>
      </c>
      <c r="D216" s="22">
        <v>702</v>
      </c>
      <c r="E216" s="22">
        <v>703.4</v>
      </c>
      <c r="F216" s="22">
        <v>956</v>
      </c>
      <c r="G216" s="22">
        <v>12613352.85</v>
      </c>
      <c r="H216" s="22">
        <v>10331</v>
      </c>
      <c r="I216" s="22">
        <v>9</v>
      </c>
      <c r="J216" s="28">
        <v>-5.6</v>
      </c>
      <c r="K216" s="22"/>
    </row>
    <row r="217" spans="1:11" hidden="1" x14ac:dyDescent="0.35">
      <c r="A217" s="27">
        <v>44859</v>
      </c>
      <c r="B217" s="22">
        <v>704</v>
      </c>
      <c r="C217" s="22">
        <v>708.2</v>
      </c>
      <c r="D217" s="22">
        <v>698.5</v>
      </c>
      <c r="E217" s="22">
        <v>700</v>
      </c>
      <c r="F217" s="22">
        <v>821</v>
      </c>
      <c r="G217" s="22">
        <v>16070015.949999999</v>
      </c>
      <c r="H217" s="22">
        <v>14658</v>
      </c>
      <c r="I217" s="22">
        <v>9.6999999999999993</v>
      </c>
      <c r="J217" s="28">
        <v>-4</v>
      </c>
      <c r="K217" s="22"/>
    </row>
    <row r="218" spans="1:11" hidden="1" x14ac:dyDescent="0.35">
      <c r="A218" s="27">
        <v>44861</v>
      </c>
      <c r="B218" s="22">
        <v>704.7</v>
      </c>
      <c r="C218" s="22">
        <v>718</v>
      </c>
      <c r="D218" s="22">
        <v>700</v>
      </c>
      <c r="E218" s="22">
        <v>701.6</v>
      </c>
      <c r="F218" s="22">
        <v>3154</v>
      </c>
      <c r="G218" s="22">
        <v>40268651.399999999</v>
      </c>
      <c r="H218" s="22">
        <v>32780</v>
      </c>
      <c r="I218" s="22">
        <v>18</v>
      </c>
      <c r="J218" s="28">
        <v>-3.1</v>
      </c>
      <c r="K218" s="22"/>
    </row>
    <row r="219" spans="1:11" hidden="1" x14ac:dyDescent="0.35">
      <c r="A219" s="27">
        <v>44862</v>
      </c>
      <c r="B219" s="22">
        <v>700.05</v>
      </c>
      <c r="C219" s="22">
        <v>722.95</v>
      </c>
      <c r="D219" s="22">
        <v>700</v>
      </c>
      <c r="E219" s="22">
        <v>715.65</v>
      </c>
      <c r="F219" s="22">
        <v>2155</v>
      </c>
      <c r="G219" s="22">
        <v>33897561.649999999</v>
      </c>
      <c r="H219" s="22">
        <v>29640</v>
      </c>
      <c r="I219" s="22">
        <v>22.95</v>
      </c>
      <c r="J219" s="28">
        <v>15.6</v>
      </c>
      <c r="K219" s="22"/>
    </row>
    <row r="220" spans="1:11" hidden="1" x14ac:dyDescent="0.35">
      <c r="A220" s="27">
        <v>44865</v>
      </c>
      <c r="B220" s="22">
        <v>738</v>
      </c>
      <c r="C220" s="22">
        <v>739.4</v>
      </c>
      <c r="D220" s="22">
        <v>717.15</v>
      </c>
      <c r="E220" s="22">
        <v>722.65</v>
      </c>
      <c r="F220" s="22">
        <v>4249</v>
      </c>
      <c r="G220" s="22">
        <v>54605713.950000003</v>
      </c>
      <c r="H220" s="22">
        <v>39762</v>
      </c>
      <c r="I220" s="22">
        <v>22.25</v>
      </c>
      <c r="J220" s="28">
        <v>-15.35</v>
      </c>
      <c r="K220" s="22"/>
    </row>
    <row r="221" spans="1:11" hidden="1" x14ac:dyDescent="0.35">
      <c r="A221" s="27">
        <v>44866</v>
      </c>
      <c r="B221" s="22">
        <v>729.75</v>
      </c>
      <c r="C221" s="22">
        <v>729.75</v>
      </c>
      <c r="D221" s="22">
        <v>714.6</v>
      </c>
      <c r="E221" s="22">
        <v>716.1</v>
      </c>
      <c r="F221" s="22">
        <v>3139</v>
      </c>
      <c r="G221" s="22">
        <v>34560148.049999997</v>
      </c>
      <c r="H221" s="22">
        <v>25889</v>
      </c>
      <c r="I221" s="22">
        <v>15.15</v>
      </c>
      <c r="J221" s="28">
        <v>-13.65</v>
      </c>
      <c r="K221" s="22"/>
    </row>
    <row r="222" spans="1:11" hidden="1" x14ac:dyDescent="0.35">
      <c r="A222" s="27">
        <v>44867</v>
      </c>
      <c r="B222" s="22">
        <v>716.1</v>
      </c>
      <c r="C222" s="22">
        <v>722</v>
      </c>
      <c r="D222" s="22">
        <v>702.55</v>
      </c>
      <c r="E222" s="22">
        <v>704.95</v>
      </c>
      <c r="F222" s="22">
        <v>2978</v>
      </c>
      <c r="G222" s="22">
        <v>20752144.649999999</v>
      </c>
      <c r="H222" s="22">
        <v>14991</v>
      </c>
      <c r="I222" s="22">
        <v>19.45</v>
      </c>
      <c r="J222" s="28">
        <v>-11.15</v>
      </c>
      <c r="K222" s="22"/>
    </row>
    <row r="223" spans="1:11" hidden="1" x14ac:dyDescent="0.35">
      <c r="A223" s="27">
        <v>44868</v>
      </c>
      <c r="B223" s="22">
        <v>709.9</v>
      </c>
      <c r="C223" s="22">
        <v>717.1</v>
      </c>
      <c r="D223" s="22">
        <v>702.55</v>
      </c>
      <c r="E223" s="22">
        <v>711.45</v>
      </c>
      <c r="F223" s="22">
        <v>2160</v>
      </c>
      <c r="G223" s="22">
        <v>23009701.600000001</v>
      </c>
      <c r="H223" s="22">
        <v>20070</v>
      </c>
      <c r="I223" s="22">
        <v>14.55</v>
      </c>
      <c r="J223" s="28">
        <v>1.55</v>
      </c>
      <c r="K223" s="22"/>
    </row>
    <row r="224" spans="1:11" hidden="1" x14ac:dyDescent="0.35">
      <c r="A224" s="27">
        <v>44869</v>
      </c>
      <c r="B224" s="22">
        <v>717.7</v>
      </c>
      <c r="C224" s="22">
        <v>717.7</v>
      </c>
      <c r="D224" s="22">
        <v>706</v>
      </c>
      <c r="E224" s="22">
        <v>712.25</v>
      </c>
      <c r="F224" s="22">
        <v>3449</v>
      </c>
      <c r="G224" s="22">
        <v>26413163.100000001</v>
      </c>
      <c r="H224" s="22">
        <v>21824</v>
      </c>
      <c r="I224" s="22">
        <v>11.7</v>
      </c>
      <c r="J224" s="28">
        <v>-5.45</v>
      </c>
      <c r="K224" s="22"/>
    </row>
    <row r="225" spans="1:11" hidden="1" x14ac:dyDescent="0.35">
      <c r="A225" s="27">
        <v>44872</v>
      </c>
      <c r="B225" s="22">
        <v>720.75</v>
      </c>
      <c r="C225" s="22">
        <v>720.75</v>
      </c>
      <c r="D225" s="22">
        <v>699.5</v>
      </c>
      <c r="E225" s="22">
        <v>702.7</v>
      </c>
      <c r="F225" s="22">
        <v>4991</v>
      </c>
      <c r="G225" s="22">
        <v>93944799</v>
      </c>
      <c r="H225" s="22">
        <v>100304</v>
      </c>
      <c r="I225" s="22">
        <v>21.25</v>
      </c>
      <c r="J225" s="28">
        <v>-18.05</v>
      </c>
      <c r="K225" s="22"/>
    </row>
    <row r="226" spans="1:11" hidden="1" x14ac:dyDescent="0.35">
      <c r="A226" s="27">
        <v>44874</v>
      </c>
      <c r="B226" s="22">
        <v>712</v>
      </c>
      <c r="C226" s="22">
        <v>713.9</v>
      </c>
      <c r="D226" s="22">
        <v>697.75</v>
      </c>
      <c r="E226" s="22">
        <v>705</v>
      </c>
      <c r="F226" s="22">
        <v>2533</v>
      </c>
      <c r="G226" s="22">
        <v>25986057.5</v>
      </c>
      <c r="H226" s="22">
        <v>23524</v>
      </c>
      <c r="I226" s="22">
        <v>16.149999999999999</v>
      </c>
      <c r="J226" s="28">
        <v>-7</v>
      </c>
      <c r="K226" s="22"/>
    </row>
    <row r="227" spans="1:11" hidden="1" x14ac:dyDescent="0.35">
      <c r="A227" s="27">
        <v>44875</v>
      </c>
      <c r="B227" s="22">
        <v>700.1</v>
      </c>
      <c r="C227" s="22">
        <v>707.75</v>
      </c>
      <c r="D227" s="22">
        <v>700.1</v>
      </c>
      <c r="E227" s="22">
        <v>705.45</v>
      </c>
      <c r="F227" s="22">
        <v>965</v>
      </c>
      <c r="G227" s="22">
        <v>8456281.9499999993</v>
      </c>
      <c r="H227" s="22">
        <v>6325</v>
      </c>
      <c r="I227" s="22">
        <v>7.65</v>
      </c>
      <c r="J227" s="28">
        <v>5.35</v>
      </c>
      <c r="K227" s="22"/>
    </row>
    <row r="228" spans="1:11" hidden="1" x14ac:dyDescent="0.35">
      <c r="A228" s="27">
        <v>44876</v>
      </c>
      <c r="B228" s="22">
        <v>713.75</v>
      </c>
      <c r="C228" s="22">
        <v>713.75</v>
      </c>
      <c r="D228" s="22">
        <v>704.05</v>
      </c>
      <c r="E228" s="22">
        <v>707.45</v>
      </c>
      <c r="F228" s="22">
        <v>1302</v>
      </c>
      <c r="G228" s="22">
        <v>10517094.65</v>
      </c>
      <c r="H228" s="22">
        <v>9385</v>
      </c>
      <c r="I228" s="22">
        <v>9.6999999999999993</v>
      </c>
      <c r="J228" s="28">
        <v>-6.3</v>
      </c>
      <c r="K228" s="22"/>
    </row>
    <row r="229" spans="1:11" hidden="1" x14ac:dyDescent="0.35">
      <c r="A229" s="27">
        <v>44879</v>
      </c>
      <c r="B229" s="22">
        <v>709</v>
      </c>
      <c r="C229" s="22">
        <v>711.6</v>
      </c>
      <c r="D229" s="22">
        <v>700.3</v>
      </c>
      <c r="E229" s="22">
        <v>703.95</v>
      </c>
      <c r="F229" s="22">
        <v>2162</v>
      </c>
      <c r="G229" s="22">
        <v>22809048.5</v>
      </c>
      <c r="H229" s="22">
        <v>19787</v>
      </c>
      <c r="I229" s="22">
        <v>11.3</v>
      </c>
      <c r="J229" s="28">
        <v>-5.05</v>
      </c>
      <c r="K229" s="22"/>
    </row>
    <row r="230" spans="1:11" hidden="1" x14ac:dyDescent="0.35">
      <c r="A230" s="27">
        <v>44880</v>
      </c>
      <c r="B230" s="22">
        <v>708.75</v>
      </c>
      <c r="C230" s="22">
        <v>708.75</v>
      </c>
      <c r="D230" s="22">
        <v>702</v>
      </c>
      <c r="E230" s="22">
        <v>703.35</v>
      </c>
      <c r="F230" s="22">
        <v>921</v>
      </c>
      <c r="G230" s="22">
        <v>9696873.25</v>
      </c>
      <c r="H230" s="22">
        <v>7860</v>
      </c>
      <c r="I230" s="22">
        <v>6.75</v>
      </c>
      <c r="J230" s="28">
        <v>-5.4</v>
      </c>
      <c r="K230" s="22"/>
    </row>
    <row r="231" spans="1:11" hidden="1" x14ac:dyDescent="0.35">
      <c r="A231" s="27">
        <v>44881</v>
      </c>
      <c r="B231" s="22">
        <v>706.95</v>
      </c>
      <c r="C231" s="22">
        <v>706.95</v>
      </c>
      <c r="D231" s="22">
        <v>698</v>
      </c>
      <c r="E231" s="22">
        <v>698.6</v>
      </c>
      <c r="F231" s="22">
        <v>1139</v>
      </c>
      <c r="G231" s="22">
        <v>10361570.4</v>
      </c>
      <c r="H231" s="22">
        <v>8259</v>
      </c>
      <c r="I231" s="22">
        <v>8.9499999999999993</v>
      </c>
      <c r="J231" s="28">
        <v>-8.35</v>
      </c>
      <c r="K231" s="22"/>
    </row>
    <row r="232" spans="1:11" hidden="1" x14ac:dyDescent="0.35">
      <c r="A232" s="27">
        <v>44882</v>
      </c>
      <c r="B232" s="22">
        <v>699.5</v>
      </c>
      <c r="C232" s="22">
        <v>707</v>
      </c>
      <c r="D232" s="22">
        <v>699.15</v>
      </c>
      <c r="E232" s="22">
        <v>705.7</v>
      </c>
      <c r="F232" s="22">
        <v>1044</v>
      </c>
      <c r="G232" s="22">
        <v>9454278.5999999996</v>
      </c>
      <c r="H232" s="22">
        <v>7874</v>
      </c>
      <c r="I232" s="22">
        <v>7.85</v>
      </c>
      <c r="J232" s="28">
        <v>6.2</v>
      </c>
      <c r="K232" s="22"/>
    </row>
    <row r="233" spans="1:11" hidden="1" x14ac:dyDescent="0.35">
      <c r="A233" s="27">
        <v>44883</v>
      </c>
      <c r="B233" s="22">
        <v>708.75</v>
      </c>
      <c r="C233" s="22">
        <v>708.75</v>
      </c>
      <c r="D233" s="22">
        <v>700.05</v>
      </c>
      <c r="E233" s="22">
        <v>702.6</v>
      </c>
      <c r="F233" s="22">
        <v>1692</v>
      </c>
      <c r="G233" s="22">
        <v>14657265.1</v>
      </c>
      <c r="H233" s="22">
        <v>11210</v>
      </c>
      <c r="I233" s="22">
        <v>8.6999999999999993</v>
      </c>
      <c r="J233" s="28">
        <v>-6.15</v>
      </c>
      <c r="K233" s="22"/>
    </row>
    <row r="234" spans="1:11" hidden="1" x14ac:dyDescent="0.35">
      <c r="A234" s="27">
        <v>44886</v>
      </c>
      <c r="B234" s="22">
        <v>705.7</v>
      </c>
      <c r="C234" s="22">
        <v>712.9</v>
      </c>
      <c r="D234" s="22">
        <v>700.8</v>
      </c>
      <c r="E234" s="22">
        <v>704.05</v>
      </c>
      <c r="F234" s="22">
        <v>2533</v>
      </c>
      <c r="G234" s="22">
        <v>20327712.300000001</v>
      </c>
      <c r="H234" s="22">
        <v>16926</v>
      </c>
      <c r="I234" s="22">
        <v>12.1</v>
      </c>
      <c r="J234" s="28">
        <v>-1.65</v>
      </c>
      <c r="K234" s="22"/>
    </row>
    <row r="235" spans="1:11" hidden="1" x14ac:dyDescent="0.35">
      <c r="A235" s="27">
        <v>44887</v>
      </c>
      <c r="B235" s="22">
        <v>702.05</v>
      </c>
      <c r="C235" s="22">
        <v>710</v>
      </c>
      <c r="D235" s="22">
        <v>702.05</v>
      </c>
      <c r="E235" s="22">
        <v>706.65</v>
      </c>
      <c r="F235" s="22">
        <v>1844</v>
      </c>
      <c r="G235" s="22">
        <v>12521229.449999999</v>
      </c>
      <c r="H235" s="22">
        <v>10812</v>
      </c>
      <c r="I235" s="22">
        <v>7.95</v>
      </c>
      <c r="J235" s="28">
        <v>4.5999999999999996</v>
      </c>
      <c r="K235" s="22"/>
    </row>
    <row r="236" spans="1:11" hidden="1" x14ac:dyDescent="0.35">
      <c r="A236" s="27">
        <v>44888</v>
      </c>
      <c r="B236" s="22">
        <v>706.7</v>
      </c>
      <c r="C236" s="22">
        <v>711</v>
      </c>
      <c r="D236" s="22">
        <v>703.1</v>
      </c>
      <c r="E236" s="22">
        <v>706.65</v>
      </c>
      <c r="F236" s="22">
        <v>1910</v>
      </c>
      <c r="G236" s="22">
        <v>14796547.800000001</v>
      </c>
      <c r="H236" s="22">
        <v>14149</v>
      </c>
      <c r="I236" s="22">
        <v>7.9</v>
      </c>
      <c r="J236" s="28">
        <v>-0.05</v>
      </c>
      <c r="K236" s="22"/>
    </row>
    <row r="237" spans="1:11" hidden="1" x14ac:dyDescent="0.35">
      <c r="A237" s="27">
        <v>44889</v>
      </c>
      <c r="B237" s="22">
        <v>706.7</v>
      </c>
      <c r="C237" s="22">
        <v>718.45</v>
      </c>
      <c r="D237" s="22">
        <v>703.65</v>
      </c>
      <c r="E237" s="22">
        <v>707.65</v>
      </c>
      <c r="F237" s="22">
        <v>2442</v>
      </c>
      <c r="G237" s="22">
        <v>18390848.25</v>
      </c>
      <c r="H237" s="22">
        <v>12966</v>
      </c>
      <c r="I237" s="22">
        <v>14.8</v>
      </c>
      <c r="J237" s="28">
        <v>0.95</v>
      </c>
      <c r="K237" s="22"/>
    </row>
    <row r="238" spans="1:11" hidden="1" x14ac:dyDescent="0.35">
      <c r="A238" s="27">
        <v>44890</v>
      </c>
      <c r="B238" s="22">
        <v>714.75</v>
      </c>
      <c r="C238" s="22">
        <v>714.75</v>
      </c>
      <c r="D238" s="22">
        <v>705.6</v>
      </c>
      <c r="E238" s="22">
        <v>709.85</v>
      </c>
      <c r="F238" s="22">
        <v>1432</v>
      </c>
      <c r="G238" s="22">
        <v>9916426.3499999996</v>
      </c>
      <c r="H238" s="22">
        <v>7882</v>
      </c>
      <c r="I238" s="22">
        <v>9.15</v>
      </c>
      <c r="J238" s="28">
        <v>-4.9000000000000004</v>
      </c>
      <c r="K238" s="22"/>
    </row>
    <row r="239" spans="1:11" hidden="1" x14ac:dyDescent="0.35">
      <c r="A239" s="27">
        <v>44893</v>
      </c>
      <c r="B239" s="22">
        <v>714.5</v>
      </c>
      <c r="C239" s="22">
        <v>714.5</v>
      </c>
      <c r="D239" s="22">
        <v>703.65</v>
      </c>
      <c r="E239" s="22">
        <v>708.2</v>
      </c>
      <c r="F239" s="22">
        <v>1979</v>
      </c>
      <c r="G239" s="22">
        <v>15848830.300000001</v>
      </c>
      <c r="H239" s="22">
        <v>12293</v>
      </c>
      <c r="I239" s="22">
        <v>10.85</v>
      </c>
      <c r="J239" s="28">
        <v>-6.3</v>
      </c>
      <c r="K239" s="22"/>
    </row>
    <row r="240" spans="1:11" hidden="1" x14ac:dyDescent="0.35">
      <c r="A240" s="27">
        <v>44894</v>
      </c>
      <c r="B240" s="22">
        <v>710</v>
      </c>
      <c r="C240" s="22">
        <v>712</v>
      </c>
      <c r="D240" s="22">
        <v>705</v>
      </c>
      <c r="E240" s="22">
        <v>706.3</v>
      </c>
      <c r="F240" s="22">
        <v>1273</v>
      </c>
      <c r="G240" s="22">
        <v>8912573.8000000007</v>
      </c>
      <c r="H240" s="22">
        <v>6239</v>
      </c>
      <c r="I240" s="22">
        <v>7</v>
      </c>
      <c r="J240" s="28">
        <v>-3.7</v>
      </c>
      <c r="K240" s="22"/>
    </row>
    <row r="241" spans="1:11" hidden="1" x14ac:dyDescent="0.35">
      <c r="A241" s="27">
        <v>44895</v>
      </c>
      <c r="B241" s="22">
        <v>706.3</v>
      </c>
      <c r="C241" s="22">
        <v>711.4</v>
      </c>
      <c r="D241" s="22">
        <v>703</v>
      </c>
      <c r="E241" s="22">
        <v>705.95</v>
      </c>
      <c r="F241" s="22">
        <v>1970</v>
      </c>
      <c r="G241" s="22">
        <v>16200079.5</v>
      </c>
      <c r="H241" s="22">
        <v>8400</v>
      </c>
      <c r="I241" s="22">
        <v>8.4</v>
      </c>
      <c r="J241" s="28">
        <v>-0.35</v>
      </c>
      <c r="K241" s="22"/>
    </row>
    <row r="242" spans="1:11" hidden="1" x14ac:dyDescent="0.35">
      <c r="A242" s="27">
        <v>44896</v>
      </c>
      <c r="B242" s="22">
        <v>706.1</v>
      </c>
      <c r="C242" s="22">
        <v>711</v>
      </c>
      <c r="D242" s="22">
        <v>706</v>
      </c>
      <c r="E242" s="22">
        <v>707</v>
      </c>
      <c r="F242" s="22">
        <v>873</v>
      </c>
      <c r="G242" s="22">
        <v>12016115.800000001</v>
      </c>
      <c r="H242" s="22">
        <v>8229</v>
      </c>
      <c r="I242" s="22">
        <v>5</v>
      </c>
      <c r="J242" s="28">
        <v>0.9</v>
      </c>
      <c r="K242" s="22"/>
    </row>
    <row r="243" spans="1:11" hidden="1" x14ac:dyDescent="0.35">
      <c r="A243" s="27">
        <v>44897</v>
      </c>
      <c r="B243" s="22">
        <v>709.9</v>
      </c>
      <c r="C243" s="22">
        <v>715</v>
      </c>
      <c r="D243" s="22">
        <v>705.25</v>
      </c>
      <c r="E243" s="22">
        <v>710.8</v>
      </c>
      <c r="F243" s="22">
        <v>712</v>
      </c>
      <c r="G243" s="22">
        <v>7882168.4000000004</v>
      </c>
      <c r="H243" s="22">
        <v>7070</v>
      </c>
      <c r="I243" s="22">
        <v>9.75</v>
      </c>
      <c r="J243" s="28">
        <v>0.9</v>
      </c>
      <c r="K243" s="22"/>
    </row>
    <row r="244" spans="1:11" hidden="1" x14ac:dyDescent="0.35">
      <c r="A244" s="27">
        <v>44900</v>
      </c>
      <c r="B244" s="22">
        <v>713</v>
      </c>
      <c r="C244" s="22">
        <v>716</v>
      </c>
      <c r="D244" s="22">
        <v>706.1</v>
      </c>
      <c r="E244" s="22">
        <v>707.6</v>
      </c>
      <c r="F244" s="22">
        <v>1315</v>
      </c>
      <c r="G244" s="22">
        <v>19807641.550000001</v>
      </c>
      <c r="H244" s="22">
        <v>13489</v>
      </c>
      <c r="I244" s="22">
        <v>9.9</v>
      </c>
      <c r="J244" s="28">
        <v>-5.4</v>
      </c>
      <c r="K244" s="22"/>
    </row>
    <row r="245" spans="1:11" hidden="1" x14ac:dyDescent="0.35">
      <c r="A245" s="27">
        <v>44901</v>
      </c>
      <c r="B245" s="22">
        <v>710.8</v>
      </c>
      <c r="C245" s="22">
        <v>710.8</v>
      </c>
      <c r="D245" s="22">
        <v>706.1</v>
      </c>
      <c r="E245" s="22">
        <v>708.4</v>
      </c>
      <c r="F245" s="22">
        <v>2061</v>
      </c>
      <c r="G245" s="22">
        <v>10763766.699999999</v>
      </c>
      <c r="H245" s="22">
        <v>7944</v>
      </c>
      <c r="I245" s="22">
        <v>4.7</v>
      </c>
      <c r="J245" s="28">
        <v>-2.4</v>
      </c>
      <c r="K245" s="22"/>
    </row>
    <row r="246" spans="1:11" hidden="1" x14ac:dyDescent="0.35">
      <c r="A246" s="27">
        <v>44902</v>
      </c>
      <c r="B246" s="22">
        <v>700.25</v>
      </c>
      <c r="C246" s="22">
        <v>708</v>
      </c>
      <c r="D246" s="22">
        <v>699</v>
      </c>
      <c r="E246" s="22">
        <v>700.4</v>
      </c>
      <c r="F246" s="22">
        <v>1710</v>
      </c>
      <c r="G246" s="22">
        <v>19087584.25</v>
      </c>
      <c r="H246" s="22">
        <v>14898</v>
      </c>
      <c r="I246" s="22">
        <v>9</v>
      </c>
      <c r="J246" s="28">
        <v>0.15</v>
      </c>
      <c r="K246" s="22"/>
    </row>
    <row r="247" spans="1:11" hidden="1" x14ac:dyDescent="0.35">
      <c r="A247" s="27">
        <v>44903</v>
      </c>
      <c r="B247" s="22">
        <v>701</v>
      </c>
      <c r="C247" s="22">
        <v>704.75</v>
      </c>
      <c r="D247" s="22">
        <v>689.4</v>
      </c>
      <c r="E247" s="22">
        <v>694.6</v>
      </c>
      <c r="F247" s="22">
        <v>2413</v>
      </c>
      <c r="G247" s="22">
        <v>30711744.800000001</v>
      </c>
      <c r="H247" s="22">
        <v>28069</v>
      </c>
      <c r="I247" s="22">
        <v>15.35</v>
      </c>
      <c r="J247" s="28">
        <v>-6.4</v>
      </c>
      <c r="K247" s="22"/>
    </row>
    <row r="248" spans="1:11" hidden="1" x14ac:dyDescent="0.35">
      <c r="A248" s="27">
        <v>44904</v>
      </c>
      <c r="B248" s="22">
        <v>700</v>
      </c>
      <c r="C248" s="22">
        <v>702.9</v>
      </c>
      <c r="D248" s="22">
        <v>690</v>
      </c>
      <c r="E248" s="22">
        <v>693.55</v>
      </c>
      <c r="F248" s="22">
        <v>1542</v>
      </c>
      <c r="G248" s="22">
        <v>16971121.300000001</v>
      </c>
      <c r="H248" s="22">
        <v>15410</v>
      </c>
      <c r="I248" s="22">
        <v>12.9</v>
      </c>
      <c r="J248" s="28">
        <v>-6.45</v>
      </c>
      <c r="K248" s="22"/>
    </row>
    <row r="249" spans="1:11" hidden="1" x14ac:dyDescent="0.35">
      <c r="A249" s="27">
        <v>44907</v>
      </c>
      <c r="B249" s="22">
        <v>693.55</v>
      </c>
      <c r="C249" s="22">
        <v>695</v>
      </c>
      <c r="D249" s="22">
        <v>683.55</v>
      </c>
      <c r="E249" s="22">
        <v>692.75</v>
      </c>
      <c r="F249" s="22">
        <v>1239</v>
      </c>
      <c r="G249" s="22">
        <v>10953920.35</v>
      </c>
      <c r="H249" s="22">
        <v>9961</v>
      </c>
      <c r="I249" s="22">
        <v>11.45</v>
      </c>
      <c r="J249" s="28">
        <v>-0.8</v>
      </c>
      <c r="K249" s="22"/>
    </row>
    <row r="250" spans="1:11" hidden="1" x14ac:dyDescent="0.35">
      <c r="A250" s="27">
        <v>44908</v>
      </c>
      <c r="B250" s="22">
        <v>695</v>
      </c>
      <c r="C250" s="22">
        <v>696</v>
      </c>
      <c r="D250" s="22">
        <v>680</v>
      </c>
      <c r="E250" s="22">
        <v>689.3</v>
      </c>
      <c r="F250" s="22">
        <v>2918</v>
      </c>
      <c r="G250" s="22">
        <v>36452005.200000003</v>
      </c>
      <c r="H250" s="22">
        <v>24600</v>
      </c>
      <c r="I250" s="22">
        <v>16</v>
      </c>
      <c r="J250" s="28">
        <v>-5.7</v>
      </c>
      <c r="K250" s="22"/>
    </row>
    <row r="251" spans="1:11" hidden="1" x14ac:dyDescent="0.35">
      <c r="A251" s="27">
        <v>44909</v>
      </c>
      <c r="B251" s="22">
        <v>695.75</v>
      </c>
      <c r="C251" s="22">
        <v>696.35</v>
      </c>
      <c r="D251" s="22">
        <v>683.8</v>
      </c>
      <c r="E251" s="22">
        <v>689.6</v>
      </c>
      <c r="F251" s="22">
        <v>2100</v>
      </c>
      <c r="G251" s="22">
        <v>29907680.5</v>
      </c>
      <c r="H251" s="22">
        <v>29807</v>
      </c>
      <c r="I251" s="22">
        <v>12.55</v>
      </c>
      <c r="J251" s="28">
        <v>-6.15</v>
      </c>
      <c r="K251" s="22"/>
    </row>
    <row r="252" spans="1:11" hidden="1" x14ac:dyDescent="0.35">
      <c r="A252" s="27">
        <v>44910</v>
      </c>
      <c r="B252" s="22">
        <v>694.75</v>
      </c>
      <c r="C252" s="22">
        <v>694.75</v>
      </c>
      <c r="D252" s="22">
        <v>680.6</v>
      </c>
      <c r="E252" s="22">
        <v>686.2</v>
      </c>
      <c r="F252" s="22">
        <v>1401</v>
      </c>
      <c r="G252" s="22">
        <v>15245957.35</v>
      </c>
      <c r="H252" s="22">
        <v>13083</v>
      </c>
      <c r="I252" s="22">
        <v>14.15</v>
      </c>
      <c r="J252" s="28">
        <v>-8.5500000000000007</v>
      </c>
      <c r="K252" s="22"/>
    </row>
    <row r="253" spans="1:11" hidden="1" x14ac:dyDescent="0.35">
      <c r="A253" s="27">
        <v>44911</v>
      </c>
      <c r="B253" s="22">
        <v>686.2</v>
      </c>
      <c r="C253" s="22">
        <v>688.7</v>
      </c>
      <c r="D253" s="22">
        <v>660</v>
      </c>
      <c r="E253" s="22">
        <v>680.55</v>
      </c>
      <c r="F253" s="22">
        <v>2509</v>
      </c>
      <c r="G253" s="22">
        <v>28363644.850000001</v>
      </c>
      <c r="H253" s="22">
        <v>24260</v>
      </c>
      <c r="I253" s="22">
        <v>28.7</v>
      </c>
      <c r="J253" s="28">
        <v>-5.65</v>
      </c>
      <c r="K253" s="22"/>
    </row>
    <row r="254" spans="1:11" hidden="1" x14ac:dyDescent="0.35">
      <c r="A254" s="27">
        <v>44914</v>
      </c>
      <c r="B254" s="22">
        <v>674.25</v>
      </c>
      <c r="C254" s="22">
        <v>688</v>
      </c>
      <c r="D254" s="22">
        <v>673.8</v>
      </c>
      <c r="E254" s="22">
        <v>678.15</v>
      </c>
      <c r="F254" s="22">
        <v>2089</v>
      </c>
      <c r="G254" s="22">
        <v>18530855.100000001</v>
      </c>
      <c r="H254" s="22">
        <v>18723</v>
      </c>
      <c r="I254" s="22">
        <v>14.2</v>
      </c>
      <c r="J254" s="28">
        <v>3.9</v>
      </c>
      <c r="K254" s="22"/>
    </row>
    <row r="255" spans="1:11" hidden="1" x14ac:dyDescent="0.35">
      <c r="A255" s="27">
        <v>44915</v>
      </c>
      <c r="B255" s="22">
        <v>678.15</v>
      </c>
      <c r="C255" s="22">
        <v>692.4</v>
      </c>
      <c r="D255" s="22">
        <v>674.5</v>
      </c>
      <c r="E255" s="22">
        <v>679.65</v>
      </c>
      <c r="F255" s="22">
        <v>2116</v>
      </c>
      <c r="G255" s="22">
        <v>108681445.55</v>
      </c>
      <c r="H255" s="22">
        <v>106582</v>
      </c>
      <c r="I255" s="22">
        <v>17.899999999999999</v>
      </c>
      <c r="J255" s="28">
        <v>1.5</v>
      </c>
      <c r="K255" s="22"/>
    </row>
    <row r="256" spans="1:11" hidden="1" x14ac:dyDescent="0.35">
      <c r="A256" s="27">
        <v>44916</v>
      </c>
      <c r="B256" s="22">
        <v>683.95</v>
      </c>
      <c r="C256" s="22">
        <v>689.95</v>
      </c>
      <c r="D256" s="22">
        <v>672.55</v>
      </c>
      <c r="E256" s="22">
        <v>679.75</v>
      </c>
      <c r="F256" s="22">
        <v>1931</v>
      </c>
      <c r="G256" s="22">
        <v>25745768.800000001</v>
      </c>
      <c r="H256" s="22">
        <v>20001</v>
      </c>
      <c r="I256" s="22">
        <v>17.399999999999999</v>
      </c>
      <c r="J256" s="28">
        <v>-4.2</v>
      </c>
      <c r="K256" s="22"/>
    </row>
    <row r="257" spans="1:11" hidden="1" x14ac:dyDescent="0.35">
      <c r="A257" s="27">
        <v>44917</v>
      </c>
      <c r="B257" s="22">
        <v>677.5</v>
      </c>
      <c r="C257" s="22">
        <v>683.55</v>
      </c>
      <c r="D257" s="22">
        <v>656.5</v>
      </c>
      <c r="E257" s="22">
        <v>669.65</v>
      </c>
      <c r="F257" s="22">
        <v>3729</v>
      </c>
      <c r="G257" s="22">
        <v>32005773.550000001</v>
      </c>
      <c r="H257" s="22">
        <v>27733</v>
      </c>
      <c r="I257" s="22">
        <v>27.05</v>
      </c>
      <c r="J257" s="28">
        <v>-7.85</v>
      </c>
      <c r="K257" s="22"/>
    </row>
    <row r="258" spans="1:11" hidden="1" x14ac:dyDescent="0.35">
      <c r="A258" s="27">
        <v>44918</v>
      </c>
      <c r="B258" s="22">
        <v>668</v>
      </c>
      <c r="C258" s="22">
        <v>670</v>
      </c>
      <c r="D258" s="22">
        <v>655.75</v>
      </c>
      <c r="E258" s="22">
        <v>663.65</v>
      </c>
      <c r="F258" s="22">
        <v>2618</v>
      </c>
      <c r="G258" s="22">
        <v>25025787.800000001</v>
      </c>
      <c r="H258" s="22">
        <v>23595</v>
      </c>
      <c r="I258" s="22">
        <v>14.25</v>
      </c>
      <c r="J258" s="28">
        <v>-4.3499999999999996</v>
      </c>
      <c r="K258" s="22"/>
    </row>
    <row r="259" spans="1:11" hidden="1" x14ac:dyDescent="0.35">
      <c r="A259" s="27">
        <v>44921</v>
      </c>
      <c r="B259" s="22">
        <v>660.25</v>
      </c>
      <c r="C259" s="22">
        <v>689.95</v>
      </c>
      <c r="D259" s="22">
        <v>658.75</v>
      </c>
      <c r="E259" s="22">
        <v>685.9</v>
      </c>
      <c r="F259" s="22">
        <v>3698</v>
      </c>
      <c r="G259" s="22">
        <v>29076919.399999999</v>
      </c>
      <c r="H259" s="22">
        <v>25331</v>
      </c>
      <c r="I259" s="22">
        <v>31.2</v>
      </c>
      <c r="J259" s="28">
        <v>25.65</v>
      </c>
      <c r="K259" s="22"/>
    </row>
    <row r="260" spans="1:11" hidden="1" x14ac:dyDescent="0.35">
      <c r="A260" s="27">
        <v>44922</v>
      </c>
      <c r="B260" s="22">
        <v>690</v>
      </c>
      <c r="C260" s="22">
        <v>697</v>
      </c>
      <c r="D260" s="22">
        <v>684.75</v>
      </c>
      <c r="E260" s="22">
        <v>695.3</v>
      </c>
      <c r="F260" s="22">
        <v>1486</v>
      </c>
      <c r="G260" s="22">
        <v>14923961.35</v>
      </c>
      <c r="H260" s="22">
        <v>14107</v>
      </c>
      <c r="I260" s="22">
        <v>12.25</v>
      </c>
      <c r="J260" s="28">
        <v>5.3</v>
      </c>
      <c r="K260" s="22"/>
    </row>
    <row r="261" spans="1:11" hidden="1" x14ac:dyDescent="0.35">
      <c r="A261" s="27">
        <v>44923</v>
      </c>
      <c r="B261" s="22">
        <v>692</v>
      </c>
      <c r="C261" s="22">
        <v>697.45</v>
      </c>
      <c r="D261" s="22">
        <v>690</v>
      </c>
      <c r="E261" s="22">
        <v>691.85</v>
      </c>
      <c r="F261" s="22">
        <v>1154</v>
      </c>
      <c r="G261" s="22">
        <v>6142329.75</v>
      </c>
      <c r="H261" s="22">
        <v>4477</v>
      </c>
      <c r="I261" s="22">
        <v>7.45</v>
      </c>
      <c r="J261" s="28">
        <v>-0.15</v>
      </c>
      <c r="K261" s="22"/>
    </row>
    <row r="262" spans="1:11" hidden="1" x14ac:dyDescent="0.35">
      <c r="A262" s="27">
        <v>44924</v>
      </c>
      <c r="B262" s="22">
        <v>692.85</v>
      </c>
      <c r="C262" s="22">
        <v>700</v>
      </c>
      <c r="D262" s="22">
        <v>691.6</v>
      </c>
      <c r="E262" s="22">
        <v>699.5</v>
      </c>
      <c r="F262" s="22">
        <v>944</v>
      </c>
      <c r="G262" s="22">
        <v>8081907.3499999996</v>
      </c>
      <c r="H262" s="22">
        <v>6545</v>
      </c>
      <c r="I262" s="22">
        <v>8.4</v>
      </c>
      <c r="J262" s="28">
        <v>6.65</v>
      </c>
      <c r="K262" s="22"/>
    </row>
    <row r="263" spans="1:11" hidden="1" x14ac:dyDescent="0.35">
      <c r="A263" s="27">
        <v>44925</v>
      </c>
      <c r="B263" s="22">
        <v>702</v>
      </c>
      <c r="C263" s="22">
        <v>706.85</v>
      </c>
      <c r="D263" s="22">
        <v>698.15</v>
      </c>
      <c r="E263" s="22">
        <v>701.55</v>
      </c>
      <c r="F263" s="22">
        <v>1168</v>
      </c>
      <c r="G263" s="22">
        <v>10103130.9</v>
      </c>
      <c r="H263" s="22">
        <v>8561</v>
      </c>
      <c r="I263" s="22">
        <v>8.6999999999999993</v>
      </c>
      <c r="J263" s="28">
        <v>-0.45</v>
      </c>
      <c r="K263" s="22"/>
    </row>
    <row r="264" spans="1:11" x14ac:dyDescent="0.35">
      <c r="A264" s="27">
        <v>44928</v>
      </c>
      <c r="B264" s="22">
        <v>706.75</v>
      </c>
      <c r="C264" s="22">
        <v>706.75</v>
      </c>
      <c r="D264" s="22">
        <v>700.85</v>
      </c>
      <c r="E264" s="22">
        <v>703.25</v>
      </c>
      <c r="F264" s="22">
        <v>1396</v>
      </c>
      <c r="G264" s="22">
        <v>6468528.0499999998</v>
      </c>
      <c r="H264" s="22">
        <v>4609</v>
      </c>
      <c r="I264" s="22">
        <v>5.9</v>
      </c>
      <c r="J264" s="28">
        <v>-3.5</v>
      </c>
      <c r="K264" s="22"/>
    </row>
    <row r="265" spans="1:11" x14ac:dyDescent="0.35">
      <c r="A265" s="27">
        <v>44929</v>
      </c>
      <c r="B265" s="22">
        <v>705.75</v>
      </c>
      <c r="C265" s="22">
        <v>705.75</v>
      </c>
      <c r="D265" s="22">
        <v>701.75</v>
      </c>
      <c r="E265" s="22">
        <v>704.35</v>
      </c>
      <c r="F265" s="22">
        <v>740</v>
      </c>
      <c r="G265" s="22">
        <v>13561855.6</v>
      </c>
      <c r="H265" s="22">
        <v>13623</v>
      </c>
      <c r="I265" s="22">
        <v>4</v>
      </c>
      <c r="J265" s="28">
        <v>-1.4</v>
      </c>
      <c r="K265" s="22"/>
    </row>
    <row r="266" spans="1:11" x14ac:dyDescent="0.35">
      <c r="A266" s="27">
        <v>44930</v>
      </c>
      <c r="B266" s="22">
        <v>704.35</v>
      </c>
      <c r="C266" s="22">
        <v>718.05</v>
      </c>
      <c r="D266" s="22">
        <v>704.35</v>
      </c>
      <c r="E266" s="22">
        <v>716.05</v>
      </c>
      <c r="F266" s="22">
        <v>9727</v>
      </c>
      <c r="G266" s="22">
        <v>251424257.69999999</v>
      </c>
      <c r="H266" s="22">
        <v>272494</v>
      </c>
      <c r="I266" s="22">
        <v>13.7</v>
      </c>
      <c r="J266" s="28">
        <v>11.7</v>
      </c>
      <c r="K266" s="22"/>
    </row>
    <row r="267" spans="1:11" x14ac:dyDescent="0.35">
      <c r="A267" s="27">
        <v>44931</v>
      </c>
      <c r="B267" s="22">
        <v>720.6</v>
      </c>
      <c r="C267" s="22">
        <v>755.95</v>
      </c>
      <c r="D267" s="22">
        <v>720.6</v>
      </c>
      <c r="E267" s="22">
        <v>733.9</v>
      </c>
      <c r="F267" s="22">
        <v>12803</v>
      </c>
      <c r="G267" s="22">
        <v>148751256.84999999</v>
      </c>
      <c r="H267" s="22">
        <v>72636</v>
      </c>
      <c r="I267" s="22">
        <v>35.35</v>
      </c>
      <c r="J267" s="28">
        <v>13.3</v>
      </c>
      <c r="K267" s="22"/>
    </row>
    <row r="268" spans="1:11" x14ac:dyDescent="0.35">
      <c r="A268" s="27">
        <v>44932</v>
      </c>
      <c r="B268" s="22">
        <v>739</v>
      </c>
      <c r="C268" s="22">
        <v>746</v>
      </c>
      <c r="D268" s="22">
        <v>735.05</v>
      </c>
      <c r="E268" s="22">
        <v>741.65</v>
      </c>
      <c r="F268" s="22">
        <v>6758</v>
      </c>
      <c r="G268" s="22">
        <v>60498574.600000001</v>
      </c>
      <c r="H268" s="22">
        <v>13863</v>
      </c>
      <c r="I268" s="22">
        <v>10.95</v>
      </c>
      <c r="J268" s="28">
        <v>2.65</v>
      </c>
      <c r="K268" s="22"/>
    </row>
    <row r="269" spans="1:11" x14ac:dyDescent="0.35">
      <c r="A269" s="27">
        <v>44935</v>
      </c>
      <c r="B269" s="22">
        <v>752</v>
      </c>
      <c r="C269" s="22">
        <v>759.95</v>
      </c>
      <c r="D269" s="22">
        <v>742.1</v>
      </c>
      <c r="E269" s="22">
        <v>754.4</v>
      </c>
      <c r="F269" s="22">
        <v>7513</v>
      </c>
      <c r="G269" s="22">
        <v>103455106.90000001</v>
      </c>
      <c r="H269" s="22">
        <v>70683</v>
      </c>
      <c r="I269" s="22">
        <v>17.850000000000001</v>
      </c>
      <c r="J269" s="28">
        <v>2.4</v>
      </c>
      <c r="K269" s="22"/>
    </row>
    <row r="270" spans="1:11" x14ac:dyDescent="0.35">
      <c r="A270" s="27">
        <v>44936</v>
      </c>
      <c r="B270" s="22">
        <v>752.15</v>
      </c>
      <c r="C270" s="22">
        <v>768</v>
      </c>
      <c r="D270" s="22">
        <v>743.1</v>
      </c>
      <c r="E270" s="22">
        <v>746.05</v>
      </c>
      <c r="F270" s="22">
        <v>4545</v>
      </c>
      <c r="G270" s="22">
        <v>50628862.549999997</v>
      </c>
      <c r="H270" s="22">
        <v>22226</v>
      </c>
      <c r="I270" s="22">
        <v>24.9</v>
      </c>
      <c r="J270" s="28">
        <v>-6.1</v>
      </c>
      <c r="K270" s="22"/>
    </row>
    <row r="271" spans="1:11" x14ac:dyDescent="0.35">
      <c r="A271" s="27">
        <v>44937</v>
      </c>
      <c r="B271" s="22">
        <v>745</v>
      </c>
      <c r="C271" s="22">
        <v>752</v>
      </c>
      <c r="D271" s="22">
        <v>738.2</v>
      </c>
      <c r="E271" s="22">
        <v>741.2</v>
      </c>
      <c r="F271" s="22">
        <v>3688</v>
      </c>
      <c r="G271" s="22">
        <v>32682369.399999999</v>
      </c>
      <c r="H271" s="22">
        <v>7530</v>
      </c>
      <c r="I271" s="22">
        <v>13.8</v>
      </c>
      <c r="J271" s="28">
        <v>-3.8</v>
      </c>
      <c r="K271" s="22"/>
    </row>
    <row r="272" spans="1:11" x14ac:dyDescent="0.35">
      <c r="A272" s="27">
        <v>44938</v>
      </c>
      <c r="B272" s="22">
        <v>752.7</v>
      </c>
      <c r="C272" s="22">
        <v>760</v>
      </c>
      <c r="D272" s="22">
        <v>746.1</v>
      </c>
      <c r="E272" s="22">
        <v>754.55</v>
      </c>
      <c r="F272" s="22">
        <v>5659</v>
      </c>
      <c r="G272" s="22">
        <v>78290689.450000003</v>
      </c>
      <c r="H272" s="22">
        <v>38714</v>
      </c>
      <c r="I272" s="22">
        <v>13.9</v>
      </c>
      <c r="J272" s="28">
        <v>1.85</v>
      </c>
      <c r="K272" s="22"/>
    </row>
    <row r="273" spans="1:11" x14ac:dyDescent="0.35">
      <c r="A273" s="27">
        <v>44939</v>
      </c>
      <c r="B273" s="22">
        <v>755</v>
      </c>
      <c r="C273" s="22">
        <v>780</v>
      </c>
      <c r="D273" s="22">
        <v>736.05</v>
      </c>
      <c r="E273" s="22">
        <v>772.75</v>
      </c>
      <c r="F273" s="22">
        <v>14699</v>
      </c>
      <c r="G273" s="22">
        <v>279642389.44999999</v>
      </c>
      <c r="H273" s="22">
        <v>110436</v>
      </c>
      <c r="I273" s="22">
        <v>43.95</v>
      </c>
      <c r="J273" s="28">
        <v>17.75</v>
      </c>
      <c r="K273" s="22"/>
    </row>
    <row r="274" spans="1:11" x14ac:dyDescent="0.35">
      <c r="A274" s="27">
        <v>44942</v>
      </c>
      <c r="B274" s="22">
        <v>785</v>
      </c>
      <c r="C274" s="22">
        <v>799.9</v>
      </c>
      <c r="D274" s="22">
        <v>779.5</v>
      </c>
      <c r="E274" s="22">
        <v>792.85</v>
      </c>
      <c r="F274" s="22">
        <v>11653</v>
      </c>
      <c r="G274" s="22">
        <v>196532189.94999999</v>
      </c>
      <c r="H274" s="22">
        <v>112201</v>
      </c>
      <c r="I274" s="22">
        <v>20.399999999999999</v>
      </c>
      <c r="J274" s="28">
        <v>7.85</v>
      </c>
      <c r="K274" s="22"/>
    </row>
    <row r="275" spans="1:11" x14ac:dyDescent="0.35">
      <c r="A275" s="27">
        <v>44943</v>
      </c>
      <c r="B275" s="22">
        <v>797.7</v>
      </c>
      <c r="C275" s="22">
        <v>844.7</v>
      </c>
      <c r="D275" s="22">
        <v>788.8</v>
      </c>
      <c r="E275" s="22">
        <v>811.1</v>
      </c>
      <c r="F275" s="22">
        <v>15380</v>
      </c>
      <c r="G275" s="22">
        <v>233513409</v>
      </c>
      <c r="H275" s="22">
        <v>88598</v>
      </c>
      <c r="I275" s="22">
        <v>55.9</v>
      </c>
      <c r="J275" s="28">
        <v>13.4</v>
      </c>
      <c r="K275" s="22"/>
    </row>
    <row r="276" spans="1:11" x14ac:dyDescent="0.35">
      <c r="A276" s="27">
        <v>44944</v>
      </c>
      <c r="B276" s="22">
        <v>819.2</v>
      </c>
      <c r="C276" s="22">
        <v>839</v>
      </c>
      <c r="D276" s="22">
        <v>810</v>
      </c>
      <c r="E276" s="22">
        <v>816.95</v>
      </c>
      <c r="F276" s="22">
        <v>11398</v>
      </c>
      <c r="G276" s="22">
        <v>162491885</v>
      </c>
      <c r="H276" s="22">
        <v>63094</v>
      </c>
      <c r="I276" s="22">
        <v>29</v>
      </c>
      <c r="J276" s="28">
        <v>-2.25</v>
      </c>
      <c r="K276" s="22"/>
    </row>
    <row r="277" spans="1:11" x14ac:dyDescent="0.35">
      <c r="A277" s="27">
        <v>44945</v>
      </c>
      <c r="B277" s="22">
        <v>815</v>
      </c>
      <c r="C277" s="22">
        <v>849</v>
      </c>
      <c r="D277" s="22">
        <v>814.55</v>
      </c>
      <c r="E277" s="22">
        <v>844.2</v>
      </c>
      <c r="F277" s="22">
        <v>12259</v>
      </c>
      <c r="G277" s="22">
        <v>248907564.30000001</v>
      </c>
      <c r="H277" s="22">
        <v>163458</v>
      </c>
      <c r="I277" s="22">
        <v>34.450000000000003</v>
      </c>
      <c r="J277" s="28">
        <v>29.2</v>
      </c>
      <c r="K277" s="22"/>
    </row>
    <row r="278" spans="1:11" x14ac:dyDescent="0.35">
      <c r="A278" s="27">
        <v>44946</v>
      </c>
      <c r="B278" s="22">
        <v>852.8</v>
      </c>
      <c r="C278" s="22">
        <v>854.25</v>
      </c>
      <c r="D278" s="22">
        <v>836</v>
      </c>
      <c r="E278" s="22">
        <v>844.05</v>
      </c>
      <c r="F278" s="22">
        <v>5400</v>
      </c>
      <c r="G278" s="22">
        <v>53738335.450000003</v>
      </c>
      <c r="H278" s="22">
        <v>29097</v>
      </c>
      <c r="I278" s="22">
        <v>18.25</v>
      </c>
      <c r="J278" s="28">
        <v>-8.75</v>
      </c>
      <c r="K278" s="22"/>
    </row>
    <row r="279" spans="1:11" x14ac:dyDescent="0.35">
      <c r="A279" s="27">
        <v>44949</v>
      </c>
      <c r="B279" s="22">
        <v>843</v>
      </c>
      <c r="C279" s="22">
        <v>843</v>
      </c>
      <c r="D279" s="22">
        <v>827.75</v>
      </c>
      <c r="E279" s="22">
        <v>831.75</v>
      </c>
      <c r="F279" s="22">
        <v>3442</v>
      </c>
      <c r="G279" s="22">
        <v>37809112.25</v>
      </c>
      <c r="H279" s="22">
        <v>24210</v>
      </c>
      <c r="I279" s="22">
        <v>15.25</v>
      </c>
      <c r="J279" s="28">
        <v>-11.25</v>
      </c>
      <c r="K279" s="22"/>
    </row>
    <row r="280" spans="1:11" x14ac:dyDescent="0.35">
      <c r="A280" s="27">
        <v>44950</v>
      </c>
      <c r="B280" s="22">
        <v>837</v>
      </c>
      <c r="C280" s="22">
        <v>848.85</v>
      </c>
      <c r="D280" s="22">
        <v>833.25</v>
      </c>
      <c r="E280" s="22">
        <v>845.65</v>
      </c>
      <c r="F280" s="22">
        <v>5135</v>
      </c>
      <c r="G280" s="22">
        <v>49355635.450000003</v>
      </c>
      <c r="H280" s="22">
        <v>27424</v>
      </c>
      <c r="I280" s="22">
        <v>15.6</v>
      </c>
      <c r="J280" s="28">
        <v>8.65</v>
      </c>
      <c r="K280" s="22"/>
    </row>
    <row r="281" spans="1:11" x14ac:dyDescent="0.35">
      <c r="A281" s="27">
        <v>44951</v>
      </c>
      <c r="B281" s="22">
        <v>849.45</v>
      </c>
      <c r="C281" s="22">
        <v>852.65</v>
      </c>
      <c r="D281" s="22">
        <v>835.5</v>
      </c>
      <c r="E281" s="22">
        <v>838.65</v>
      </c>
      <c r="F281" s="22">
        <v>10796</v>
      </c>
      <c r="G281" s="22">
        <v>102989099.2</v>
      </c>
      <c r="H281" s="22">
        <v>44684</v>
      </c>
      <c r="I281" s="22">
        <v>17.149999999999999</v>
      </c>
      <c r="J281" s="28">
        <v>-10.8</v>
      </c>
      <c r="K281" s="22"/>
    </row>
    <row r="282" spans="1:11" x14ac:dyDescent="0.35">
      <c r="A282" s="27">
        <v>44953</v>
      </c>
      <c r="B282" s="22">
        <v>840.55</v>
      </c>
      <c r="C282" s="22">
        <v>843.55</v>
      </c>
      <c r="D282" s="22">
        <v>814.5</v>
      </c>
      <c r="E282" s="22">
        <v>828.05</v>
      </c>
      <c r="F282" s="22">
        <v>8503</v>
      </c>
      <c r="G282" s="22">
        <v>64346640</v>
      </c>
      <c r="H282" s="22">
        <v>45280</v>
      </c>
      <c r="I282" s="22">
        <v>29.05</v>
      </c>
      <c r="J282" s="28">
        <v>-12.5</v>
      </c>
      <c r="K282" s="22"/>
    </row>
    <row r="283" spans="1:11" x14ac:dyDescent="0.35">
      <c r="A283" s="27">
        <v>44956</v>
      </c>
      <c r="B283" s="22">
        <v>833.7</v>
      </c>
      <c r="C283" s="22">
        <v>836.05</v>
      </c>
      <c r="D283" s="22">
        <v>820.4</v>
      </c>
      <c r="E283" s="22">
        <v>832</v>
      </c>
      <c r="F283" s="22">
        <v>13561</v>
      </c>
      <c r="G283" s="22">
        <v>91004675.150000006</v>
      </c>
      <c r="H283" s="22">
        <v>30906</v>
      </c>
      <c r="I283" s="22">
        <v>15.65</v>
      </c>
      <c r="J283" s="28">
        <v>-1.7</v>
      </c>
      <c r="K283" s="22"/>
    </row>
    <row r="284" spans="1:11" x14ac:dyDescent="0.35">
      <c r="A284" s="27">
        <v>44957</v>
      </c>
      <c r="B284" s="22">
        <v>832</v>
      </c>
      <c r="C284" s="22">
        <v>841.45</v>
      </c>
      <c r="D284" s="22">
        <v>829</v>
      </c>
      <c r="E284" s="22">
        <v>832.5</v>
      </c>
      <c r="F284" s="22">
        <v>3476</v>
      </c>
      <c r="G284" s="22">
        <v>21342595.850000001</v>
      </c>
      <c r="H284" s="22">
        <v>11047</v>
      </c>
      <c r="I284" s="22">
        <v>12.45</v>
      </c>
      <c r="J284" s="28">
        <v>0.5</v>
      </c>
      <c r="K284" s="22"/>
    </row>
    <row r="285" spans="1:11" x14ac:dyDescent="0.35">
      <c r="A285" s="27">
        <v>44958</v>
      </c>
      <c r="B285" s="22">
        <v>837</v>
      </c>
      <c r="C285" s="22">
        <v>862.5</v>
      </c>
      <c r="D285" s="22">
        <v>788.75</v>
      </c>
      <c r="E285" s="22">
        <v>798.5</v>
      </c>
      <c r="F285" s="22">
        <v>16259</v>
      </c>
      <c r="G285" s="22">
        <v>275312864.14999998</v>
      </c>
      <c r="H285" s="22">
        <v>208331</v>
      </c>
      <c r="I285" s="22">
        <v>73.75</v>
      </c>
      <c r="J285" s="28">
        <v>-38.5</v>
      </c>
      <c r="K285" s="22"/>
    </row>
    <row r="286" spans="1:11" x14ac:dyDescent="0.35">
      <c r="A286" s="27">
        <v>44959</v>
      </c>
      <c r="B286" s="22">
        <v>804</v>
      </c>
      <c r="C286" s="22">
        <v>810.7</v>
      </c>
      <c r="D286" s="22">
        <v>753</v>
      </c>
      <c r="E286" s="22">
        <v>762.9</v>
      </c>
      <c r="F286" s="22">
        <v>12644</v>
      </c>
      <c r="G286" s="22">
        <v>204599494.59999999</v>
      </c>
      <c r="H286" s="22">
        <v>163153</v>
      </c>
      <c r="I286" s="22">
        <v>57.7</v>
      </c>
      <c r="J286" s="28">
        <v>-41.1</v>
      </c>
      <c r="K286" s="22"/>
    </row>
    <row r="287" spans="1:11" x14ac:dyDescent="0.35">
      <c r="A287" s="27">
        <v>44960</v>
      </c>
      <c r="B287" s="22">
        <v>755.25</v>
      </c>
      <c r="C287" s="22">
        <v>769.6</v>
      </c>
      <c r="D287" s="22">
        <v>752.55</v>
      </c>
      <c r="E287" s="22">
        <v>763.15</v>
      </c>
      <c r="F287" s="22">
        <v>9740</v>
      </c>
      <c r="G287" s="22">
        <v>166611365</v>
      </c>
      <c r="H287" s="22">
        <v>159033</v>
      </c>
      <c r="I287" s="22">
        <v>17.05</v>
      </c>
      <c r="J287" s="28">
        <v>7.9</v>
      </c>
      <c r="K287" s="22"/>
    </row>
    <row r="288" spans="1:11" x14ac:dyDescent="0.35">
      <c r="A288" s="27">
        <v>44963</v>
      </c>
      <c r="B288" s="22">
        <v>769.95</v>
      </c>
      <c r="C288" s="22">
        <v>799</v>
      </c>
      <c r="D288" s="22">
        <v>755</v>
      </c>
      <c r="E288" s="22">
        <v>790.35</v>
      </c>
      <c r="F288" s="22">
        <v>14801</v>
      </c>
      <c r="G288" s="22">
        <v>191572933.30000001</v>
      </c>
      <c r="H288" s="22">
        <v>153287</v>
      </c>
      <c r="I288" s="22">
        <v>44</v>
      </c>
      <c r="J288" s="28">
        <v>20.399999999999999</v>
      </c>
      <c r="K288" s="22"/>
    </row>
    <row r="289" spans="1:11" x14ac:dyDescent="0.35">
      <c r="A289" s="27">
        <v>44964</v>
      </c>
      <c r="B289" s="22">
        <v>799</v>
      </c>
      <c r="C289" s="22">
        <v>806.1</v>
      </c>
      <c r="D289" s="22">
        <v>785.45</v>
      </c>
      <c r="E289" s="22">
        <v>792.55</v>
      </c>
      <c r="F289" s="22">
        <v>5279</v>
      </c>
      <c r="G289" s="22">
        <v>31480173.199999999</v>
      </c>
      <c r="H289" s="22">
        <v>21717</v>
      </c>
      <c r="I289" s="22">
        <v>20.65</v>
      </c>
      <c r="J289" s="28">
        <v>-6.45</v>
      </c>
      <c r="K289" s="22"/>
    </row>
    <row r="290" spans="1:11" x14ac:dyDescent="0.35">
      <c r="A290" s="27">
        <v>44965</v>
      </c>
      <c r="B290" s="22">
        <v>797.75</v>
      </c>
      <c r="C290" s="22">
        <v>810.35</v>
      </c>
      <c r="D290" s="22">
        <v>795.5</v>
      </c>
      <c r="E290" s="22">
        <v>799.8</v>
      </c>
      <c r="F290" s="22">
        <v>5253</v>
      </c>
      <c r="G290" s="22">
        <v>37931187.850000001</v>
      </c>
      <c r="H290" s="22">
        <v>23840</v>
      </c>
      <c r="I290" s="22">
        <v>14.85</v>
      </c>
      <c r="J290" s="28">
        <v>2.0499999999999998</v>
      </c>
      <c r="K290" s="22"/>
    </row>
    <row r="291" spans="1:11" x14ac:dyDescent="0.35">
      <c r="A291" s="27">
        <v>44966</v>
      </c>
      <c r="B291" s="22">
        <v>810</v>
      </c>
      <c r="C291" s="22">
        <v>828</v>
      </c>
      <c r="D291" s="22">
        <v>800.8</v>
      </c>
      <c r="E291" s="22">
        <v>814.8</v>
      </c>
      <c r="F291" s="22">
        <v>6942</v>
      </c>
      <c r="G291" s="22">
        <v>62387362.200000003</v>
      </c>
      <c r="H291" s="22">
        <v>32274</v>
      </c>
      <c r="I291" s="22">
        <v>27.2</v>
      </c>
      <c r="J291" s="28">
        <v>4.8</v>
      </c>
      <c r="K291" s="22"/>
    </row>
    <row r="292" spans="1:11" x14ac:dyDescent="0.35">
      <c r="A292" s="27">
        <v>44967</v>
      </c>
      <c r="B292" s="22">
        <v>816.5</v>
      </c>
      <c r="C292" s="22">
        <v>819</v>
      </c>
      <c r="D292" s="22">
        <v>802</v>
      </c>
      <c r="E292" s="22">
        <v>806.05</v>
      </c>
      <c r="F292" s="22">
        <v>4348</v>
      </c>
      <c r="G292" s="22">
        <v>29478513.149999999</v>
      </c>
      <c r="H292" s="22">
        <v>24385</v>
      </c>
      <c r="I292" s="22">
        <v>17</v>
      </c>
      <c r="J292" s="28">
        <v>-10.45</v>
      </c>
      <c r="K292" s="22"/>
    </row>
    <row r="293" spans="1:11" x14ac:dyDescent="0.35">
      <c r="A293" s="27">
        <v>44970</v>
      </c>
      <c r="B293" s="22">
        <v>818</v>
      </c>
      <c r="C293" s="22">
        <v>818</v>
      </c>
      <c r="D293" s="22">
        <v>787.7</v>
      </c>
      <c r="E293" s="22">
        <v>799.75</v>
      </c>
      <c r="F293" s="22">
        <v>7414</v>
      </c>
      <c r="G293" s="22">
        <v>55102818.600000001</v>
      </c>
      <c r="H293" s="22">
        <v>44944</v>
      </c>
      <c r="I293" s="22">
        <v>30.3</v>
      </c>
      <c r="J293" s="28">
        <v>-18.25</v>
      </c>
      <c r="K293" s="22"/>
    </row>
    <row r="294" spans="1:11" x14ac:dyDescent="0.35">
      <c r="A294" s="27">
        <v>44971</v>
      </c>
      <c r="B294" s="22">
        <v>799</v>
      </c>
      <c r="C294" s="22">
        <v>803.4</v>
      </c>
      <c r="D294" s="22">
        <v>783</v>
      </c>
      <c r="E294" s="22">
        <v>793.8</v>
      </c>
      <c r="F294" s="22">
        <v>6481</v>
      </c>
      <c r="G294" s="22">
        <v>35299761.899999999</v>
      </c>
      <c r="H294" s="22">
        <v>25333</v>
      </c>
      <c r="I294" s="22">
        <v>20.399999999999999</v>
      </c>
      <c r="J294" s="28">
        <v>-5.2</v>
      </c>
      <c r="K294" s="22"/>
    </row>
    <row r="295" spans="1:11" x14ac:dyDescent="0.35">
      <c r="A295" s="27">
        <v>44972</v>
      </c>
      <c r="B295" s="22">
        <v>801.75</v>
      </c>
      <c r="C295" s="22">
        <v>801.75</v>
      </c>
      <c r="D295" s="22">
        <v>788.95</v>
      </c>
      <c r="E295" s="22">
        <v>794.25</v>
      </c>
      <c r="F295" s="22">
        <v>3908</v>
      </c>
      <c r="G295" s="22">
        <v>25807581.850000001</v>
      </c>
      <c r="H295" s="22">
        <v>21341</v>
      </c>
      <c r="I295" s="22">
        <v>12.8</v>
      </c>
      <c r="J295" s="28">
        <v>-7.5</v>
      </c>
      <c r="K295" s="22"/>
    </row>
    <row r="296" spans="1:11" x14ac:dyDescent="0.35">
      <c r="A296" s="27">
        <v>44973</v>
      </c>
      <c r="B296" s="22">
        <v>797.15</v>
      </c>
      <c r="C296" s="22">
        <v>798</v>
      </c>
      <c r="D296" s="22">
        <v>777</v>
      </c>
      <c r="E296" s="22">
        <v>779.4</v>
      </c>
      <c r="F296" s="22">
        <v>6493</v>
      </c>
      <c r="G296" s="22">
        <v>63393495.450000003</v>
      </c>
      <c r="H296" s="22">
        <v>32921</v>
      </c>
      <c r="I296" s="22">
        <v>21</v>
      </c>
      <c r="J296" s="28">
        <v>-17.75</v>
      </c>
      <c r="K296" s="22"/>
    </row>
    <row r="297" spans="1:11" x14ac:dyDescent="0.35">
      <c r="A297" s="27">
        <v>44974</v>
      </c>
      <c r="B297" s="22">
        <v>783.25</v>
      </c>
      <c r="C297" s="22">
        <v>795.8</v>
      </c>
      <c r="D297" s="22">
        <v>774.5</v>
      </c>
      <c r="E297" s="22">
        <v>782.3</v>
      </c>
      <c r="F297" s="22">
        <v>1799</v>
      </c>
      <c r="G297" s="22">
        <v>57176467.450000003</v>
      </c>
      <c r="H297" s="22">
        <v>61299</v>
      </c>
      <c r="I297" s="22">
        <v>21.3</v>
      </c>
      <c r="J297" s="28">
        <v>-0.95</v>
      </c>
      <c r="K297" s="22"/>
    </row>
    <row r="298" spans="1:11" x14ac:dyDescent="0.35">
      <c r="A298" s="27">
        <v>44977</v>
      </c>
      <c r="B298" s="22">
        <v>784.75</v>
      </c>
      <c r="C298" s="22">
        <v>794.7</v>
      </c>
      <c r="D298" s="22">
        <v>772.5</v>
      </c>
      <c r="E298" s="22">
        <v>784.6</v>
      </c>
      <c r="F298" s="22">
        <v>3156</v>
      </c>
      <c r="G298" s="22">
        <v>31359475.800000001</v>
      </c>
      <c r="H298" s="22">
        <v>22940</v>
      </c>
      <c r="I298" s="22">
        <v>22.2</v>
      </c>
      <c r="J298" s="28">
        <v>-0.15</v>
      </c>
      <c r="K298" s="22"/>
    </row>
    <row r="299" spans="1:11" x14ac:dyDescent="0.35">
      <c r="A299" s="27">
        <v>44978</v>
      </c>
      <c r="B299" s="22">
        <v>790</v>
      </c>
      <c r="C299" s="22">
        <v>790</v>
      </c>
      <c r="D299" s="22">
        <v>774.1</v>
      </c>
      <c r="E299" s="22">
        <v>784.75</v>
      </c>
      <c r="F299" s="22">
        <v>4692</v>
      </c>
      <c r="G299" s="22">
        <v>23476146.350000001</v>
      </c>
      <c r="H299" s="22">
        <v>19135</v>
      </c>
      <c r="I299" s="22">
        <v>15.9</v>
      </c>
      <c r="J299" s="28">
        <v>-5.25</v>
      </c>
      <c r="K299" s="22"/>
    </row>
    <row r="300" spans="1:11" x14ac:dyDescent="0.35">
      <c r="A300" s="27">
        <v>44979</v>
      </c>
      <c r="B300" s="22">
        <v>788</v>
      </c>
      <c r="C300" s="22">
        <v>792.8</v>
      </c>
      <c r="D300" s="22">
        <v>774</v>
      </c>
      <c r="E300" s="22">
        <v>774.55</v>
      </c>
      <c r="F300" s="22">
        <v>3716</v>
      </c>
      <c r="G300" s="22">
        <v>50612361.950000003</v>
      </c>
      <c r="H300" s="22">
        <v>51241</v>
      </c>
      <c r="I300" s="22">
        <v>18.8</v>
      </c>
      <c r="J300" s="28">
        <v>-13.45</v>
      </c>
      <c r="K300" s="22"/>
    </row>
    <row r="301" spans="1:11" x14ac:dyDescent="0.35">
      <c r="A301" s="27">
        <v>44980</v>
      </c>
      <c r="B301" s="22">
        <v>786</v>
      </c>
      <c r="C301" s="22">
        <v>786</v>
      </c>
      <c r="D301" s="22">
        <v>759</v>
      </c>
      <c r="E301" s="22">
        <v>772</v>
      </c>
      <c r="F301" s="22">
        <v>3059</v>
      </c>
      <c r="G301" s="22">
        <v>19858686.25</v>
      </c>
      <c r="H301" s="22">
        <v>12015</v>
      </c>
      <c r="I301" s="22">
        <v>27</v>
      </c>
      <c r="J301" s="28">
        <v>-14</v>
      </c>
      <c r="K301" s="22"/>
    </row>
    <row r="302" spans="1:11" x14ac:dyDescent="0.35">
      <c r="A302" s="27">
        <v>44981</v>
      </c>
      <c r="B302" s="22">
        <v>779</v>
      </c>
      <c r="C302" s="22">
        <v>779</v>
      </c>
      <c r="D302" s="22">
        <v>761.55</v>
      </c>
      <c r="E302" s="22">
        <v>768.1</v>
      </c>
      <c r="F302" s="22">
        <v>3705</v>
      </c>
      <c r="G302" s="22">
        <v>17194018.050000001</v>
      </c>
      <c r="H302" s="22">
        <v>13565</v>
      </c>
      <c r="I302" s="22">
        <v>17.45</v>
      </c>
      <c r="J302" s="28">
        <v>-10.9</v>
      </c>
      <c r="K302" s="22"/>
    </row>
    <row r="303" spans="1:11" x14ac:dyDescent="0.35">
      <c r="A303" s="27">
        <v>44984</v>
      </c>
      <c r="B303" s="22">
        <v>770</v>
      </c>
      <c r="C303" s="22">
        <v>770.75</v>
      </c>
      <c r="D303" s="22">
        <v>745</v>
      </c>
      <c r="E303" s="22">
        <v>751.2</v>
      </c>
      <c r="F303" s="22">
        <v>6421</v>
      </c>
      <c r="G303" s="22">
        <v>54935482.799999997</v>
      </c>
      <c r="H303" s="22">
        <v>37237</v>
      </c>
      <c r="I303" s="22">
        <v>25.75</v>
      </c>
      <c r="J303" s="28">
        <v>-18.8</v>
      </c>
      <c r="K303" s="22"/>
    </row>
    <row r="304" spans="1:11" x14ac:dyDescent="0.35">
      <c r="A304" s="27">
        <v>44985</v>
      </c>
      <c r="B304" s="22">
        <v>751.2</v>
      </c>
      <c r="C304" s="22">
        <v>755.85</v>
      </c>
      <c r="D304" s="22">
        <v>735.55</v>
      </c>
      <c r="E304" s="22">
        <v>752.1</v>
      </c>
      <c r="F304" s="22">
        <v>3718</v>
      </c>
      <c r="G304" s="22">
        <v>33645031.899999999</v>
      </c>
      <c r="H304" s="22">
        <v>24718</v>
      </c>
      <c r="I304" s="22">
        <v>20.3</v>
      </c>
      <c r="J304" s="28">
        <v>0.9</v>
      </c>
      <c r="K304" s="22"/>
    </row>
    <row r="305" spans="1:13" x14ac:dyDescent="0.35">
      <c r="A305" s="27">
        <v>44986</v>
      </c>
      <c r="B305" s="22">
        <v>756</v>
      </c>
      <c r="C305" s="22">
        <v>764.6</v>
      </c>
      <c r="D305" s="22">
        <v>742</v>
      </c>
      <c r="E305" s="22">
        <v>758</v>
      </c>
      <c r="F305" s="22">
        <v>5098</v>
      </c>
      <c r="G305" s="22">
        <v>40014292.100000001</v>
      </c>
      <c r="H305" s="22">
        <v>35550</v>
      </c>
      <c r="I305" s="22">
        <v>22.6</v>
      </c>
      <c r="J305" s="28">
        <v>2</v>
      </c>
      <c r="K305" s="22"/>
    </row>
    <row r="306" spans="1:13" x14ac:dyDescent="0.35">
      <c r="A306" s="27">
        <v>44987</v>
      </c>
      <c r="B306" s="22">
        <v>758</v>
      </c>
      <c r="C306" s="22">
        <v>792.1</v>
      </c>
      <c r="D306" s="22">
        <v>754.25</v>
      </c>
      <c r="E306" s="22">
        <v>773.6</v>
      </c>
      <c r="F306" s="22">
        <v>3696</v>
      </c>
      <c r="G306" s="22">
        <v>26859369.75</v>
      </c>
      <c r="H306" s="22">
        <v>19440</v>
      </c>
      <c r="I306" s="22">
        <v>37.85</v>
      </c>
      <c r="J306" s="28">
        <v>15.6</v>
      </c>
      <c r="K306" s="22"/>
    </row>
    <row r="307" spans="1:13" x14ac:dyDescent="0.35">
      <c r="A307" s="27">
        <v>44988</v>
      </c>
      <c r="B307" s="22">
        <v>784</v>
      </c>
      <c r="C307" s="22">
        <v>791</v>
      </c>
      <c r="D307" s="22">
        <v>775</v>
      </c>
      <c r="E307" s="22">
        <v>784.05</v>
      </c>
      <c r="F307" s="22">
        <v>3679</v>
      </c>
      <c r="G307" s="22">
        <v>37102892.700000003</v>
      </c>
      <c r="H307" s="22">
        <v>26529</v>
      </c>
      <c r="I307" s="22">
        <v>16</v>
      </c>
      <c r="J307" s="28">
        <v>0.05</v>
      </c>
      <c r="K307" s="22"/>
    </row>
    <row r="308" spans="1:13" x14ac:dyDescent="0.35">
      <c r="A308" s="27">
        <v>44991</v>
      </c>
      <c r="B308" s="22">
        <v>788</v>
      </c>
      <c r="C308" s="22">
        <v>799</v>
      </c>
      <c r="D308" s="22">
        <v>779</v>
      </c>
      <c r="E308" s="22">
        <v>785.7</v>
      </c>
      <c r="F308" s="22">
        <v>4957</v>
      </c>
      <c r="G308" s="22">
        <v>27071090.449999999</v>
      </c>
      <c r="H308" s="22">
        <v>14854</v>
      </c>
      <c r="I308" s="22">
        <v>20</v>
      </c>
      <c r="J308" s="28">
        <v>-2.2999999999999998</v>
      </c>
      <c r="K308" s="22"/>
    </row>
    <row r="309" spans="1:13" x14ac:dyDescent="0.35">
      <c r="A309" s="27">
        <v>44993</v>
      </c>
      <c r="B309" s="22">
        <v>784</v>
      </c>
      <c r="C309" s="22">
        <v>805</v>
      </c>
      <c r="D309" s="22">
        <v>783.8</v>
      </c>
      <c r="E309" s="22">
        <v>797</v>
      </c>
      <c r="F309" s="22">
        <v>5570</v>
      </c>
      <c r="G309" s="22">
        <v>36769737.899999999</v>
      </c>
      <c r="H309" s="22">
        <v>24778</v>
      </c>
      <c r="I309" s="22">
        <v>21.2</v>
      </c>
      <c r="J309" s="28">
        <v>13</v>
      </c>
      <c r="K309" s="22"/>
    </row>
    <row r="310" spans="1:13" x14ac:dyDescent="0.35">
      <c r="A310" s="27">
        <v>44994</v>
      </c>
      <c r="B310" s="22">
        <v>804</v>
      </c>
      <c r="C310" s="22">
        <v>804.45</v>
      </c>
      <c r="D310" s="22">
        <v>786.9</v>
      </c>
      <c r="E310" s="22">
        <v>795.05</v>
      </c>
      <c r="F310" s="22">
        <v>2304</v>
      </c>
      <c r="G310" s="22">
        <v>11285844.699999999</v>
      </c>
      <c r="H310" s="22">
        <v>7554</v>
      </c>
      <c r="I310" s="22">
        <v>17.55</v>
      </c>
      <c r="J310" s="28">
        <v>-8.9499999999999993</v>
      </c>
      <c r="K310" s="22"/>
    </row>
    <row r="311" spans="1:13" x14ac:dyDescent="0.35">
      <c r="A311" s="27">
        <v>44995</v>
      </c>
      <c r="B311" s="22">
        <v>794.7</v>
      </c>
      <c r="C311" s="22">
        <v>809.2</v>
      </c>
      <c r="D311" s="22">
        <v>787.1</v>
      </c>
      <c r="E311" s="22">
        <v>801.4</v>
      </c>
      <c r="F311" s="22">
        <v>3162</v>
      </c>
      <c r="G311" s="22">
        <v>24571425.25</v>
      </c>
      <c r="H311" s="22">
        <v>14753</v>
      </c>
      <c r="I311" s="22">
        <v>22.1</v>
      </c>
      <c r="J311" s="28">
        <v>6.7</v>
      </c>
      <c r="K311" s="22"/>
    </row>
    <row r="312" spans="1:13" x14ac:dyDescent="0.35">
      <c r="A312" s="27">
        <v>44998</v>
      </c>
      <c r="B312" s="22">
        <v>795</v>
      </c>
      <c r="C312" s="22">
        <v>799.75</v>
      </c>
      <c r="D312" s="22">
        <v>769</v>
      </c>
      <c r="E312" s="22">
        <v>779.6</v>
      </c>
      <c r="F312" s="22">
        <v>2610</v>
      </c>
      <c r="G312" s="22">
        <v>18232315.649999999</v>
      </c>
      <c r="H312" s="22">
        <v>14131</v>
      </c>
      <c r="I312" s="22">
        <v>30.75</v>
      </c>
      <c r="J312" s="28">
        <v>-15.4</v>
      </c>
      <c r="K312" s="22"/>
    </row>
    <row r="313" spans="1:13" x14ac:dyDescent="0.35">
      <c r="A313" s="27">
        <v>44999</v>
      </c>
      <c r="B313" s="22">
        <v>779</v>
      </c>
      <c r="C313" s="22">
        <v>799.15</v>
      </c>
      <c r="D313" s="22">
        <v>779</v>
      </c>
      <c r="E313" s="22">
        <v>789.1</v>
      </c>
      <c r="F313" s="22">
        <v>5080</v>
      </c>
      <c r="G313" s="22">
        <v>25549839.100000001</v>
      </c>
      <c r="H313" s="22">
        <v>15314</v>
      </c>
      <c r="I313" s="22">
        <v>20.149999999999999</v>
      </c>
      <c r="J313" s="28">
        <v>10.1</v>
      </c>
      <c r="K313" s="22"/>
      <c r="M313">
        <f>(1772-809)/809</f>
        <v>1.1903584672435106</v>
      </c>
    </row>
    <row r="314" spans="1:13" x14ac:dyDescent="0.35">
      <c r="A314" s="27">
        <v>45000</v>
      </c>
      <c r="B314" s="22">
        <v>785.1</v>
      </c>
      <c r="C314" s="22">
        <v>804.35</v>
      </c>
      <c r="D314" s="22">
        <v>785.1</v>
      </c>
      <c r="E314" s="22">
        <v>796.95</v>
      </c>
      <c r="F314" s="22">
        <v>2494</v>
      </c>
      <c r="G314" s="22">
        <v>14737707.6</v>
      </c>
      <c r="H314" s="22">
        <v>9497</v>
      </c>
      <c r="I314" s="22">
        <v>19.25</v>
      </c>
      <c r="J314" s="28">
        <v>11.85</v>
      </c>
      <c r="K314" s="22"/>
    </row>
    <row r="315" spans="1:13" x14ac:dyDescent="0.35">
      <c r="A315" s="27">
        <v>45001</v>
      </c>
      <c r="B315" s="22">
        <v>789</v>
      </c>
      <c r="C315" s="22">
        <v>815</v>
      </c>
      <c r="D315" s="22">
        <v>789</v>
      </c>
      <c r="E315" s="22">
        <v>795.8</v>
      </c>
      <c r="F315" s="22">
        <v>5824</v>
      </c>
      <c r="G315" s="22">
        <v>35399750.149999999</v>
      </c>
      <c r="H315" s="22">
        <v>23475</v>
      </c>
      <c r="I315" s="22">
        <v>26</v>
      </c>
      <c r="J315" s="28">
        <v>6.8</v>
      </c>
      <c r="K315" s="22"/>
    </row>
    <row r="316" spans="1:13" x14ac:dyDescent="0.35">
      <c r="A316" s="27">
        <v>45002</v>
      </c>
      <c r="B316" s="22">
        <v>803.4</v>
      </c>
      <c r="C316" s="22">
        <v>825</v>
      </c>
      <c r="D316" s="22">
        <v>795</v>
      </c>
      <c r="E316" s="22">
        <v>812.65</v>
      </c>
      <c r="F316" s="22">
        <v>4990</v>
      </c>
      <c r="G316" s="22">
        <v>46084968.899999999</v>
      </c>
      <c r="H316" s="22">
        <v>42566</v>
      </c>
      <c r="I316" s="22">
        <v>30</v>
      </c>
      <c r="J316" s="28">
        <v>9.25</v>
      </c>
      <c r="K316" s="22"/>
    </row>
    <row r="317" spans="1:13" x14ac:dyDescent="0.35">
      <c r="A317" s="27">
        <v>45005</v>
      </c>
      <c r="B317" s="22">
        <v>805.2</v>
      </c>
      <c r="C317" s="22">
        <v>823</v>
      </c>
      <c r="D317" s="22">
        <v>805.2</v>
      </c>
      <c r="E317" s="22">
        <v>807.8</v>
      </c>
      <c r="F317" s="22">
        <v>4419</v>
      </c>
      <c r="G317" s="22">
        <v>23919379.199999999</v>
      </c>
      <c r="H317" s="22">
        <v>18505</v>
      </c>
      <c r="I317" s="22">
        <v>17.8</v>
      </c>
      <c r="J317" s="28">
        <v>2.6</v>
      </c>
      <c r="K317" s="22"/>
    </row>
    <row r="318" spans="1:13" x14ac:dyDescent="0.35">
      <c r="A318" s="27">
        <v>45006</v>
      </c>
      <c r="B318" s="22">
        <v>814</v>
      </c>
      <c r="C318" s="22">
        <v>818.8</v>
      </c>
      <c r="D318" s="22">
        <v>791.65</v>
      </c>
      <c r="E318" s="22">
        <v>798.55</v>
      </c>
      <c r="F318" s="22">
        <v>2614</v>
      </c>
      <c r="G318" s="22">
        <v>21955801.75</v>
      </c>
      <c r="H318" s="22">
        <v>14364</v>
      </c>
      <c r="I318" s="22">
        <v>27.15</v>
      </c>
      <c r="J318" s="28">
        <v>-15.45</v>
      </c>
      <c r="K318" s="22"/>
    </row>
    <row r="319" spans="1:13" x14ac:dyDescent="0.35">
      <c r="A319" s="27">
        <v>45007</v>
      </c>
      <c r="B319" s="22">
        <v>805</v>
      </c>
      <c r="C319" s="22">
        <v>818</v>
      </c>
      <c r="D319" s="22">
        <v>800.7</v>
      </c>
      <c r="E319" s="22">
        <v>812.55</v>
      </c>
      <c r="F319" s="22">
        <v>4274</v>
      </c>
      <c r="G319" s="22">
        <v>28920239.850000001</v>
      </c>
      <c r="H319" s="22">
        <v>22958</v>
      </c>
      <c r="I319" s="22">
        <v>17.3</v>
      </c>
      <c r="J319" s="28">
        <v>7.55</v>
      </c>
      <c r="K319" s="22"/>
    </row>
    <row r="320" spans="1:13" x14ac:dyDescent="0.35">
      <c r="A320" s="27">
        <v>45008</v>
      </c>
      <c r="B320" s="22">
        <v>801.25</v>
      </c>
      <c r="C320" s="22">
        <v>825.65</v>
      </c>
      <c r="D320" s="22">
        <v>798</v>
      </c>
      <c r="E320" s="22">
        <v>801.6</v>
      </c>
      <c r="F320" s="22">
        <v>3523</v>
      </c>
      <c r="G320" s="22">
        <v>34842259.450000003</v>
      </c>
      <c r="H320" s="22">
        <v>19920</v>
      </c>
      <c r="I320" s="22">
        <v>27.65</v>
      </c>
      <c r="J320" s="28">
        <v>0.35</v>
      </c>
      <c r="K320" s="22"/>
    </row>
    <row r="321" spans="1:11" x14ac:dyDescent="0.35">
      <c r="A321" s="27">
        <v>45009</v>
      </c>
      <c r="B321" s="22">
        <v>808</v>
      </c>
      <c r="C321" s="22">
        <v>816.3</v>
      </c>
      <c r="D321" s="22">
        <v>803.1</v>
      </c>
      <c r="E321" s="22">
        <v>814.05</v>
      </c>
      <c r="F321" s="22">
        <v>2856</v>
      </c>
      <c r="G321" s="22">
        <v>31192170.600000001</v>
      </c>
      <c r="H321" s="22">
        <v>22133</v>
      </c>
      <c r="I321" s="22">
        <v>13.2</v>
      </c>
      <c r="J321" s="28">
        <v>6.05</v>
      </c>
      <c r="K321" s="22"/>
    </row>
    <row r="322" spans="1:11" x14ac:dyDescent="0.35">
      <c r="A322" s="27">
        <v>45012</v>
      </c>
      <c r="B322" s="22">
        <v>819.7</v>
      </c>
      <c r="C322" s="22">
        <v>819.75</v>
      </c>
      <c r="D322" s="22">
        <v>802</v>
      </c>
      <c r="E322" s="22">
        <v>811.6</v>
      </c>
      <c r="F322" s="22">
        <v>4969</v>
      </c>
      <c r="G322" s="22">
        <v>33531618.850000001</v>
      </c>
      <c r="H322" s="22">
        <v>29521</v>
      </c>
      <c r="I322" s="22">
        <v>17.75</v>
      </c>
      <c r="J322" s="28">
        <v>-8.1</v>
      </c>
      <c r="K322" s="22">
        <f>(E325-E77)/E77</f>
        <v>0.32758053911900076</v>
      </c>
    </row>
    <row r="323" spans="1:11" x14ac:dyDescent="0.35">
      <c r="A323" s="27">
        <v>45013</v>
      </c>
      <c r="B323" s="22">
        <v>811</v>
      </c>
      <c r="C323" s="22">
        <v>818.4</v>
      </c>
      <c r="D323" s="22">
        <v>803.65</v>
      </c>
      <c r="E323" s="22">
        <v>816.5</v>
      </c>
      <c r="F323" s="22">
        <v>3548</v>
      </c>
      <c r="G323" s="22">
        <v>20139600.550000001</v>
      </c>
      <c r="H323" s="22">
        <v>14855</v>
      </c>
      <c r="I323" s="22">
        <v>14.75</v>
      </c>
      <c r="J323" s="28">
        <v>5.5</v>
      </c>
      <c r="K323" s="22"/>
    </row>
    <row r="324" spans="1:11" x14ac:dyDescent="0.35">
      <c r="A324" s="27">
        <v>45014</v>
      </c>
      <c r="B324" s="22">
        <v>808.05</v>
      </c>
      <c r="C324" s="22">
        <v>818</v>
      </c>
      <c r="D324" s="22">
        <v>805.55</v>
      </c>
      <c r="E324" s="22">
        <v>816.35</v>
      </c>
      <c r="F324" s="22">
        <v>4512</v>
      </c>
      <c r="G324" s="22">
        <v>45987519.600000001</v>
      </c>
      <c r="H324" s="22">
        <v>42725</v>
      </c>
      <c r="I324" s="22">
        <v>12.45</v>
      </c>
      <c r="J324" s="28">
        <v>8.3000000000000007</v>
      </c>
      <c r="K324" s="22"/>
    </row>
    <row r="325" spans="1:11" x14ac:dyDescent="0.35">
      <c r="A325" s="27">
        <v>45016</v>
      </c>
      <c r="B325" s="22">
        <v>817.9</v>
      </c>
      <c r="C325" s="22">
        <v>827.9</v>
      </c>
      <c r="D325" s="22">
        <v>803</v>
      </c>
      <c r="E325" s="22">
        <v>807.7</v>
      </c>
      <c r="F325" s="22">
        <v>6267</v>
      </c>
      <c r="G325" s="22">
        <v>48691713.200000003</v>
      </c>
      <c r="H325" s="22">
        <v>33324</v>
      </c>
      <c r="I325" s="22">
        <v>24.9</v>
      </c>
      <c r="J325" s="28">
        <v>-10.199999999999999</v>
      </c>
      <c r="K325" s="22"/>
    </row>
    <row r="326" spans="1:11" x14ac:dyDescent="0.35">
      <c r="A326" s="27">
        <v>45019</v>
      </c>
      <c r="B326" s="22">
        <v>814</v>
      </c>
      <c r="C326" s="22">
        <v>821.9</v>
      </c>
      <c r="D326" s="22">
        <v>806.1</v>
      </c>
      <c r="E326" s="22">
        <v>810.35</v>
      </c>
      <c r="F326" s="22">
        <v>8278</v>
      </c>
      <c r="G326" s="22">
        <v>45656999.149999999</v>
      </c>
      <c r="H326" s="22">
        <v>33281</v>
      </c>
      <c r="I326" s="22">
        <v>15.8</v>
      </c>
      <c r="J326" s="28">
        <v>-3.65</v>
      </c>
      <c r="K326" s="22"/>
    </row>
    <row r="327" spans="1:11" x14ac:dyDescent="0.35">
      <c r="A327" s="27">
        <v>45021</v>
      </c>
      <c r="B327" s="22">
        <v>810</v>
      </c>
      <c r="C327" s="22">
        <v>818</v>
      </c>
      <c r="D327" s="22">
        <v>795.2</v>
      </c>
      <c r="E327" s="22">
        <v>809.75</v>
      </c>
      <c r="F327" s="22">
        <v>7186</v>
      </c>
      <c r="G327" s="22">
        <v>56833786.399999999</v>
      </c>
      <c r="H327" s="22">
        <v>37037</v>
      </c>
      <c r="I327" s="22">
        <v>22.8</v>
      </c>
      <c r="J327" s="28">
        <v>-0.25</v>
      </c>
      <c r="K327" s="22"/>
    </row>
    <row r="328" spans="1:11" x14ac:dyDescent="0.35">
      <c r="A328" s="27">
        <v>45022</v>
      </c>
      <c r="B328" s="22">
        <v>806.85</v>
      </c>
      <c r="C328" s="22">
        <v>814.2</v>
      </c>
      <c r="D328" s="22">
        <v>806</v>
      </c>
      <c r="E328" s="22">
        <v>810.8</v>
      </c>
      <c r="F328" s="22">
        <v>5157</v>
      </c>
      <c r="G328" s="22">
        <v>56371279.100000001</v>
      </c>
      <c r="H328" s="22">
        <v>47370</v>
      </c>
      <c r="I328" s="22">
        <v>8.1999999999999993</v>
      </c>
      <c r="J328" s="28">
        <v>3.95</v>
      </c>
      <c r="K328" s="22"/>
    </row>
    <row r="329" spans="1:11" x14ac:dyDescent="0.35">
      <c r="A329" s="27">
        <v>45026</v>
      </c>
      <c r="B329" s="22">
        <v>813</v>
      </c>
      <c r="C329" s="22">
        <v>814.85</v>
      </c>
      <c r="D329" s="22">
        <v>806.25</v>
      </c>
      <c r="E329" s="22">
        <v>810</v>
      </c>
      <c r="F329" s="22">
        <v>4453</v>
      </c>
      <c r="G329" s="22">
        <v>56121147.399999999</v>
      </c>
      <c r="H329" s="22">
        <v>49954</v>
      </c>
      <c r="I329" s="22">
        <v>8.6</v>
      </c>
      <c r="J329" s="28">
        <v>-3</v>
      </c>
      <c r="K329" s="22"/>
    </row>
    <row r="330" spans="1:11" x14ac:dyDescent="0.35">
      <c r="A330" s="27">
        <v>45027</v>
      </c>
      <c r="B330" s="22">
        <v>810.4</v>
      </c>
      <c r="C330" s="22">
        <v>815</v>
      </c>
      <c r="D330" s="22">
        <v>807.5</v>
      </c>
      <c r="E330" s="22">
        <v>813.2</v>
      </c>
      <c r="F330" s="22">
        <v>6026</v>
      </c>
      <c r="G330" s="22">
        <v>80932113.650000006</v>
      </c>
      <c r="H330" s="22">
        <v>62931</v>
      </c>
      <c r="I330" s="22">
        <v>7.5</v>
      </c>
      <c r="J330" s="28">
        <v>2.8</v>
      </c>
      <c r="K330" s="22"/>
    </row>
    <row r="331" spans="1:11" x14ac:dyDescent="0.35">
      <c r="A331" s="27">
        <v>45028</v>
      </c>
      <c r="B331" s="22">
        <v>815</v>
      </c>
      <c r="C331" s="22">
        <v>835.5</v>
      </c>
      <c r="D331" s="22">
        <v>806</v>
      </c>
      <c r="E331" s="22">
        <v>830.25</v>
      </c>
      <c r="F331" s="22">
        <v>12357</v>
      </c>
      <c r="G331" s="22">
        <v>175229140.44999999</v>
      </c>
      <c r="H331" s="22">
        <v>74075</v>
      </c>
      <c r="I331" s="22">
        <v>29.5</v>
      </c>
      <c r="J331" s="28">
        <v>15.25</v>
      </c>
      <c r="K331" s="22"/>
    </row>
    <row r="332" spans="1:11" x14ac:dyDescent="0.35">
      <c r="A332" s="27">
        <v>45029</v>
      </c>
      <c r="B332" s="22">
        <v>838.9</v>
      </c>
      <c r="C332" s="22">
        <v>884.55</v>
      </c>
      <c r="D332" s="22">
        <v>835.35</v>
      </c>
      <c r="E332" s="22">
        <v>851.85</v>
      </c>
      <c r="F332" s="22">
        <v>32750</v>
      </c>
      <c r="G332" s="22">
        <v>736830991.35000002</v>
      </c>
      <c r="H332" s="22">
        <v>201643</v>
      </c>
      <c r="I332" s="22">
        <v>49.2</v>
      </c>
      <c r="J332" s="28">
        <v>12.95</v>
      </c>
      <c r="K332" s="22"/>
    </row>
    <row r="333" spans="1:11" x14ac:dyDescent="0.35">
      <c r="A333" s="27">
        <v>45033</v>
      </c>
      <c r="B333" s="22">
        <v>851.85</v>
      </c>
      <c r="C333" s="22">
        <v>859</v>
      </c>
      <c r="D333" s="22">
        <v>840.45</v>
      </c>
      <c r="E333" s="22">
        <v>854.25</v>
      </c>
      <c r="F333" s="22">
        <v>8841</v>
      </c>
      <c r="G333" s="22">
        <v>83347742.549999997</v>
      </c>
      <c r="H333" s="22">
        <v>34297</v>
      </c>
      <c r="I333" s="22">
        <v>18.55</v>
      </c>
      <c r="J333" s="28">
        <v>2.4</v>
      </c>
      <c r="K333" s="22"/>
    </row>
    <row r="334" spans="1:11" x14ac:dyDescent="0.35">
      <c r="A334" s="27">
        <v>45034</v>
      </c>
      <c r="B334" s="22">
        <v>859</v>
      </c>
      <c r="C334" s="22">
        <v>859</v>
      </c>
      <c r="D334" s="22">
        <v>849</v>
      </c>
      <c r="E334" s="22">
        <v>854.35</v>
      </c>
      <c r="F334" s="22">
        <v>3417</v>
      </c>
      <c r="G334" s="22">
        <v>50525176.399999999</v>
      </c>
      <c r="H334" s="22">
        <v>37200</v>
      </c>
      <c r="I334" s="22">
        <v>10</v>
      </c>
      <c r="J334" s="28">
        <v>-4.6500000000000004</v>
      </c>
      <c r="K334" s="22"/>
    </row>
    <row r="335" spans="1:11" x14ac:dyDescent="0.35">
      <c r="A335" s="27">
        <v>45035</v>
      </c>
      <c r="B335" s="22">
        <v>854</v>
      </c>
      <c r="C335" s="22">
        <v>871.05</v>
      </c>
      <c r="D335" s="22">
        <v>849</v>
      </c>
      <c r="E335" s="22">
        <v>859.45</v>
      </c>
      <c r="F335" s="22">
        <v>5988</v>
      </c>
      <c r="G335" s="22">
        <v>108870697</v>
      </c>
      <c r="H335" s="22">
        <v>63204</v>
      </c>
      <c r="I335" s="22">
        <v>22.05</v>
      </c>
      <c r="J335" s="28">
        <v>5.45</v>
      </c>
      <c r="K335" s="22"/>
    </row>
    <row r="336" spans="1:11" x14ac:dyDescent="0.35">
      <c r="A336" s="27">
        <v>45036</v>
      </c>
      <c r="B336" s="22">
        <v>859.45</v>
      </c>
      <c r="C336" s="22">
        <v>865.5</v>
      </c>
      <c r="D336" s="22">
        <v>858.15</v>
      </c>
      <c r="E336" s="22">
        <v>860.75</v>
      </c>
      <c r="F336" s="22">
        <v>2835</v>
      </c>
      <c r="G336" s="22">
        <v>27490478.100000001</v>
      </c>
      <c r="H336" s="22">
        <v>16590</v>
      </c>
      <c r="I336" s="22">
        <v>7.35</v>
      </c>
      <c r="J336" s="28">
        <v>1.3</v>
      </c>
      <c r="K336" s="22"/>
    </row>
    <row r="337" spans="1:11" x14ac:dyDescent="0.35">
      <c r="A337" s="27">
        <v>45037</v>
      </c>
      <c r="B337" s="22">
        <v>860.5</v>
      </c>
      <c r="C337" s="22">
        <v>864.75</v>
      </c>
      <c r="D337" s="22">
        <v>856</v>
      </c>
      <c r="E337" s="22">
        <v>858.35</v>
      </c>
      <c r="F337" s="22">
        <v>1683</v>
      </c>
      <c r="G337" s="22">
        <v>19503336.050000001</v>
      </c>
      <c r="H337" s="22">
        <v>12414</v>
      </c>
      <c r="I337" s="22">
        <v>8.75</v>
      </c>
      <c r="J337" s="28">
        <v>-2.15</v>
      </c>
      <c r="K337" s="22"/>
    </row>
    <row r="338" spans="1:11" x14ac:dyDescent="0.35">
      <c r="A338" s="27">
        <v>45040</v>
      </c>
      <c r="B338" s="22">
        <v>858.5</v>
      </c>
      <c r="C338" s="22">
        <v>862.65</v>
      </c>
      <c r="D338" s="22">
        <v>852.05</v>
      </c>
      <c r="E338" s="22">
        <v>854.9</v>
      </c>
      <c r="F338" s="22">
        <v>1882</v>
      </c>
      <c r="G338" s="22">
        <v>22035444.699999999</v>
      </c>
      <c r="H338" s="22">
        <v>15212</v>
      </c>
      <c r="I338" s="22">
        <v>10.6</v>
      </c>
      <c r="J338" s="28">
        <v>-3.6</v>
      </c>
      <c r="K338" s="22"/>
    </row>
    <row r="339" spans="1:11" x14ac:dyDescent="0.35">
      <c r="A339" s="27">
        <v>45041</v>
      </c>
      <c r="B339" s="22">
        <v>859.7</v>
      </c>
      <c r="C339" s="22">
        <v>860</v>
      </c>
      <c r="D339" s="22">
        <v>849</v>
      </c>
      <c r="E339" s="22">
        <v>854.1</v>
      </c>
      <c r="F339" s="22">
        <v>3201</v>
      </c>
      <c r="G339" s="22">
        <v>33976562.549999997</v>
      </c>
      <c r="H339" s="22">
        <v>23684</v>
      </c>
      <c r="I339" s="22">
        <v>11</v>
      </c>
      <c r="J339" s="28">
        <v>-5.6</v>
      </c>
      <c r="K339" s="22"/>
    </row>
    <row r="340" spans="1:11" x14ac:dyDescent="0.35">
      <c r="A340" s="27">
        <v>45042</v>
      </c>
      <c r="B340" s="22">
        <v>858.75</v>
      </c>
      <c r="C340" s="22">
        <v>859</v>
      </c>
      <c r="D340" s="22">
        <v>852</v>
      </c>
      <c r="E340" s="22">
        <v>855.25</v>
      </c>
      <c r="F340" s="22">
        <v>1216</v>
      </c>
      <c r="G340" s="22">
        <v>12935866.6</v>
      </c>
      <c r="H340" s="22">
        <v>9808</v>
      </c>
      <c r="I340" s="22">
        <v>7</v>
      </c>
      <c r="J340" s="28">
        <v>-3.5</v>
      </c>
      <c r="K340" s="22"/>
    </row>
    <row r="341" spans="1:11" x14ac:dyDescent="0.35">
      <c r="A341" s="27">
        <v>45043</v>
      </c>
      <c r="B341" s="22">
        <v>862.75</v>
      </c>
      <c r="C341" s="22">
        <v>862.75</v>
      </c>
      <c r="D341" s="22">
        <v>854.25</v>
      </c>
      <c r="E341" s="22">
        <v>856.25</v>
      </c>
      <c r="F341" s="22">
        <v>1046</v>
      </c>
      <c r="G341" s="22">
        <v>11763984.6</v>
      </c>
      <c r="H341" s="22">
        <v>7391</v>
      </c>
      <c r="I341" s="22">
        <v>8.5</v>
      </c>
      <c r="J341" s="28">
        <v>-6.5</v>
      </c>
      <c r="K341" s="22"/>
    </row>
    <row r="342" spans="1:11" x14ac:dyDescent="0.35">
      <c r="A342" s="27">
        <v>45044</v>
      </c>
      <c r="B342" s="22">
        <v>855</v>
      </c>
      <c r="C342" s="22">
        <v>877.9</v>
      </c>
      <c r="D342" s="22">
        <v>850.8</v>
      </c>
      <c r="E342" s="22">
        <v>863.55</v>
      </c>
      <c r="F342" s="22">
        <v>6271</v>
      </c>
      <c r="G342" s="22">
        <v>67012606.299999997</v>
      </c>
      <c r="H342" s="22">
        <v>42057</v>
      </c>
      <c r="I342" s="22">
        <v>27.1</v>
      </c>
      <c r="J342" s="28">
        <v>8.5500000000000007</v>
      </c>
      <c r="K342" s="22"/>
    </row>
    <row r="343" spans="1:11" x14ac:dyDescent="0.35">
      <c r="A343" s="27">
        <v>45048</v>
      </c>
      <c r="B343" s="22">
        <v>863.5</v>
      </c>
      <c r="C343" s="22">
        <v>900.95</v>
      </c>
      <c r="D343" s="22">
        <v>863.45</v>
      </c>
      <c r="E343" s="22">
        <v>872</v>
      </c>
      <c r="F343" s="22">
        <v>7932</v>
      </c>
      <c r="G343" s="22">
        <v>132322772.45</v>
      </c>
      <c r="H343" s="22">
        <v>51909</v>
      </c>
      <c r="I343" s="22">
        <v>37.5</v>
      </c>
      <c r="J343" s="28">
        <v>8.5</v>
      </c>
      <c r="K343" s="22"/>
    </row>
    <row r="344" spans="1:11" x14ac:dyDescent="0.35">
      <c r="A344" s="27">
        <v>45049</v>
      </c>
      <c r="B344" s="22">
        <v>875.8</v>
      </c>
      <c r="C344" s="22">
        <v>884.35</v>
      </c>
      <c r="D344" s="22">
        <v>871.95</v>
      </c>
      <c r="E344" s="22">
        <v>877.95</v>
      </c>
      <c r="F344" s="22">
        <v>3719</v>
      </c>
      <c r="G344" s="22">
        <v>37558469.399999999</v>
      </c>
      <c r="H344" s="22">
        <v>24976</v>
      </c>
      <c r="I344" s="22">
        <v>12.4</v>
      </c>
      <c r="J344" s="28">
        <v>2.15</v>
      </c>
      <c r="K344" s="22"/>
    </row>
    <row r="345" spans="1:11" x14ac:dyDescent="0.35">
      <c r="A345" s="27">
        <v>45050</v>
      </c>
      <c r="B345" s="22">
        <v>882</v>
      </c>
      <c r="C345" s="22">
        <v>889.75</v>
      </c>
      <c r="D345" s="22">
        <v>876.5</v>
      </c>
      <c r="E345" s="22">
        <v>878.55</v>
      </c>
      <c r="F345" s="22">
        <v>2676</v>
      </c>
      <c r="G345" s="22">
        <v>36961820.100000001</v>
      </c>
      <c r="H345" s="22">
        <v>24868</v>
      </c>
      <c r="I345" s="22">
        <v>13.25</v>
      </c>
      <c r="J345" s="28">
        <v>-3.45</v>
      </c>
      <c r="K345" s="22"/>
    </row>
    <row r="346" spans="1:11" x14ac:dyDescent="0.35">
      <c r="A346" s="27">
        <v>45051</v>
      </c>
      <c r="B346" s="22">
        <v>879.45</v>
      </c>
      <c r="C346" s="22">
        <v>886</v>
      </c>
      <c r="D346" s="22">
        <v>873.5</v>
      </c>
      <c r="E346" s="22">
        <v>876.45</v>
      </c>
      <c r="F346" s="22">
        <v>2593</v>
      </c>
      <c r="G346" s="22">
        <v>27240546.449999999</v>
      </c>
      <c r="H346" s="22">
        <v>18234</v>
      </c>
      <c r="I346" s="22">
        <v>12.5</v>
      </c>
      <c r="J346" s="28">
        <v>-3</v>
      </c>
      <c r="K346" s="22"/>
    </row>
    <row r="347" spans="1:11" x14ac:dyDescent="0.35">
      <c r="A347" s="27">
        <v>45054</v>
      </c>
      <c r="B347" s="22">
        <v>884.75</v>
      </c>
      <c r="C347" s="22">
        <v>887</v>
      </c>
      <c r="D347" s="22">
        <v>868.5</v>
      </c>
      <c r="E347" s="22">
        <v>869.95</v>
      </c>
      <c r="F347" s="22">
        <v>5794</v>
      </c>
      <c r="G347" s="22">
        <v>64109345.299999997</v>
      </c>
      <c r="H347" s="22">
        <v>47854</v>
      </c>
      <c r="I347" s="22">
        <v>18.5</v>
      </c>
      <c r="J347" s="28">
        <v>-14.8</v>
      </c>
      <c r="K347" s="22"/>
    </row>
    <row r="348" spans="1:11" x14ac:dyDescent="0.35">
      <c r="A348" s="27">
        <v>45055</v>
      </c>
      <c r="B348" s="22">
        <v>878</v>
      </c>
      <c r="C348" s="22">
        <v>879</v>
      </c>
      <c r="D348" s="22">
        <v>868.5</v>
      </c>
      <c r="E348" s="22">
        <v>870.65</v>
      </c>
      <c r="F348" s="22">
        <v>1631</v>
      </c>
      <c r="G348" s="22">
        <v>29797727.649999999</v>
      </c>
      <c r="H348" s="22">
        <v>24761</v>
      </c>
      <c r="I348" s="22">
        <v>10.5</v>
      </c>
      <c r="J348" s="28">
        <v>-7.35</v>
      </c>
      <c r="K348" s="22"/>
    </row>
    <row r="349" spans="1:11" x14ac:dyDescent="0.35">
      <c r="A349" s="27">
        <v>45056</v>
      </c>
      <c r="B349" s="22">
        <v>871.1</v>
      </c>
      <c r="C349" s="22">
        <v>880.5</v>
      </c>
      <c r="D349" s="22">
        <v>866</v>
      </c>
      <c r="E349" s="22">
        <v>870.7</v>
      </c>
      <c r="F349" s="22">
        <v>3305</v>
      </c>
      <c r="G349" s="22">
        <v>39905148.100000001</v>
      </c>
      <c r="H349" s="22">
        <v>22077</v>
      </c>
      <c r="I349" s="22">
        <v>14.5</v>
      </c>
      <c r="J349" s="28">
        <v>-0.4</v>
      </c>
      <c r="K349" s="22"/>
    </row>
    <row r="350" spans="1:11" x14ac:dyDescent="0.35">
      <c r="A350" s="27">
        <v>45057</v>
      </c>
      <c r="B350" s="22">
        <v>866.25</v>
      </c>
      <c r="C350" s="22">
        <v>888</v>
      </c>
      <c r="D350" s="22">
        <v>866.25</v>
      </c>
      <c r="E350" s="22">
        <v>881.55</v>
      </c>
      <c r="F350" s="22">
        <v>6469</v>
      </c>
      <c r="G350" s="22">
        <v>57424890.549999997</v>
      </c>
      <c r="H350" s="22">
        <v>39409</v>
      </c>
      <c r="I350" s="22">
        <v>21.75</v>
      </c>
      <c r="J350" s="28">
        <v>15.3</v>
      </c>
      <c r="K350" s="22"/>
    </row>
    <row r="351" spans="1:11" x14ac:dyDescent="0.35">
      <c r="A351" s="27">
        <v>45058</v>
      </c>
      <c r="B351" s="22">
        <v>885</v>
      </c>
      <c r="C351" s="22">
        <v>885</v>
      </c>
      <c r="D351" s="22">
        <v>871</v>
      </c>
      <c r="E351" s="22">
        <v>871.5</v>
      </c>
      <c r="F351" s="22">
        <v>3964</v>
      </c>
      <c r="G351" s="22">
        <v>28324187.350000001</v>
      </c>
      <c r="H351" s="22">
        <v>19216</v>
      </c>
      <c r="I351" s="22">
        <v>14</v>
      </c>
      <c r="J351" s="28">
        <v>-13.5</v>
      </c>
      <c r="K351" s="22"/>
    </row>
    <row r="352" spans="1:11" x14ac:dyDescent="0.35">
      <c r="A352" s="27">
        <v>45061</v>
      </c>
      <c r="B352" s="22">
        <v>871.5</v>
      </c>
      <c r="C352" s="22">
        <v>876</v>
      </c>
      <c r="D352" s="22">
        <v>839.75</v>
      </c>
      <c r="E352" s="22">
        <v>842.9</v>
      </c>
      <c r="F352" s="22">
        <v>7286</v>
      </c>
      <c r="G352" s="22">
        <v>75646085.75</v>
      </c>
      <c r="H352" s="22">
        <v>62908</v>
      </c>
      <c r="I352" s="22">
        <v>36.25</v>
      </c>
      <c r="J352" s="28">
        <v>-28.6</v>
      </c>
      <c r="K352" s="22"/>
    </row>
    <row r="353" spans="1:11" x14ac:dyDescent="0.35">
      <c r="A353" s="27">
        <v>45062</v>
      </c>
      <c r="B353" s="22">
        <v>845</v>
      </c>
      <c r="C353" s="22">
        <v>852.85</v>
      </c>
      <c r="D353" s="22">
        <v>835.75</v>
      </c>
      <c r="E353" s="22">
        <v>840.6</v>
      </c>
      <c r="F353" s="22">
        <v>6460</v>
      </c>
      <c r="G353" s="22">
        <v>50380767.899999999</v>
      </c>
      <c r="H353" s="22">
        <v>32928</v>
      </c>
      <c r="I353" s="22">
        <v>17.100000000000001</v>
      </c>
      <c r="J353" s="28">
        <v>-4.4000000000000004</v>
      </c>
      <c r="K353" s="22"/>
    </row>
    <row r="354" spans="1:11" x14ac:dyDescent="0.35">
      <c r="A354" s="27">
        <v>45063</v>
      </c>
      <c r="B354" s="22">
        <v>840</v>
      </c>
      <c r="C354" s="22">
        <v>852.35</v>
      </c>
      <c r="D354" s="22">
        <v>840</v>
      </c>
      <c r="E354" s="22">
        <v>850.85</v>
      </c>
      <c r="F354" s="22">
        <v>2210</v>
      </c>
      <c r="G354" s="22">
        <v>15981133.65</v>
      </c>
      <c r="H354" s="22">
        <v>10505</v>
      </c>
      <c r="I354" s="22">
        <v>12.35</v>
      </c>
      <c r="J354" s="28">
        <v>10.85</v>
      </c>
      <c r="K354" s="22"/>
    </row>
    <row r="355" spans="1:11" x14ac:dyDescent="0.35">
      <c r="A355" s="27">
        <v>45064</v>
      </c>
      <c r="B355" s="22">
        <v>859.4</v>
      </c>
      <c r="C355" s="22">
        <v>859.4</v>
      </c>
      <c r="D355" s="22">
        <v>847.15</v>
      </c>
      <c r="E355" s="22">
        <v>853.3</v>
      </c>
      <c r="F355" s="22">
        <v>1929</v>
      </c>
      <c r="G355" s="22">
        <v>16337117.449999999</v>
      </c>
      <c r="H355" s="22">
        <v>10679</v>
      </c>
      <c r="I355" s="22">
        <v>12.25</v>
      </c>
      <c r="J355" s="28">
        <v>-6.1</v>
      </c>
      <c r="K355" s="22"/>
    </row>
    <row r="356" spans="1:11" x14ac:dyDescent="0.35">
      <c r="A356" s="27">
        <v>45065</v>
      </c>
      <c r="B356" s="22">
        <v>860</v>
      </c>
      <c r="C356" s="22">
        <v>863</v>
      </c>
      <c r="D356" s="22">
        <v>847.25</v>
      </c>
      <c r="E356" s="22">
        <v>862.45</v>
      </c>
      <c r="F356" s="22">
        <v>2985</v>
      </c>
      <c r="G356" s="22">
        <v>16303076.699999999</v>
      </c>
      <c r="H356" s="22">
        <v>9407</v>
      </c>
      <c r="I356" s="22">
        <v>15.75</v>
      </c>
      <c r="J356" s="28">
        <v>2.4500000000000002</v>
      </c>
      <c r="K356" s="22"/>
    </row>
    <row r="357" spans="1:11" x14ac:dyDescent="0.35">
      <c r="A357" s="27">
        <v>45068</v>
      </c>
      <c r="B357" s="22">
        <v>863</v>
      </c>
      <c r="C357" s="22">
        <v>865.5</v>
      </c>
      <c r="D357" s="22">
        <v>855</v>
      </c>
      <c r="E357" s="22">
        <v>864.35</v>
      </c>
      <c r="F357" s="22">
        <v>1526</v>
      </c>
      <c r="G357" s="22">
        <v>11910207.550000001</v>
      </c>
      <c r="H357" s="22">
        <v>8136</v>
      </c>
      <c r="I357" s="22">
        <v>10.5</v>
      </c>
      <c r="J357" s="28">
        <v>1.35</v>
      </c>
      <c r="K357" s="22"/>
    </row>
    <row r="358" spans="1:11" x14ac:dyDescent="0.35">
      <c r="A358" s="27">
        <v>45069</v>
      </c>
      <c r="B358" s="22">
        <v>862.05</v>
      </c>
      <c r="C358" s="22">
        <v>870.5</v>
      </c>
      <c r="D358" s="22">
        <v>849.5</v>
      </c>
      <c r="E358" s="22">
        <v>853.85</v>
      </c>
      <c r="F358" s="22">
        <v>4796</v>
      </c>
      <c r="G358" s="22">
        <v>41152808.100000001</v>
      </c>
      <c r="H358" s="22">
        <v>23034</v>
      </c>
      <c r="I358" s="22">
        <v>21</v>
      </c>
      <c r="J358" s="28">
        <v>-8.1999999999999993</v>
      </c>
      <c r="K358" s="22"/>
    </row>
    <row r="359" spans="1:11" x14ac:dyDescent="0.35">
      <c r="A359" s="27">
        <v>45070</v>
      </c>
      <c r="B359" s="22">
        <v>857.25</v>
      </c>
      <c r="C359" s="22">
        <v>859.9</v>
      </c>
      <c r="D359" s="22">
        <v>843.3</v>
      </c>
      <c r="E359" s="22">
        <v>850</v>
      </c>
      <c r="F359" s="22">
        <v>2731</v>
      </c>
      <c r="G359" s="22">
        <v>33636074.950000003</v>
      </c>
      <c r="H359" s="22">
        <v>18981</v>
      </c>
      <c r="I359" s="22">
        <v>16.600000000000001</v>
      </c>
      <c r="J359" s="28">
        <v>-7.25</v>
      </c>
      <c r="K359" s="22"/>
    </row>
    <row r="360" spans="1:11" x14ac:dyDescent="0.35">
      <c r="A360" s="27">
        <v>45071</v>
      </c>
      <c r="B360" s="22">
        <v>853.35</v>
      </c>
      <c r="C360" s="22">
        <v>853.6</v>
      </c>
      <c r="D360" s="22">
        <v>845</v>
      </c>
      <c r="E360" s="22">
        <v>849.9</v>
      </c>
      <c r="F360" s="22">
        <v>1545</v>
      </c>
      <c r="G360" s="22">
        <v>12750701.6</v>
      </c>
      <c r="H360" s="22">
        <v>8561</v>
      </c>
      <c r="I360" s="22">
        <v>8.6</v>
      </c>
      <c r="J360" s="28">
        <v>-3.45</v>
      </c>
      <c r="K360" s="22"/>
    </row>
    <row r="361" spans="1:11" x14ac:dyDescent="0.35">
      <c r="A361" s="27">
        <v>45072</v>
      </c>
      <c r="B361" s="22">
        <v>851.6</v>
      </c>
      <c r="C361" s="22">
        <v>855</v>
      </c>
      <c r="D361" s="22">
        <v>847</v>
      </c>
      <c r="E361" s="22">
        <v>850.9</v>
      </c>
      <c r="F361" s="22">
        <v>1526</v>
      </c>
      <c r="G361" s="22">
        <v>10261838.300000001</v>
      </c>
      <c r="H361" s="22">
        <v>6393</v>
      </c>
      <c r="I361" s="22">
        <v>8</v>
      </c>
      <c r="J361" s="28">
        <v>-0.7</v>
      </c>
      <c r="K361" s="22"/>
    </row>
    <row r="362" spans="1:11" x14ac:dyDescent="0.35">
      <c r="A362" s="32">
        <v>45075</v>
      </c>
      <c r="B362" s="33">
        <v>847</v>
      </c>
      <c r="C362" s="33">
        <v>862</v>
      </c>
      <c r="D362" s="33">
        <v>845.05</v>
      </c>
      <c r="E362" s="33">
        <v>859.6</v>
      </c>
      <c r="F362" s="33">
        <v>1290</v>
      </c>
      <c r="G362" s="33">
        <v>13799777.949999999</v>
      </c>
      <c r="H362" s="33">
        <v>9488</v>
      </c>
      <c r="I362" s="33">
        <v>16.95</v>
      </c>
      <c r="J362" s="34">
        <v>12.6</v>
      </c>
      <c r="K362" s="3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81D0-5D47-4BAA-B721-F25B11D2BD1D}">
  <sheetPr codeName="Sheet2"/>
  <dimension ref="C1:J65"/>
  <sheetViews>
    <sheetView showGridLines="0" workbookViewId="0">
      <pane xSplit="3" ySplit="6" topLeftCell="D53" activePane="bottomRight" state="frozen"/>
      <selection pane="topRight" activeCell="D1" sqref="D1"/>
      <selection pane="bottomLeft" activeCell="A7" sqref="A7"/>
      <selection pane="bottomRight" activeCell="H49" sqref="H49"/>
    </sheetView>
  </sheetViews>
  <sheetFormatPr defaultRowHeight="14.5" x14ac:dyDescent="0.35"/>
  <cols>
    <col min="3" max="3" width="70" customWidth="1"/>
    <col min="4" max="4" width="11.6328125" customWidth="1"/>
    <col min="5" max="5" width="11.36328125" customWidth="1"/>
    <col min="6" max="6" width="12.6328125" customWidth="1"/>
    <col min="7" max="7" width="10.36328125" customWidth="1"/>
    <col min="8" max="10" width="10" bestFit="1" customWidth="1"/>
  </cols>
  <sheetData>
    <row r="1" spans="3:10" x14ac:dyDescent="0.35">
      <c r="C1" s="1" t="s">
        <v>4</v>
      </c>
    </row>
    <row r="2" spans="3:10" x14ac:dyDescent="0.35">
      <c r="C2" s="1" t="s">
        <v>71</v>
      </c>
    </row>
    <row r="3" spans="3:10" x14ac:dyDescent="0.35">
      <c r="C3" t="s">
        <v>6</v>
      </c>
    </row>
    <row r="4" spans="3:10" x14ac:dyDescent="0.35">
      <c r="C4" t="s">
        <v>0</v>
      </c>
    </row>
    <row r="5" spans="3:10" x14ac:dyDescent="0.35">
      <c r="C5" s="2" t="s">
        <v>1</v>
      </c>
      <c r="D5" s="6" t="s">
        <v>7</v>
      </c>
      <c r="E5" s="6" t="s">
        <v>2</v>
      </c>
      <c r="F5" s="6" t="s">
        <v>2</v>
      </c>
      <c r="G5" s="6" t="s">
        <v>2</v>
      </c>
      <c r="H5" s="6" t="s">
        <v>138</v>
      </c>
      <c r="I5" s="6" t="s">
        <v>138</v>
      </c>
      <c r="J5" s="6" t="s">
        <v>138</v>
      </c>
    </row>
    <row r="6" spans="3:10" x14ac:dyDescent="0.35">
      <c r="C6" s="1" t="s">
        <v>3</v>
      </c>
      <c r="D6" s="1">
        <v>2020</v>
      </c>
      <c r="E6" s="1">
        <v>2021</v>
      </c>
      <c r="F6" s="1">
        <v>2022</v>
      </c>
      <c r="G6" s="1">
        <v>2023</v>
      </c>
      <c r="H6" s="1">
        <v>2024</v>
      </c>
      <c r="I6" s="1">
        <v>2025</v>
      </c>
      <c r="J6" s="1">
        <v>2026</v>
      </c>
    </row>
    <row r="8" spans="3:10" x14ac:dyDescent="0.35">
      <c r="C8" s="1" t="s">
        <v>73</v>
      </c>
    </row>
    <row r="9" spans="3:10" x14ac:dyDescent="0.35">
      <c r="C9" s="2" t="s">
        <v>57</v>
      </c>
      <c r="D9" s="7">
        <f>'Income Statement'!D18</f>
        <v>8660.6899999999987</v>
      </c>
      <c r="E9" s="7">
        <f>'Income Statement'!E18</f>
        <v>6288.2699999999968</v>
      </c>
      <c r="F9" s="7">
        <f>'Income Statement'!F18</f>
        <v>16735.04</v>
      </c>
      <c r="G9" s="7">
        <f>'Income Statement'!G18</f>
        <v>22789.150000000009</v>
      </c>
      <c r="H9" s="7">
        <f>'Income Statement'!H18</f>
        <v>28783.636618751261</v>
      </c>
      <c r="I9" s="7">
        <f>'Income Statement'!I18</f>
        <v>41223.46310324152</v>
      </c>
      <c r="J9" s="7">
        <f>'Income Statement'!J18</f>
        <v>59212.488810904295</v>
      </c>
    </row>
    <row r="10" spans="3:10" x14ac:dyDescent="0.35">
      <c r="C10" t="s">
        <v>74</v>
      </c>
    </row>
    <row r="11" spans="3:10" x14ac:dyDescent="0.35">
      <c r="C11" t="s">
        <v>75</v>
      </c>
      <c r="D11">
        <v>2160.29</v>
      </c>
      <c r="E11">
        <v>1772.9</v>
      </c>
      <c r="F11">
        <v>1565.07</v>
      </c>
      <c r="G11">
        <v>1661.22</v>
      </c>
      <c r="H11" s="4">
        <f>-'Asset Schedule'!H11</f>
        <v>1801.7740650000001</v>
      </c>
      <c r="I11" s="4">
        <f>-'Asset Schedule'!I11</f>
        <v>1962.7770654360002</v>
      </c>
      <c r="J11" s="4">
        <f>-'Asset Schedule'!J11</f>
        <v>1818.4727883650796</v>
      </c>
    </row>
    <row r="12" spans="3:10" x14ac:dyDescent="0.35">
      <c r="C12" t="s">
        <v>76</v>
      </c>
      <c r="D12">
        <v>-140.82</v>
      </c>
      <c r="E12">
        <v>-511.93</v>
      </c>
      <c r="F12">
        <v>-450.09</v>
      </c>
      <c r="G12">
        <v>-742.92</v>
      </c>
      <c r="H12">
        <f>-'Other Schedule'!H9</f>
        <v>-1564.2220134335801</v>
      </c>
      <c r="I12">
        <f>-'Other Schedule'!I9</f>
        <v>-2245.204544459732</v>
      </c>
      <c r="J12">
        <f>-'Other Schedule'!J9</f>
        <v>-3385.5725687916747</v>
      </c>
    </row>
    <row r="13" spans="3:10" x14ac:dyDescent="0.35">
      <c r="C13" t="s">
        <v>77</v>
      </c>
      <c r="D13">
        <v>328.47</v>
      </c>
      <c r="E13">
        <v>288.98</v>
      </c>
      <c r="F13">
        <v>201.86</v>
      </c>
      <c r="G13">
        <v>393.42</v>
      </c>
      <c r="H13" s="4">
        <f>'Debt Schedule'!H29</f>
        <v>459.4852253565</v>
      </c>
      <c r="I13" s="4">
        <f>'Debt Schedule'!I29</f>
        <v>410.86199256794998</v>
      </c>
      <c r="J13" s="4">
        <f>'Debt Schedule'!J29</f>
        <v>446.39735942717999</v>
      </c>
    </row>
    <row r="14" spans="3:10" x14ac:dyDescent="0.35">
      <c r="C14" t="s">
        <v>78</v>
      </c>
      <c r="D14">
        <v>-230.25</v>
      </c>
      <c r="E14">
        <v>-265.01</v>
      </c>
      <c r="F14">
        <v>-257.45</v>
      </c>
      <c r="G14">
        <v>-17.920000000000002</v>
      </c>
    </row>
    <row r="15" spans="3:10" x14ac:dyDescent="0.35">
      <c r="C15" t="s">
        <v>79</v>
      </c>
      <c r="D15">
        <v>62.8</v>
      </c>
      <c r="E15">
        <v>-147.66</v>
      </c>
      <c r="F15">
        <v>-28.33</v>
      </c>
      <c r="G15">
        <v>-372.27</v>
      </c>
    </row>
    <row r="16" spans="3:10" x14ac:dyDescent="0.35">
      <c r="C16" t="s">
        <v>80</v>
      </c>
      <c r="D16">
        <v>-0.65</v>
      </c>
      <c r="E16">
        <v>-0.63</v>
      </c>
      <c r="F16">
        <v>-0.82</v>
      </c>
      <c r="G16">
        <v>0</v>
      </c>
      <c r="H16">
        <f>-'Other Schedule'!H10</f>
        <v>-1.06</v>
      </c>
      <c r="I16">
        <f>-'Other Schedule'!I10</f>
        <v>-1.06</v>
      </c>
      <c r="J16">
        <f>-'Other Schedule'!J10</f>
        <v>-1.06</v>
      </c>
    </row>
    <row r="17" spans="3:10" x14ac:dyDescent="0.35">
      <c r="C17" t="s">
        <v>81</v>
      </c>
      <c r="D17">
        <v>2.65</v>
      </c>
      <c r="E17">
        <v>647.92999999999995</v>
      </c>
      <c r="F17">
        <v>291.02</v>
      </c>
      <c r="G17">
        <v>282.20999999999998</v>
      </c>
    </row>
    <row r="18" spans="3:10" x14ac:dyDescent="0.35">
      <c r="C18" t="s">
        <v>82</v>
      </c>
      <c r="D18">
        <v>1.41</v>
      </c>
      <c r="E18">
        <v>-0.17</v>
      </c>
      <c r="F18">
        <v>4.2</v>
      </c>
      <c r="G18">
        <v>2.1800000000000002</v>
      </c>
      <c r="H18">
        <f>'Asset Schedule'!H47</f>
        <v>0</v>
      </c>
      <c r="I18">
        <f>'Asset Schedule'!I47</f>
        <v>0</v>
      </c>
      <c r="J18">
        <f>'Asset Schedule'!J47</f>
        <v>0</v>
      </c>
    </row>
    <row r="19" spans="3:10" x14ac:dyDescent="0.35">
      <c r="C19" t="s">
        <v>83</v>
      </c>
      <c r="D19">
        <v>-0.22</v>
      </c>
      <c r="E19">
        <v>0</v>
      </c>
      <c r="F19">
        <v>0</v>
      </c>
      <c r="G19">
        <v>0</v>
      </c>
    </row>
    <row r="20" spans="3:10" x14ac:dyDescent="0.35">
      <c r="C20" t="s">
        <v>84</v>
      </c>
      <c r="D20">
        <v>85.02</v>
      </c>
      <c r="E20">
        <v>115.16</v>
      </c>
      <c r="F20">
        <v>211.89</v>
      </c>
      <c r="G20">
        <v>175.01</v>
      </c>
    </row>
    <row r="21" spans="3:10" x14ac:dyDescent="0.35">
      <c r="C21" t="s">
        <v>85</v>
      </c>
      <c r="D21">
        <v>131.36000000000001</v>
      </c>
      <c r="E21">
        <v>45.07</v>
      </c>
      <c r="F21">
        <v>88.73</v>
      </c>
      <c r="G21">
        <v>61.06</v>
      </c>
    </row>
    <row r="22" spans="3:10" x14ac:dyDescent="0.35">
      <c r="C22" t="s">
        <v>86</v>
      </c>
      <c r="D22">
        <v>10.14</v>
      </c>
      <c r="E22">
        <v>0</v>
      </c>
      <c r="F22">
        <v>0</v>
      </c>
      <c r="G22">
        <v>0</v>
      </c>
    </row>
    <row r="23" spans="3:10" x14ac:dyDescent="0.35">
      <c r="D23" s="1">
        <f>SUM(D11:D22)</f>
        <v>2410.2000000000003</v>
      </c>
      <c r="E23" s="1">
        <f t="shared" ref="E23:J23" si="0">SUM(E11:E22)</f>
        <v>1944.6399999999999</v>
      </c>
      <c r="F23" s="1">
        <f t="shared" si="0"/>
        <v>1626.0800000000004</v>
      </c>
      <c r="G23" s="1">
        <f t="shared" si="0"/>
        <v>1441.99</v>
      </c>
      <c r="H23" s="5">
        <f>SUM(H11:H22)</f>
        <v>695.97727692292005</v>
      </c>
      <c r="I23" s="5">
        <f t="shared" si="0"/>
        <v>127.37451354421813</v>
      </c>
      <c r="J23" s="5">
        <f t="shared" si="0"/>
        <v>-1121.7624209994151</v>
      </c>
    </row>
    <row r="24" spans="3:10" x14ac:dyDescent="0.35">
      <c r="C24" s="1" t="s">
        <v>87</v>
      </c>
      <c r="D24" s="5">
        <f>SUM(D23,D9)</f>
        <v>11070.89</v>
      </c>
      <c r="E24" s="5">
        <f t="shared" ref="E24:J24" si="1">SUM(E23,E9)</f>
        <v>8232.9099999999962</v>
      </c>
      <c r="F24" s="5">
        <f t="shared" si="1"/>
        <v>18361.120000000003</v>
      </c>
      <c r="G24" s="5">
        <f t="shared" si="1"/>
        <v>24231.14000000001</v>
      </c>
      <c r="H24" s="5">
        <f t="shared" si="1"/>
        <v>29479.613895674182</v>
      </c>
      <c r="I24" s="5">
        <f t="shared" si="1"/>
        <v>41350.837616785735</v>
      </c>
      <c r="J24" s="5">
        <f t="shared" si="1"/>
        <v>58090.726389904878</v>
      </c>
    </row>
    <row r="25" spans="3:10" x14ac:dyDescent="0.35">
      <c r="C25" t="s">
        <v>88</v>
      </c>
    </row>
    <row r="26" spans="3:10" x14ac:dyDescent="0.35">
      <c r="C26" t="s">
        <v>89</v>
      </c>
      <c r="D26">
        <v>-2130.5700000000002</v>
      </c>
      <c r="E26">
        <v>2056.87</v>
      </c>
      <c r="F26">
        <v>-1126.8599999999999</v>
      </c>
      <c r="G26">
        <v>-12636.37</v>
      </c>
    </row>
    <row r="27" spans="3:10" x14ac:dyDescent="0.35">
      <c r="C27" t="s">
        <v>90</v>
      </c>
      <c r="D27">
        <v>179.87</v>
      </c>
      <c r="E27">
        <v>-175.19</v>
      </c>
      <c r="F27">
        <v>-401.93</v>
      </c>
      <c r="G27">
        <v>-222.91</v>
      </c>
      <c r="H27" s="4">
        <f>-('Working Capital'!H19-'Working Capital'!G19)</f>
        <v>-1130.0327109530328</v>
      </c>
      <c r="I27" s="4">
        <f>-('Working Capital'!I19-'Working Capital'!H19)</f>
        <v>-312.65226111311313</v>
      </c>
      <c r="J27" s="4">
        <f>-('Working Capital'!J19-'Working Capital'!I19)</f>
        <v>-2130.0307405911699</v>
      </c>
    </row>
    <row r="28" spans="3:10" x14ac:dyDescent="0.35">
      <c r="C28" t="s">
        <v>91</v>
      </c>
      <c r="D28">
        <v>-982.91</v>
      </c>
      <c r="E28">
        <v>1176.18</v>
      </c>
      <c r="F28">
        <v>-565.42999999999995</v>
      </c>
      <c r="G28">
        <v>54.31</v>
      </c>
    </row>
    <row r="29" spans="3:10" x14ac:dyDescent="0.35">
      <c r="C29" t="s">
        <v>92</v>
      </c>
      <c r="D29">
        <v>135.96</v>
      </c>
      <c r="E29">
        <v>-185.82</v>
      </c>
      <c r="F29">
        <v>-20.23</v>
      </c>
      <c r="G29">
        <v>31.49</v>
      </c>
      <c r="H29" s="4">
        <f>('Working Capital'!H8-'Working Capital'!G8)</f>
        <v>-18.187380649419389</v>
      </c>
      <c r="I29" s="4">
        <f>('Working Capital'!I8-'Working Capital'!H8)</f>
        <v>36.227237318238664</v>
      </c>
      <c r="J29" s="4">
        <f>('Working Capital'!J8-'Working Capital'!I8)</f>
        <v>-10.640092849036776</v>
      </c>
    </row>
    <row r="30" spans="3:10" x14ac:dyDescent="0.35">
      <c r="C30" t="s">
        <v>93</v>
      </c>
      <c r="D30">
        <v>7033.56</v>
      </c>
      <c r="E30">
        <v>-8590.2000000000007</v>
      </c>
      <c r="F30">
        <v>2406.4899999999998</v>
      </c>
      <c r="G30">
        <v>-1035.69</v>
      </c>
    </row>
    <row r="31" spans="3:10" x14ac:dyDescent="0.35">
      <c r="C31" t="s">
        <v>94</v>
      </c>
      <c r="D31">
        <v>440.85</v>
      </c>
      <c r="E31">
        <v>-2224.44</v>
      </c>
      <c r="F31">
        <v>3189.96</v>
      </c>
      <c r="G31">
        <v>2518.3000000000002</v>
      </c>
    </row>
    <row r="32" spans="3:10" x14ac:dyDescent="0.35">
      <c r="C32" t="s">
        <v>95</v>
      </c>
      <c r="D32">
        <v>258.56</v>
      </c>
      <c r="E32">
        <v>309.08</v>
      </c>
      <c r="F32">
        <v>-357.92</v>
      </c>
      <c r="G32">
        <v>340.44</v>
      </c>
    </row>
    <row r="33" spans="3:10" x14ac:dyDescent="0.35">
      <c r="D33" s="1">
        <f>SUM(D26:D32)</f>
        <v>4935.3200000000006</v>
      </c>
      <c r="E33" s="1">
        <f t="shared" ref="E33:J33" si="2">SUM(E26:E32)</f>
        <v>-7633.5200000000023</v>
      </c>
      <c r="F33" s="1">
        <f t="shared" si="2"/>
        <v>3124.08</v>
      </c>
      <c r="G33" s="1">
        <f>SUM(G26:G32)</f>
        <v>-10950.430000000002</v>
      </c>
      <c r="H33" s="1">
        <f>SUM(H26:H32)</f>
        <v>-1148.2200916024522</v>
      </c>
      <c r="I33" s="5">
        <f t="shared" si="2"/>
        <v>-276.42502379487445</v>
      </c>
      <c r="J33" s="5">
        <f t="shared" si="2"/>
        <v>-2140.6708334402065</v>
      </c>
    </row>
    <row r="34" spans="3:10" x14ac:dyDescent="0.35">
      <c r="C34" s="2" t="s">
        <v>98</v>
      </c>
      <c r="D34" s="7">
        <f>SUM(D24,D33)</f>
        <v>16006.21</v>
      </c>
      <c r="E34" s="7">
        <f t="shared" ref="E34:J34" si="3">SUM(E24,E33)</f>
        <v>599.38999999999396</v>
      </c>
      <c r="F34" s="7">
        <f t="shared" si="3"/>
        <v>21485.200000000004</v>
      </c>
      <c r="G34" s="7">
        <f>SUM(G24,G33)</f>
        <v>13280.710000000008</v>
      </c>
      <c r="H34" s="7">
        <f t="shared" si="3"/>
        <v>28331.393804071729</v>
      </c>
      <c r="I34" s="7">
        <f t="shared" si="3"/>
        <v>41074.412592990862</v>
      </c>
      <c r="J34" s="7">
        <f t="shared" si="3"/>
        <v>55950.055556464671</v>
      </c>
    </row>
    <row r="35" spans="3:10" x14ac:dyDescent="0.35">
      <c r="C35" t="s">
        <v>96</v>
      </c>
    </row>
    <row r="36" spans="3:10" x14ac:dyDescent="0.35">
      <c r="C36" t="s">
        <v>97</v>
      </c>
      <c r="D36">
        <v>-1990.14</v>
      </c>
      <c r="E36">
        <v>-2390.42</v>
      </c>
      <c r="F36">
        <v>-6966.52</v>
      </c>
      <c r="G36">
        <v>-4861.8599999999997</v>
      </c>
      <c r="H36" s="4">
        <f>-'Cost Schedule'!H16</f>
        <v>-8540.1049847835002</v>
      </c>
      <c r="I36" s="4">
        <f>-'Cost Schedule'!I16</f>
        <v>-12231.00150273176</v>
      </c>
      <c r="J36" s="4">
        <f>-'Cost Schedule'!J16</f>
        <v>-17568.345430195306</v>
      </c>
    </row>
    <row r="37" spans="3:10" x14ac:dyDescent="0.35">
      <c r="C37" s="2" t="s">
        <v>99</v>
      </c>
      <c r="D37" s="7">
        <f t="shared" ref="D37" si="4">SUM(D34,D36)</f>
        <v>14016.07</v>
      </c>
      <c r="E37" s="7">
        <f t="shared" ref="E37:J37" si="5">SUM(E34,E36)</f>
        <v>-1791.0300000000061</v>
      </c>
      <c r="F37" s="7">
        <f t="shared" si="5"/>
        <v>14518.680000000004</v>
      </c>
      <c r="G37" s="7">
        <f t="shared" si="5"/>
        <v>8418.8500000000095</v>
      </c>
      <c r="H37" s="7">
        <f t="shared" si="5"/>
        <v>19791.288819288231</v>
      </c>
      <c r="I37" s="7">
        <f t="shared" si="5"/>
        <v>28843.411090259102</v>
      </c>
      <c r="J37" s="7">
        <f t="shared" si="5"/>
        <v>38381.710126269361</v>
      </c>
    </row>
    <row r="39" spans="3:10" x14ac:dyDescent="0.35">
      <c r="C39" s="1" t="s">
        <v>100</v>
      </c>
    </row>
    <row r="40" spans="3:10" x14ac:dyDescent="0.35">
      <c r="C40" t="s">
        <v>157</v>
      </c>
      <c r="D40">
        <v>-4980.88</v>
      </c>
      <c r="E40">
        <v>0</v>
      </c>
      <c r="F40">
        <v>-1544.59</v>
      </c>
      <c r="G40">
        <v>-1692.68</v>
      </c>
      <c r="H40">
        <f>-'Asset Schedule'!H9</f>
        <v>-1912.22</v>
      </c>
      <c r="I40">
        <f>-'Asset Schedule'!I9</f>
        <v>-2198.4299999999998</v>
      </c>
      <c r="J40">
        <f>-'Asset Schedule'!J9</f>
        <v>-2378.56</v>
      </c>
    </row>
    <row r="41" spans="3:10" x14ac:dyDescent="0.35">
      <c r="C41" t="s">
        <v>156</v>
      </c>
      <c r="D41">
        <v>0</v>
      </c>
      <c r="E41">
        <v>222.89</v>
      </c>
      <c r="F41">
        <v>0</v>
      </c>
      <c r="G41">
        <v>0</v>
      </c>
      <c r="H41">
        <f>'Asset Schedule'!H10+'Other Schedule'!H11</f>
        <v>0</v>
      </c>
      <c r="I41">
        <f>'Asset Schedule'!I10+'Other Schedule'!I11</f>
        <v>0</v>
      </c>
      <c r="J41">
        <f>'Asset Schedule'!J10+'Other Schedule'!J11</f>
        <v>0</v>
      </c>
    </row>
    <row r="42" spans="3:10" x14ac:dyDescent="0.35">
      <c r="C42" t="s">
        <v>101</v>
      </c>
      <c r="D42">
        <v>0.01</v>
      </c>
      <c r="E42">
        <v>0</v>
      </c>
      <c r="F42">
        <v>0</v>
      </c>
      <c r="G42">
        <v>0</v>
      </c>
    </row>
    <row r="43" spans="3:10" x14ac:dyDescent="0.35">
      <c r="C43" t="s">
        <v>102</v>
      </c>
      <c r="D43">
        <v>-79.31</v>
      </c>
      <c r="E43">
        <v>0</v>
      </c>
      <c r="F43">
        <v>0</v>
      </c>
      <c r="G43">
        <v>0</v>
      </c>
      <c r="H43">
        <f>'Asset Schedule'!H18</f>
        <v>0</v>
      </c>
      <c r="I43">
        <f>'Asset Schedule'!I18</f>
        <v>0</v>
      </c>
      <c r="J43">
        <f>'Asset Schedule'!J18</f>
        <v>0</v>
      </c>
    </row>
    <row r="44" spans="3:10" x14ac:dyDescent="0.35">
      <c r="C44" t="s">
        <v>103</v>
      </c>
      <c r="D44">
        <v>-523.66</v>
      </c>
      <c r="E44">
        <v>0</v>
      </c>
      <c r="F44">
        <v>0</v>
      </c>
      <c r="G44">
        <v>0</v>
      </c>
    </row>
    <row r="45" spans="3:10" x14ac:dyDescent="0.35">
      <c r="C45" t="s">
        <v>104</v>
      </c>
      <c r="D45">
        <v>98.23</v>
      </c>
      <c r="E45">
        <v>473.71</v>
      </c>
      <c r="F45">
        <v>384.54</v>
      </c>
      <c r="G45">
        <v>723.16</v>
      </c>
      <c r="H45" s="4">
        <f>'Other Schedule'!H8</f>
        <v>1564.2220134335801</v>
      </c>
      <c r="I45" s="4">
        <f>'Other Schedule'!I8</f>
        <v>2245.204544459732</v>
      </c>
      <c r="J45" s="4">
        <f>'Other Schedule'!J8</f>
        <v>3385.5725687916747</v>
      </c>
    </row>
    <row r="46" spans="3:10" x14ac:dyDescent="0.35">
      <c r="C46" t="s">
        <v>105</v>
      </c>
      <c r="D46">
        <v>0.65</v>
      </c>
      <c r="E46">
        <v>0.63</v>
      </c>
      <c r="F46">
        <v>0.82</v>
      </c>
      <c r="G46">
        <v>0</v>
      </c>
      <c r="H46">
        <f>'Other Schedule'!H10</f>
        <v>1.06</v>
      </c>
      <c r="I46">
        <f>'Other Schedule'!I10</f>
        <v>1.06</v>
      </c>
      <c r="J46">
        <f>'Other Schedule'!J10</f>
        <v>1.06</v>
      </c>
    </row>
    <row r="47" spans="3:10" x14ac:dyDescent="0.35">
      <c r="C47" t="s">
        <v>106</v>
      </c>
      <c r="D47">
        <v>-2590.9899999999998</v>
      </c>
      <c r="E47">
        <v>130.66</v>
      </c>
      <c r="F47">
        <v>381.68</v>
      </c>
      <c r="G47">
        <v>17.920000000000002</v>
      </c>
      <c r="H47" s="4">
        <f>-('Other Schedule'!H49+'Other Schedule'!H50+'Other Schedule'!H40+'Other Schedule'!H41)</f>
        <v>-275.45</v>
      </c>
      <c r="I47" s="4">
        <f>-('Other Schedule'!I49+'Other Schedule'!I50+'Other Schedule'!I40+'Other Schedule'!I41)</f>
        <v>-357.23</v>
      </c>
      <c r="J47" s="4">
        <f>-('Other Schedule'!J49+'Other Schedule'!J50+'Other Schedule'!J40+'Other Schedule'!J41)</f>
        <v>-58.046270000000021</v>
      </c>
    </row>
    <row r="48" spans="3:10" x14ac:dyDescent="0.35">
      <c r="C48" t="s">
        <v>107</v>
      </c>
      <c r="D48">
        <v>-349.33</v>
      </c>
      <c r="E48">
        <v>-135</v>
      </c>
      <c r="F48">
        <v>-320.32</v>
      </c>
      <c r="G48">
        <v>455.32</v>
      </c>
    </row>
    <row r="49" spans="3:10" x14ac:dyDescent="0.35">
      <c r="C49" t="s">
        <v>108</v>
      </c>
      <c r="D49">
        <v>-125.32</v>
      </c>
      <c r="E49">
        <v>179.86</v>
      </c>
      <c r="F49">
        <v>-631.72</v>
      </c>
      <c r="G49">
        <v>-9.75</v>
      </c>
    </row>
    <row r="50" spans="3:10" x14ac:dyDescent="0.35">
      <c r="C50" t="s">
        <v>109</v>
      </c>
      <c r="D50">
        <v>-6466.67</v>
      </c>
      <c r="E50">
        <v>6486.34</v>
      </c>
      <c r="F50">
        <v>0</v>
      </c>
      <c r="G50">
        <v>0</v>
      </c>
    </row>
    <row r="51" spans="3:10" x14ac:dyDescent="0.35">
      <c r="C51" t="s">
        <v>110</v>
      </c>
      <c r="D51">
        <v>-149.24</v>
      </c>
      <c r="E51">
        <v>-3.33</v>
      </c>
      <c r="F51">
        <v>-5987.1</v>
      </c>
      <c r="G51">
        <v>-3760.28</v>
      </c>
    </row>
    <row r="52" spans="3:10" x14ac:dyDescent="0.35">
      <c r="C52" s="2" t="s">
        <v>111</v>
      </c>
      <c r="D52" s="2">
        <f>SUM(D40:D51)</f>
        <v>-15166.51</v>
      </c>
      <c r="E52" s="2">
        <f t="shared" ref="E52:J52" si="6">SUM(E40:E51)</f>
        <v>7355.76</v>
      </c>
      <c r="F52" s="2">
        <f t="shared" si="6"/>
        <v>-7716.6900000000005</v>
      </c>
      <c r="G52" s="2">
        <f t="shared" si="6"/>
        <v>-4266.3100000000004</v>
      </c>
      <c r="H52" s="7">
        <f t="shared" si="6"/>
        <v>-622.38798656641995</v>
      </c>
      <c r="I52" s="7">
        <f t="shared" si="6"/>
        <v>-309.39545554026785</v>
      </c>
      <c r="J52" s="7">
        <f t="shared" si="6"/>
        <v>950.02629879167466</v>
      </c>
    </row>
    <row r="54" spans="3:10" x14ac:dyDescent="0.35">
      <c r="C54" s="1" t="s">
        <v>112</v>
      </c>
    </row>
    <row r="55" spans="3:10" x14ac:dyDescent="0.35">
      <c r="C55" t="s">
        <v>187</v>
      </c>
      <c r="D55">
        <v>0</v>
      </c>
      <c r="E55">
        <v>-837</v>
      </c>
      <c r="F55">
        <v>-840.85</v>
      </c>
      <c r="G55">
        <v>-813.47</v>
      </c>
      <c r="H55" s="4">
        <f>'Debt Schedule'!H11</f>
        <v>-630.88205500000004</v>
      </c>
      <c r="I55" s="4">
        <f>'Debt Schedule'!I11</f>
        <v>-584.45276699999999</v>
      </c>
      <c r="J55" s="4">
        <f>'Debt Schedule'!J11</f>
        <v>-727.2511068</v>
      </c>
    </row>
    <row r="56" spans="3:10" x14ac:dyDescent="0.35">
      <c r="C56" t="s">
        <v>186</v>
      </c>
      <c r="D56">
        <v>4113.3100000000004</v>
      </c>
      <c r="E56">
        <v>0</v>
      </c>
      <c r="F56">
        <v>0</v>
      </c>
      <c r="G56">
        <v>0</v>
      </c>
      <c r="H56">
        <f>'Debt Schedule'!H10</f>
        <v>756.44</v>
      </c>
      <c r="I56">
        <f>'Debt Schedule'!I10</f>
        <v>822.45</v>
      </c>
      <c r="J56">
        <f>'Debt Schedule'!J10</f>
        <v>822.45</v>
      </c>
    </row>
    <row r="57" spans="3:10" x14ac:dyDescent="0.35">
      <c r="C57" t="s">
        <v>116</v>
      </c>
      <c r="D57">
        <v>-63.77</v>
      </c>
      <c r="E57">
        <v>-288.98</v>
      </c>
      <c r="F57">
        <v>-77.849999999999994</v>
      </c>
      <c r="G57">
        <v>-223.6</v>
      </c>
      <c r="H57" s="4">
        <f>-'Debt Schedule'!H29</f>
        <v>-459.4852253565</v>
      </c>
      <c r="I57" s="4">
        <f>-'Debt Schedule'!I29</f>
        <v>-410.86199256794998</v>
      </c>
      <c r="J57" s="4">
        <f>-'Debt Schedule'!J29</f>
        <v>-446.39735942717999</v>
      </c>
    </row>
    <row r="58" spans="3:10" x14ac:dyDescent="0.35">
      <c r="C58" t="s">
        <v>117</v>
      </c>
      <c r="D58">
        <v>5.94</v>
      </c>
      <c r="E58">
        <v>1080.31</v>
      </c>
      <c r="F58">
        <v>11.53</v>
      </c>
      <c r="G58">
        <v>3.6</v>
      </c>
    </row>
    <row r="59" spans="3:10" x14ac:dyDescent="0.35">
      <c r="C59" t="s">
        <v>118</v>
      </c>
      <c r="D59">
        <v>0</v>
      </c>
      <c r="E59">
        <v>-687.84</v>
      </c>
      <c r="F59">
        <v>-2774.41</v>
      </c>
      <c r="G59">
        <v>-4585.71</v>
      </c>
    </row>
    <row r="60" spans="3:10" x14ac:dyDescent="0.35">
      <c r="C60" t="s">
        <v>119</v>
      </c>
      <c r="D60">
        <v>-1220.82</v>
      </c>
      <c r="E60">
        <v>-1124.8399999999999</v>
      </c>
      <c r="F60">
        <v>-967.94</v>
      </c>
      <c r="G60">
        <v>-796.49</v>
      </c>
    </row>
    <row r="61" spans="3:10" x14ac:dyDescent="0.35">
      <c r="C61" s="2" t="s">
        <v>120</v>
      </c>
      <c r="D61" s="2">
        <f>SUM(D55:D60)</f>
        <v>2834.6600000000008</v>
      </c>
      <c r="E61" s="2">
        <f t="shared" ref="E61:J61" si="7">SUM(E55:E60)</f>
        <v>-1858.35</v>
      </c>
      <c r="F61" s="2">
        <f t="shared" si="7"/>
        <v>-4649.5200000000004</v>
      </c>
      <c r="G61" s="2">
        <f t="shared" si="7"/>
        <v>-6415.67</v>
      </c>
      <c r="H61" s="7">
        <f>SUM(H55:H60)</f>
        <v>-333.92728035649998</v>
      </c>
      <c r="I61" s="7">
        <f>SUM(I55:I60)</f>
        <v>-172.86475956794993</v>
      </c>
      <c r="J61" s="7">
        <f t="shared" si="7"/>
        <v>-351.19846622717995</v>
      </c>
    </row>
    <row r="63" spans="3:10" x14ac:dyDescent="0.35">
      <c r="C63" s="1" t="s">
        <v>113</v>
      </c>
      <c r="D63" s="5">
        <f t="shared" ref="D63" si="8">SUM(D61,D52,D37)</f>
        <v>1684.2200000000012</v>
      </c>
      <c r="E63" s="5">
        <v>3706.37</v>
      </c>
      <c r="F63" s="5">
        <f>SUM(F61,F52,F37)</f>
        <v>2152.470000000003</v>
      </c>
      <c r="G63" s="5">
        <f t="shared" ref="G63:J63" si="9">SUM(G61,G52,G37)</f>
        <v>-2263.1299999999901</v>
      </c>
      <c r="H63" s="5">
        <f t="shared" si="9"/>
        <v>18834.973552365311</v>
      </c>
      <c r="I63" s="5">
        <f t="shared" si="9"/>
        <v>28361.150875150885</v>
      </c>
      <c r="J63" s="5">
        <f t="shared" si="9"/>
        <v>38980.537958833855</v>
      </c>
    </row>
    <row r="64" spans="3:10" x14ac:dyDescent="0.35">
      <c r="C64" s="1" t="s">
        <v>114</v>
      </c>
      <c r="D64" s="5">
        <v>1141.23</v>
      </c>
      <c r="E64" s="1">
        <v>2825.45</v>
      </c>
      <c r="F64" s="1">
        <v>6127.17</v>
      </c>
      <c r="G64" s="1">
        <v>8279.64</v>
      </c>
      <c r="H64" s="1">
        <f>G65</f>
        <v>6016.5100000000093</v>
      </c>
      <c r="I64" s="5">
        <f t="shared" ref="I64:J64" si="10">H65</f>
        <v>24851.48355236532</v>
      </c>
      <c r="J64" s="5">
        <f t="shared" si="10"/>
        <v>53212.634427516205</v>
      </c>
    </row>
    <row r="65" spans="3:10" x14ac:dyDescent="0.35">
      <c r="C65" s="2" t="s">
        <v>115</v>
      </c>
      <c r="D65" s="2">
        <f>SUM(D63:D64)</f>
        <v>2825.4500000000012</v>
      </c>
      <c r="E65" s="2">
        <f t="shared" ref="E65:J65" si="11">SUM(E63:E64)</f>
        <v>6531.82</v>
      </c>
      <c r="F65" s="2">
        <f t="shared" si="11"/>
        <v>8279.6400000000031</v>
      </c>
      <c r="G65" s="2">
        <f t="shared" si="11"/>
        <v>6016.5100000000093</v>
      </c>
      <c r="H65" s="7">
        <f t="shared" si="11"/>
        <v>24851.48355236532</v>
      </c>
      <c r="I65" s="7">
        <f t="shared" si="11"/>
        <v>53212.634427516205</v>
      </c>
      <c r="J65" s="7">
        <f t="shared" si="11"/>
        <v>92193.172386350052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7C2D-1F68-414B-AF70-FC1A498ED00B}">
  <sheetPr codeName="Sheet3"/>
  <dimension ref="C1:J69"/>
  <sheetViews>
    <sheetView showGridLines="0" workbookViewId="0">
      <pane xSplit="3" ySplit="6" topLeftCell="D33" activePane="bottomRight" state="frozen"/>
      <selection pane="topRight" activeCell="D1" sqref="D1"/>
      <selection pane="bottomLeft" activeCell="A7" sqref="A7"/>
      <selection pane="bottomRight" activeCell="I69" sqref="I69"/>
    </sheetView>
  </sheetViews>
  <sheetFormatPr defaultRowHeight="14.5" x14ac:dyDescent="0.35"/>
  <cols>
    <col min="3" max="3" width="69.08984375" customWidth="1"/>
    <col min="4" max="4" width="11.7265625" customWidth="1"/>
    <col min="5" max="5" width="10.26953125" customWidth="1"/>
    <col min="6" max="6" width="10.54296875" customWidth="1"/>
    <col min="7" max="7" width="10.1796875" customWidth="1"/>
    <col min="8" max="8" width="10.36328125" bestFit="1" customWidth="1"/>
    <col min="9" max="10" width="10" bestFit="1" customWidth="1"/>
  </cols>
  <sheetData>
    <row r="1" spans="3:10" x14ac:dyDescent="0.35">
      <c r="C1" s="1" t="s">
        <v>4</v>
      </c>
    </row>
    <row r="2" spans="3:10" x14ac:dyDescent="0.35">
      <c r="C2" s="1" t="s">
        <v>5</v>
      </c>
    </row>
    <row r="3" spans="3:10" x14ac:dyDescent="0.35">
      <c r="C3" t="s">
        <v>6</v>
      </c>
    </row>
    <row r="4" spans="3:10" x14ac:dyDescent="0.35">
      <c r="C4" t="s">
        <v>0</v>
      </c>
    </row>
    <row r="5" spans="3:10" x14ac:dyDescent="0.35">
      <c r="C5" s="2" t="s">
        <v>1</v>
      </c>
      <c r="D5" s="6" t="s">
        <v>7</v>
      </c>
      <c r="E5" s="6" t="s">
        <v>2</v>
      </c>
      <c r="F5" s="6" t="s">
        <v>2</v>
      </c>
      <c r="G5" s="6" t="s">
        <v>2</v>
      </c>
      <c r="H5" s="6" t="s">
        <v>138</v>
      </c>
      <c r="I5" s="6" t="s">
        <v>138</v>
      </c>
      <c r="J5" s="6" t="s">
        <v>138</v>
      </c>
    </row>
    <row r="6" spans="3:10" x14ac:dyDescent="0.35">
      <c r="C6" s="1" t="s">
        <v>3</v>
      </c>
      <c r="D6" s="1">
        <v>2020</v>
      </c>
      <c r="E6" s="1">
        <v>2021</v>
      </c>
      <c r="F6" s="1">
        <v>2022</v>
      </c>
      <c r="G6" s="1">
        <v>2023</v>
      </c>
      <c r="H6" s="1">
        <v>2024</v>
      </c>
      <c r="I6" s="1">
        <v>2025</v>
      </c>
      <c r="J6" s="1">
        <v>2026</v>
      </c>
    </row>
    <row r="8" spans="3:10" x14ac:dyDescent="0.35">
      <c r="C8" s="1" t="s">
        <v>29</v>
      </c>
    </row>
    <row r="9" spans="3:10" x14ac:dyDescent="0.35">
      <c r="C9" s="1"/>
    </row>
    <row r="10" spans="3:10" x14ac:dyDescent="0.35">
      <c r="C10" s="1" t="s">
        <v>8</v>
      </c>
    </row>
    <row r="11" spans="3:10" x14ac:dyDescent="0.35">
      <c r="C11" t="s">
        <v>18</v>
      </c>
      <c r="D11">
        <v>886.19</v>
      </c>
      <c r="E11">
        <v>715.75</v>
      </c>
      <c r="F11">
        <v>8076.44</v>
      </c>
      <c r="G11">
        <v>9245.8700000000008</v>
      </c>
      <c r="H11" s="4">
        <f>'Asset Schedule'!H34</f>
        <v>9714.3765113790014</v>
      </c>
      <c r="I11" s="4">
        <f>'Asset Schedule'!I34</f>
        <v>10156.769978746923</v>
      </c>
      <c r="J11" s="4">
        <f>'Asset Schedule'!J34</f>
        <v>10573.082803155159</v>
      </c>
    </row>
    <row r="12" spans="3:10" x14ac:dyDescent="0.35">
      <c r="C12" t="s">
        <v>19</v>
      </c>
      <c r="D12">
        <v>2625.9</v>
      </c>
      <c r="E12">
        <v>1292.06</v>
      </c>
      <c r="F12">
        <v>1316.6</v>
      </c>
      <c r="G12">
        <v>1846.67</v>
      </c>
      <c r="H12" s="4">
        <f>'Asset Schedule'!H35</f>
        <v>1701.4259109645002</v>
      </c>
      <c r="I12" s="4">
        <f>'Asset Schedule'!I35</f>
        <v>1593.2724061911626</v>
      </c>
      <c r="J12" s="4">
        <f>'Asset Schedule'!J35</f>
        <v>1658.5785750677944</v>
      </c>
    </row>
    <row r="13" spans="3:10" x14ac:dyDescent="0.35">
      <c r="C13" t="s">
        <v>20</v>
      </c>
      <c r="D13">
        <v>6538.58</v>
      </c>
      <c r="E13">
        <v>6903.92</v>
      </c>
      <c r="F13">
        <v>0</v>
      </c>
      <c r="G13">
        <v>0</v>
      </c>
      <c r="H13" s="4">
        <f>'Asset Schedule'!H36</f>
        <v>0</v>
      </c>
      <c r="I13" s="4">
        <f>'Asset Schedule'!I36</f>
        <v>0</v>
      </c>
      <c r="J13" s="4">
        <f>'Asset Schedule'!J36</f>
        <v>0</v>
      </c>
    </row>
    <row r="14" spans="3:10" x14ac:dyDescent="0.35">
      <c r="C14" t="s">
        <v>21</v>
      </c>
      <c r="D14">
        <v>290.11</v>
      </c>
      <c r="E14">
        <v>290.11</v>
      </c>
      <c r="F14">
        <v>290.11</v>
      </c>
      <c r="G14">
        <v>290.11</v>
      </c>
      <c r="H14">
        <v>290.11</v>
      </c>
      <c r="I14">
        <v>290.11</v>
      </c>
      <c r="J14">
        <v>290.11</v>
      </c>
    </row>
    <row r="15" spans="3:10" x14ac:dyDescent="0.35">
      <c r="C15" t="s">
        <v>22</v>
      </c>
      <c r="D15">
        <v>3732.96</v>
      </c>
      <c r="E15">
        <v>3218.34</v>
      </c>
      <c r="F15">
        <v>2712.34</v>
      </c>
      <c r="G15">
        <v>2225.79</v>
      </c>
      <c r="H15" s="4">
        <f>'Asset Schedule'!H37</f>
        <v>2012.9735126564992</v>
      </c>
      <c r="I15" s="4">
        <f>'Asset Schedule'!I37</f>
        <v>1914.3864846259169</v>
      </c>
      <c r="J15" s="4">
        <f>'Asset Schedule'!J37</f>
        <v>1992.8547029759691</v>
      </c>
    </row>
    <row r="16" spans="3:10" x14ac:dyDescent="0.35">
      <c r="C16" t="s">
        <v>23</v>
      </c>
    </row>
    <row r="17" spans="3:10" x14ac:dyDescent="0.35">
      <c r="C17" t="s">
        <v>226</v>
      </c>
      <c r="D17">
        <v>317.20999999999998</v>
      </c>
      <c r="E17">
        <v>203.94</v>
      </c>
      <c r="F17">
        <v>417.51</v>
      </c>
      <c r="G17">
        <v>356.51</v>
      </c>
      <c r="H17" s="4">
        <f>'Other Schedule'!H51</f>
        <v>406.51</v>
      </c>
      <c r="I17" s="4">
        <f>'Other Schedule'!I51</f>
        <v>507.85</v>
      </c>
      <c r="J17" s="4">
        <f>'Other Schedule'!J51</f>
        <v>275.35626999999999</v>
      </c>
    </row>
    <row r="18" spans="3:10" x14ac:dyDescent="0.35">
      <c r="C18" t="s">
        <v>11</v>
      </c>
      <c r="D18">
        <v>10131.75</v>
      </c>
      <c r="E18">
        <v>10181.48</v>
      </c>
      <c r="F18">
        <v>10350</v>
      </c>
      <c r="G18">
        <v>10550.25</v>
      </c>
      <c r="H18">
        <f>'Other Schedule'!H42</f>
        <v>10775.7</v>
      </c>
      <c r="I18">
        <f>'Other Schedule'!I42</f>
        <v>11031.59</v>
      </c>
      <c r="J18">
        <f>'Other Schedule'!J42</f>
        <v>11322.130000000001</v>
      </c>
    </row>
    <row r="19" spans="3:10" x14ac:dyDescent="0.35">
      <c r="C19" t="s">
        <v>24</v>
      </c>
      <c r="D19">
        <v>199</v>
      </c>
      <c r="E19">
        <v>223.2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3:10" x14ac:dyDescent="0.35">
      <c r="C20" t="s">
        <v>25</v>
      </c>
      <c r="D20">
        <v>462.18</v>
      </c>
      <c r="E20">
        <v>415.2</v>
      </c>
      <c r="F20">
        <v>380.7</v>
      </c>
      <c r="G20">
        <v>47.56</v>
      </c>
      <c r="H20">
        <v>47.56</v>
      </c>
      <c r="I20">
        <v>47.56</v>
      </c>
      <c r="J20">
        <v>47.56</v>
      </c>
    </row>
    <row r="21" spans="3:10" x14ac:dyDescent="0.35">
      <c r="C21" t="s">
        <v>26</v>
      </c>
      <c r="D21">
        <v>722.05</v>
      </c>
      <c r="E21">
        <v>1111.81</v>
      </c>
      <c r="F21">
        <v>4353.83</v>
      </c>
      <c r="G21">
        <v>3062.18</v>
      </c>
      <c r="H21">
        <v>3062.18</v>
      </c>
      <c r="I21">
        <v>3062.18</v>
      </c>
      <c r="J21">
        <v>3062.18</v>
      </c>
    </row>
    <row r="22" spans="3:10" x14ac:dyDescent="0.35">
      <c r="C22" s="2" t="s">
        <v>9</v>
      </c>
      <c r="D22" s="2">
        <f>SUM(D11:D21)</f>
        <v>25905.93</v>
      </c>
      <c r="E22" s="2">
        <f>SUM(E11:E21)</f>
        <v>24555.81</v>
      </c>
      <c r="F22" s="2">
        <f>SUM(F11:F21)</f>
        <v>27897.53</v>
      </c>
      <c r="G22" s="2">
        <f>SUM(G11:G21)</f>
        <v>27624.940000000006</v>
      </c>
      <c r="H22" s="7">
        <f t="shared" ref="H22:J22" si="0">SUM(H11:H21)</f>
        <v>28010.835935000006</v>
      </c>
      <c r="I22" s="7">
        <f t="shared" si="0"/>
        <v>28603.718869564003</v>
      </c>
      <c r="J22" s="7">
        <f t="shared" si="0"/>
        <v>29221.852351198926</v>
      </c>
    </row>
    <row r="24" spans="3:10" x14ac:dyDescent="0.35">
      <c r="C24" s="1" t="s">
        <v>27</v>
      </c>
    </row>
    <row r="25" spans="3:10" x14ac:dyDescent="0.35">
      <c r="C25" t="s">
        <v>10</v>
      </c>
    </row>
    <row r="26" spans="3:10" x14ac:dyDescent="0.35">
      <c r="C26" t="s">
        <v>226</v>
      </c>
      <c r="D26">
        <v>6668.26</v>
      </c>
      <c r="E26">
        <v>115.33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3:10" x14ac:dyDescent="0.35">
      <c r="C27" t="s">
        <v>11</v>
      </c>
      <c r="D27">
        <v>183.21</v>
      </c>
      <c r="E27">
        <v>267.83999999999997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3:10" x14ac:dyDescent="0.35">
      <c r="C28" t="s">
        <v>12</v>
      </c>
      <c r="D28">
        <v>911.35</v>
      </c>
      <c r="E28">
        <v>1086.54</v>
      </c>
      <c r="F28">
        <v>1489.89</v>
      </c>
      <c r="G28">
        <v>1712.8</v>
      </c>
      <c r="H28" s="4">
        <f>'Working Capital'!H19</f>
        <v>2842.8327109530328</v>
      </c>
      <c r="I28" s="4">
        <f>'Working Capital'!I19</f>
        <v>3155.4849720661459</v>
      </c>
      <c r="J28" s="4">
        <f>'Working Capital'!J19</f>
        <v>5285.5157126573158</v>
      </c>
    </row>
    <row r="29" spans="3:10" x14ac:dyDescent="0.35">
      <c r="C29" t="s">
        <v>13</v>
      </c>
      <c r="D29">
        <v>2825.45</v>
      </c>
      <c r="E29">
        <v>6531.82</v>
      </c>
      <c r="F29">
        <v>8710.9</v>
      </c>
      <c r="G29">
        <v>6016.51</v>
      </c>
      <c r="H29" s="4">
        <f>'Cash Flow Statement'!H65</f>
        <v>24851.48355236532</v>
      </c>
      <c r="I29" s="4">
        <f>'Cash Flow Statement'!I65</f>
        <v>53212.634427516205</v>
      </c>
      <c r="J29" s="4">
        <f>'Cash Flow Statement'!J65</f>
        <v>92193.172386350052</v>
      </c>
    </row>
    <row r="30" spans="3:10" x14ac:dyDescent="0.35">
      <c r="C30" t="s">
        <v>14</v>
      </c>
      <c r="D30">
        <v>4.33</v>
      </c>
      <c r="E30">
        <v>4.66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3:10" x14ac:dyDescent="0.35">
      <c r="C31" t="s">
        <v>15</v>
      </c>
      <c r="D31">
        <v>3146.29</v>
      </c>
      <c r="E31">
        <v>1254.0999999999999</v>
      </c>
      <c r="F31">
        <v>9200.01</v>
      </c>
      <c r="G31">
        <v>25859.200000000001</v>
      </c>
      <c r="H31">
        <v>25859.200000000001</v>
      </c>
      <c r="I31">
        <v>25859.200000000001</v>
      </c>
      <c r="J31">
        <v>25859.200000000001</v>
      </c>
    </row>
    <row r="32" spans="3:10" x14ac:dyDescent="0.35">
      <c r="C32" t="s">
        <v>16</v>
      </c>
      <c r="D32">
        <v>1334.88</v>
      </c>
      <c r="E32">
        <v>158.69999999999999</v>
      </c>
      <c r="F32">
        <v>717.66</v>
      </c>
      <c r="G32">
        <v>657.69</v>
      </c>
      <c r="H32">
        <v>657.69</v>
      </c>
      <c r="I32">
        <v>657.69</v>
      </c>
      <c r="J32">
        <v>657.69</v>
      </c>
    </row>
    <row r="33" spans="3:10" x14ac:dyDescent="0.35">
      <c r="C33" s="2" t="s">
        <v>17</v>
      </c>
      <c r="D33" s="2">
        <f>SUM(D26:D32)</f>
        <v>15073.77</v>
      </c>
      <c r="E33" s="2">
        <f>SUM(E26:E32)</f>
        <v>9418.99</v>
      </c>
      <c r="F33" s="2">
        <f t="shared" ref="F33:G33" si="1">SUM(F26:F32)</f>
        <v>20118.46</v>
      </c>
      <c r="G33" s="7">
        <f t="shared" si="1"/>
        <v>34246.200000000004</v>
      </c>
      <c r="H33" s="7">
        <f>SUM(H26:H32)</f>
        <v>54211.206263318352</v>
      </c>
      <c r="I33" s="7">
        <f t="shared" ref="I33" si="2">SUM(I26:I32)</f>
        <v>82885.009399582355</v>
      </c>
      <c r="J33" s="2">
        <f t="shared" ref="J33" si="3">SUM(J26:J32)</f>
        <v>123995.57809900737</v>
      </c>
    </row>
    <row r="34" spans="3:10" x14ac:dyDescent="0.35">
      <c r="C34" s="1" t="s">
        <v>122</v>
      </c>
      <c r="D34" s="1">
        <v>0</v>
      </c>
      <c r="E34" s="1">
        <v>0</v>
      </c>
      <c r="F34" s="1">
        <v>0</v>
      </c>
      <c r="G34" s="1">
        <v>540.73</v>
      </c>
      <c r="H34" s="1">
        <v>540.73</v>
      </c>
      <c r="I34" s="1">
        <v>540.73</v>
      </c>
      <c r="J34" s="1">
        <v>540.73</v>
      </c>
    </row>
    <row r="35" spans="3:10" x14ac:dyDescent="0.35">
      <c r="C35" s="2" t="s">
        <v>28</v>
      </c>
      <c r="D35" s="2">
        <f>SUM(D33,D22)</f>
        <v>40979.699999999997</v>
      </c>
      <c r="E35" s="2">
        <f>SUM(E33,E22)</f>
        <v>33974.800000000003</v>
      </c>
      <c r="F35" s="2">
        <f>SUM(F33,F22)</f>
        <v>48015.99</v>
      </c>
      <c r="G35" s="2">
        <f>SUM(G33,G22,G34)</f>
        <v>62411.870000000017</v>
      </c>
      <c r="H35" s="7">
        <f>SUM(H33,H22,H34)</f>
        <v>82762.772198318358</v>
      </c>
      <c r="I35" s="2">
        <f t="shared" ref="I35:J35" si="4">SUM(I33,I22,I34)</f>
        <v>112029.45826914636</v>
      </c>
      <c r="J35" s="2">
        <f t="shared" si="4"/>
        <v>153758.16045020631</v>
      </c>
    </row>
    <row r="37" spans="3:10" x14ac:dyDescent="0.35">
      <c r="C37" s="1" t="s">
        <v>30</v>
      </c>
    </row>
    <row r="38" spans="3:10" x14ac:dyDescent="0.35">
      <c r="C38" s="1"/>
    </row>
    <row r="39" spans="3:10" x14ac:dyDescent="0.35">
      <c r="C39" s="1" t="s">
        <v>31</v>
      </c>
    </row>
    <row r="40" spans="3:10" x14ac:dyDescent="0.35">
      <c r="C40" t="s">
        <v>254</v>
      </c>
      <c r="D40">
        <v>1351.37</v>
      </c>
      <c r="E40">
        <v>1375.68</v>
      </c>
      <c r="F40">
        <v>2080.81</v>
      </c>
      <c r="G40">
        <v>2084.41</v>
      </c>
      <c r="H40">
        <v>2084.41</v>
      </c>
      <c r="I40">
        <v>2084.41</v>
      </c>
      <c r="J40">
        <v>2084.41</v>
      </c>
    </row>
    <row r="41" spans="3:10" x14ac:dyDescent="0.35">
      <c r="C41" t="s">
        <v>32</v>
      </c>
      <c r="D41">
        <v>17283.53</v>
      </c>
      <c r="E41">
        <v>22781.759999999998</v>
      </c>
      <c r="F41">
        <v>32285.87</v>
      </c>
      <c r="G41">
        <v>44738.79</v>
      </c>
      <c r="H41" s="4">
        <f>G41+'Income Statement'!H41</f>
        <v>64982.32163396776</v>
      </c>
      <c r="I41" s="4">
        <f>H41+'Income Statement'!I41</f>
        <v>93974.783234477523</v>
      </c>
      <c r="J41" s="4">
        <f>I41+'Income Statement'!J41</f>
        <v>135618.9266151865</v>
      </c>
    </row>
    <row r="42" spans="3:10" x14ac:dyDescent="0.35">
      <c r="C42" t="s">
        <v>33</v>
      </c>
      <c r="D42">
        <v>1157.46</v>
      </c>
      <c r="E42">
        <v>1160.03</v>
      </c>
      <c r="F42">
        <v>1166.93</v>
      </c>
      <c r="G42">
        <v>1186.1500000000001</v>
      </c>
      <c r="H42">
        <v>1186.1500000000001</v>
      </c>
      <c r="I42">
        <v>1186.1500000000001</v>
      </c>
      <c r="J42">
        <v>1186.1500000000001</v>
      </c>
    </row>
    <row r="43" spans="3:10" x14ac:dyDescent="0.35">
      <c r="C43" s="2" t="s">
        <v>34</v>
      </c>
      <c r="D43" s="2">
        <f>SUM(D40:D42)</f>
        <v>19792.359999999997</v>
      </c>
      <c r="E43" s="2">
        <f t="shared" ref="E43:J43" si="5">SUM(E40:E42)</f>
        <v>25317.469999999998</v>
      </c>
      <c r="F43" s="2">
        <f t="shared" si="5"/>
        <v>35533.61</v>
      </c>
      <c r="G43" s="2">
        <f t="shared" si="5"/>
        <v>48009.35</v>
      </c>
      <c r="H43" s="7">
        <f t="shared" si="5"/>
        <v>68252.881633967758</v>
      </c>
      <c r="I43" s="7">
        <f t="shared" si="5"/>
        <v>97245.343234477521</v>
      </c>
      <c r="J43" s="2">
        <f t="shared" si="5"/>
        <v>138889.4866151865</v>
      </c>
    </row>
    <row r="45" spans="3:10" x14ac:dyDescent="0.35">
      <c r="C45" s="1" t="s">
        <v>35</v>
      </c>
    </row>
    <row r="46" spans="3:10" x14ac:dyDescent="0.35">
      <c r="C46" s="1" t="s">
        <v>36</v>
      </c>
    </row>
    <row r="47" spans="3:10" x14ac:dyDescent="0.35">
      <c r="C47" t="s">
        <v>37</v>
      </c>
    </row>
    <row r="48" spans="3:10" x14ac:dyDescent="0.35">
      <c r="C48" t="s">
        <v>38</v>
      </c>
      <c r="D48">
        <v>3335.97</v>
      </c>
      <c r="E48">
        <v>2496.37</v>
      </c>
      <c r="F48">
        <v>1660.7</v>
      </c>
      <c r="G48">
        <v>848.53</v>
      </c>
      <c r="H48" s="4">
        <f>'Debt Schedule'!H13</f>
        <v>974.08794499999999</v>
      </c>
      <c r="I48" s="4">
        <f>'Debt Schedule'!I13</f>
        <v>1212.085178</v>
      </c>
      <c r="J48" s="4">
        <f>'Debt Schedule'!J13</f>
        <v>1307.2840712000002</v>
      </c>
    </row>
    <row r="49" spans="3:10" x14ac:dyDescent="0.35">
      <c r="C49" t="s">
        <v>121</v>
      </c>
      <c r="D49">
        <v>1650.28</v>
      </c>
      <c r="E49">
        <v>637.37</v>
      </c>
      <c r="F49">
        <v>854</v>
      </c>
      <c r="G49">
        <v>1416.82</v>
      </c>
      <c r="H49">
        <v>1416.82</v>
      </c>
      <c r="I49">
        <v>1416.82</v>
      </c>
      <c r="J49">
        <v>1416.82</v>
      </c>
    </row>
    <row r="50" spans="3:10" x14ac:dyDescent="0.35">
      <c r="C50" t="s">
        <v>40</v>
      </c>
      <c r="D50">
        <v>30.48</v>
      </c>
      <c r="E50">
        <v>116.41</v>
      </c>
      <c r="F50">
        <v>212.55</v>
      </c>
      <c r="G50">
        <v>388.55</v>
      </c>
      <c r="H50">
        <v>388.55</v>
      </c>
      <c r="I50">
        <v>388.55</v>
      </c>
      <c r="J50">
        <v>388.55</v>
      </c>
    </row>
    <row r="51" spans="3:10" x14ac:dyDescent="0.35">
      <c r="C51" s="2" t="s">
        <v>41</v>
      </c>
      <c r="D51" s="2">
        <f>SUM(D48:D50)</f>
        <v>5016.7299999999996</v>
      </c>
      <c r="E51" s="2">
        <f>SUM(E48:E50)</f>
        <v>3250.1499999999996</v>
      </c>
      <c r="F51" s="2">
        <f>SUM(F48:F50)</f>
        <v>2727.25</v>
      </c>
      <c r="G51" s="7">
        <f>SUM(G48:G50)</f>
        <v>2653.9</v>
      </c>
      <c r="H51" s="7">
        <f t="shared" ref="H51:J51" si="6">SUM(H48:H50)</f>
        <v>2779.4579450000001</v>
      </c>
      <c r="I51" s="7">
        <f t="shared" si="6"/>
        <v>3017.4551780000002</v>
      </c>
      <c r="J51" s="7">
        <f t="shared" si="6"/>
        <v>3112.6540712000005</v>
      </c>
    </row>
    <row r="53" spans="3:10" x14ac:dyDescent="0.35">
      <c r="C53" s="1" t="s">
        <v>42</v>
      </c>
    </row>
    <row r="54" spans="3:10" x14ac:dyDescent="0.35">
      <c r="C54" t="s">
        <v>37</v>
      </c>
    </row>
    <row r="55" spans="3:10" x14ac:dyDescent="0.35">
      <c r="C55" t="s">
        <v>38</v>
      </c>
      <c r="D55">
        <v>837.02</v>
      </c>
      <c r="E55">
        <v>839.62</v>
      </c>
      <c r="F55">
        <v>834.44</v>
      </c>
      <c r="G55">
        <v>833.13</v>
      </c>
      <c r="H55">
        <f>'Debt Schedule'!H23</f>
        <v>833.13</v>
      </c>
      <c r="I55">
        <f>'Debt Schedule'!I23</f>
        <v>833.13</v>
      </c>
      <c r="J55">
        <f>'Debt Schedule'!J23</f>
        <v>833.13</v>
      </c>
    </row>
    <row r="56" spans="3:10" x14ac:dyDescent="0.35">
      <c r="C56" t="s">
        <v>121</v>
      </c>
      <c r="D56">
        <v>0</v>
      </c>
      <c r="E56">
        <v>781.37</v>
      </c>
      <c r="F56">
        <v>575.53</v>
      </c>
      <c r="G56">
        <v>573.11</v>
      </c>
      <c r="H56">
        <v>573.11</v>
      </c>
      <c r="I56">
        <v>573.11</v>
      </c>
      <c r="J56">
        <v>573.11</v>
      </c>
    </row>
    <row r="57" spans="3:10" x14ac:dyDescent="0.35">
      <c r="C57" t="s">
        <v>43</v>
      </c>
    </row>
    <row r="58" spans="3:10" x14ac:dyDescent="0.35">
      <c r="C58" t="s">
        <v>44</v>
      </c>
      <c r="D58">
        <v>34.25</v>
      </c>
      <c r="E58">
        <v>8.15</v>
      </c>
      <c r="F58">
        <v>0</v>
      </c>
      <c r="G58">
        <v>0</v>
      </c>
      <c r="H58">
        <f>'Working Capital'!H15</f>
        <v>13.49</v>
      </c>
      <c r="I58">
        <f>'Working Capital'!I15</f>
        <v>0</v>
      </c>
      <c r="J58">
        <f>'Working Capital'!J15</f>
        <v>0</v>
      </c>
    </row>
    <row r="59" spans="3:10" ht="29" x14ac:dyDescent="0.35">
      <c r="C59" s="3" t="s">
        <v>45</v>
      </c>
      <c r="D59">
        <v>171.8</v>
      </c>
      <c r="E59">
        <v>12.08</v>
      </c>
      <c r="F59">
        <v>0</v>
      </c>
      <c r="G59">
        <v>31.49</v>
      </c>
      <c r="H59">
        <f>'Working Capital'!H16</f>
        <v>0</v>
      </c>
      <c r="I59">
        <f>'Working Capital'!I16</f>
        <v>49.53</v>
      </c>
      <c r="J59">
        <f>'Working Capital'!J16</f>
        <v>38.89</v>
      </c>
    </row>
    <row r="60" spans="3:10" x14ac:dyDescent="0.35">
      <c r="C60" t="s">
        <v>39</v>
      </c>
      <c r="D60">
        <v>10056.56</v>
      </c>
      <c r="E60">
        <v>565.80999999999995</v>
      </c>
      <c r="F60">
        <v>2117.59</v>
      </c>
      <c r="G60">
        <v>1078.47</v>
      </c>
      <c r="H60">
        <v>1078.47</v>
      </c>
      <c r="I60">
        <v>1078.47</v>
      </c>
      <c r="J60">
        <v>1078.47</v>
      </c>
    </row>
    <row r="61" spans="3:10" x14ac:dyDescent="0.35">
      <c r="C61" t="s">
        <v>46</v>
      </c>
      <c r="D61">
        <v>914.28</v>
      </c>
      <c r="E61">
        <v>1223.3599999999999</v>
      </c>
      <c r="F61">
        <v>865.43</v>
      </c>
      <c r="G61">
        <v>1203.74</v>
      </c>
      <c r="H61">
        <v>1203.74</v>
      </c>
      <c r="I61">
        <v>1203.74</v>
      </c>
      <c r="J61">
        <v>1203.74</v>
      </c>
    </row>
    <row r="62" spans="3:10" x14ac:dyDescent="0.35">
      <c r="C62" t="s">
        <v>40</v>
      </c>
      <c r="D62">
        <v>4156.7</v>
      </c>
      <c r="E62">
        <v>1976.79</v>
      </c>
      <c r="F62">
        <v>5362.14</v>
      </c>
      <c r="G62">
        <v>8023.92</v>
      </c>
      <c r="H62">
        <v>8023.92</v>
      </c>
      <c r="I62">
        <v>8023.92</v>
      </c>
      <c r="J62">
        <v>8023.92</v>
      </c>
    </row>
    <row r="63" spans="3:10" x14ac:dyDescent="0.35">
      <c r="C63" s="2" t="s">
        <v>47</v>
      </c>
      <c r="D63" s="2">
        <f>SUM(D55:D62)</f>
        <v>16170.61</v>
      </c>
      <c r="E63" s="2">
        <f t="shared" ref="E63:G63" si="7">SUM(E55:E62)</f>
        <v>5407.1799999999994</v>
      </c>
      <c r="F63" s="2">
        <f t="shared" si="7"/>
        <v>9755.130000000001</v>
      </c>
      <c r="G63" s="2">
        <f t="shared" si="7"/>
        <v>11743.86</v>
      </c>
      <c r="H63" s="2">
        <f t="shared" ref="H63:J63" si="8">SUM(H55:H62)</f>
        <v>11725.86</v>
      </c>
      <c r="I63" s="7">
        <f t="shared" si="8"/>
        <v>11761.9</v>
      </c>
      <c r="J63" s="2">
        <f t="shared" si="8"/>
        <v>11751.26</v>
      </c>
    </row>
    <row r="64" spans="3:10" x14ac:dyDescent="0.35">
      <c r="C64" s="2" t="s">
        <v>247</v>
      </c>
      <c r="D64" s="2">
        <f>SUM(D51,D63)</f>
        <v>21187.34</v>
      </c>
      <c r="E64" s="2">
        <f t="shared" ref="E64:G64" si="9">SUM(E51,E63)</f>
        <v>8657.3299999999981</v>
      </c>
      <c r="F64" s="2">
        <f t="shared" si="9"/>
        <v>12482.380000000001</v>
      </c>
      <c r="G64" s="2">
        <f t="shared" si="9"/>
        <v>14397.76</v>
      </c>
      <c r="H64" s="7">
        <f t="shared" ref="H64:J64" si="10">SUM(H51,H63)</f>
        <v>14505.317945000001</v>
      </c>
      <c r="I64" s="7">
        <f t="shared" si="10"/>
        <v>14779.355178</v>
      </c>
      <c r="J64" s="7">
        <f t="shared" si="10"/>
        <v>14863.914071200001</v>
      </c>
    </row>
    <row r="65" spans="3:10" x14ac:dyDescent="0.35">
      <c r="C65" s="1" t="s">
        <v>123</v>
      </c>
      <c r="D65" s="1">
        <v>0</v>
      </c>
      <c r="E65" s="1">
        <v>0</v>
      </c>
      <c r="F65" s="1">
        <v>0</v>
      </c>
      <c r="G65" s="1">
        <v>4.76</v>
      </c>
      <c r="H65" s="1">
        <v>4.76</v>
      </c>
      <c r="I65" s="1">
        <v>4.76</v>
      </c>
      <c r="J65" s="1">
        <v>4.76</v>
      </c>
    </row>
    <row r="66" spans="3:10" x14ac:dyDescent="0.35">
      <c r="C66" s="2" t="s">
        <v>48</v>
      </c>
      <c r="D66" s="2">
        <f>SUM(D64,D43)</f>
        <v>40979.699999999997</v>
      </c>
      <c r="E66" s="2">
        <f t="shared" ref="E66:F66" si="11">SUM(E64,E65,E43)</f>
        <v>33974.799999999996</v>
      </c>
      <c r="F66" s="2">
        <f t="shared" si="11"/>
        <v>48015.990000000005</v>
      </c>
      <c r="G66" s="2">
        <f>SUM(G64,G65,G43)</f>
        <v>62411.869999999995</v>
      </c>
      <c r="H66" s="7">
        <f>SUM(H64,H65,H43)</f>
        <v>82762.959578967755</v>
      </c>
      <c r="I66" s="2">
        <f t="shared" ref="I66:J66" si="12">SUM(I64,I65,I43)</f>
        <v>112029.45841247751</v>
      </c>
      <c r="J66" s="2">
        <f t="shared" si="12"/>
        <v>153758.16068638649</v>
      </c>
    </row>
    <row r="68" spans="3:10" x14ac:dyDescent="0.35">
      <c r="D68" t="b">
        <f t="shared" ref="D68:J68" si="13">D66=D35</f>
        <v>1</v>
      </c>
      <c r="E68" t="b">
        <f t="shared" si="13"/>
        <v>1</v>
      </c>
      <c r="F68" t="b">
        <f t="shared" si="13"/>
        <v>1</v>
      </c>
      <c r="G68" t="b">
        <f t="shared" si="13"/>
        <v>1</v>
      </c>
      <c r="H68" t="b">
        <f t="shared" si="13"/>
        <v>0</v>
      </c>
      <c r="I68" t="b">
        <f t="shared" si="13"/>
        <v>0</v>
      </c>
      <c r="J68" t="b">
        <f t="shared" si="13"/>
        <v>0</v>
      </c>
    </row>
    <row r="69" spans="3:10" x14ac:dyDescent="0.35">
      <c r="D69" s="4">
        <f t="shared" ref="D69:J69" si="14">D66-D35</f>
        <v>0</v>
      </c>
      <c r="E69" s="4">
        <f t="shared" si="14"/>
        <v>0</v>
      </c>
      <c r="F69" s="4">
        <f t="shared" si="14"/>
        <v>0</v>
      </c>
      <c r="G69" s="4">
        <f t="shared" si="14"/>
        <v>0</v>
      </c>
      <c r="H69" s="4">
        <f t="shared" si="14"/>
        <v>0.18738064939680044</v>
      </c>
      <c r="I69" s="4">
        <f t="shared" si="14"/>
        <v>1.4333115541376173E-4</v>
      </c>
      <c r="J69" s="4">
        <f t="shared" si="14"/>
        <v>2.3618017439730465E-4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DB6C-DBE6-4386-B61A-86FA498BE2AA}">
  <sheetPr codeName="Sheet4"/>
  <dimension ref="C1:J49"/>
  <sheetViews>
    <sheetView showGridLines="0" workbookViewId="0">
      <pane xSplit="3" ySplit="6" topLeftCell="E34" activePane="bottomRight" state="frozen"/>
      <selection pane="topRight" activeCell="D1" sqref="D1"/>
      <selection pane="bottomLeft" activeCell="A7" sqref="A7"/>
      <selection pane="bottomRight" activeCell="E49" sqref="E49"/>
    </sheetView>
  </sheetViews>
  <sheetFormatPr defaultRowHeight="14.5" x14ac:dyDescent="0.35"/>
  <cols>
    <col min="3" max="3" width="78.36328125" customWidth="1"/>
    <col min="4" max="4" width="10.26953125" customWidth="1"/>
    <col min="5" max="5" width="9.6328125" customWidth="1"/>
    <col min="6" max="6" width="10.08984375" customWidth="1"/>
    <col min="7" max="7" width="11.08984375" customWidth="1"/>
    <col min="8" max="10" width="10" bestFit="1" customWidth="1"/>
  </cols>
  <sheetData>
    <row r="1" spans="3:10" x14ac:dyDescent="0.35">
      <c r="C1" s="1" t="s">
        <v>4</v>
      </c>
    </row>
    <row r="2" spans="3:10" x14ac:dyDescent="0.35">
      <c r="C2" s="1" t="s">
        <v>137</v>
      </c>
    </row>
    <row r="3" spans="3:10" x14ac:dyDescent="0.35">
      <c r="C3" t="s">
        <v>6</v>
      </c>
    </row>
    <row r="4" spans="3:10" x14ac:dyDescent="0.35">
      <c r="C4" t="s">
        <v>0</v>
      </c>
    </row>
    <row r="5" spans="3:10" x14ac:dyDescent="0.35">
      <c r="C5" s="2" t="s">
        <v>139</v>
      </c>
      <c r="D5" s="6" t="s">
        <v>7</v>
      </c>
      <c r="E5" s="6" t="s">
        <v>2</v>
      </c>
      <c r="F5" s="6" t="s">
        <v>2</v>
      </c>
      <c r="G5" s="6" t="s">
        <v>2</v>
      </c>
      <c r="H5" s="6" t="s">
        <v>138</v>
      </c>
      <c r="I5" s="6" t="s">
        <v>138</v>
      </c>
      <c r="J5" s="6" t="s">
        <v>138</v>
      </c>
    </row>
    <row r="6" spans="3:10" x14ac:dyDescent="0.35">
      <c r="C6" s="1" t="s">
        <v>3</v>
      </c>
      <c r="D6" s="1">
        <v>2020</v>
      </c>
      <c r="E6" s="1">
        <v>2021</v>
      </c>
      <c r="F6" s="1">
        <v>2022</v>
      </c>
      <c r="G6" s="1">
        <v>2023</v>
      </c>
      <c r="H6" s="1">
        <v>2024</v>
      </c>
      <c r="I6" s="1">
        <v>2025</v>
      </c>
      <c r="J6" s="1">
        <v>2026</v>
      </c>
    </row>
    <row r="8" spans="3:10" x14ac:dyDescent="0.35">
      <c r="C8" s="2" t="s">
        <v>140</v>
      </c>
      <c r="E8" s="1">
        <f>D13</f>
        <v>13783.630000000001</v>
      </c>
      <c r="F8" s="1">
        <f t="shared" ref="F8:G8" si="0">E13</f>
        <v>12130.07</v>
      </c>
      <c r="G8" s="1">
        <f t="shared" si="0"/>
        <v>12105.38</v>
      </c>
      <c r="H8" s="1">
        <f>G13</f>
        <v>13318.330000000002</v>
      </c>
      <c r="I8" s="5">
        <f t="shared" ref="I8:J8" si="1">H13</f>
        <v>13428.775935000001</v>
      </c>
      <c r="J8" s="5">
        <f t="shared" si="1"/>
        <v>13664.428869564003</v>
      </c>
    </row>
    <row r="9" spans="3:10" x14ac:dyDescent="0.35">
      <c r="C9" t="s">
        <v>141</v>
      </c>
      <c r="E9">
        <f>-SUM('Cash Flow Statement'!E40,'Cash Flow Statement'!E43)</f>
        <v>0</v>
      </c>
      <c r="F9">
        <f>-SUM('Cash Flow Statement'!F40,'Cash Flow Statement'!F43)</f>
        <v>1544.59</v>
      </c>
      <c r="G9">
        <f>-SUM('Cash Flow Statement'!G40,'Cash Flow Statement'!G43)</f>
        <v>1692.68</v>
      </c>
      <c r="H9">
        <v>1912.22</v>
      </c>
      <c r="I9">
        <v>2198.4299999999998</v>
      </c>
      <c r="J9">
        <v>2378.56</v>
      </c>
    </row>
    <row r="10" spans="3:10" x14ac:dyDescent="0.35">
      <c r="C10" t="s">
        <v>142</v>
      </c>
      <c r="E10">
        <f>-'Cash Flow Statement'!E41</f>
        <v>-222.89</v>
      </c>
      <c r="F10">
        <f>-'Cash Flow Statement'!F41</f>
        <v>0</v>
      </c>
      <c r="G10">
        <f>-'Cash Flow Statement'!G41</f>
        <v>0</v>
      </c>
      <c r="H10">
        <f>H27</f>
        <v>0</v>
      </c>
      <c r="I10">
        <f t="shared" ref="I10:J10" si="2">I27</f>
        <v>0</v>
      </c>
      <c r="J10">
        <f t="shared" si="2"/>
        <v>0</v>
      </c>
    </row>
    <row r="11" spans="3:10" x14ac:dyDescent="0.35">
      <c r="C11" t="s">
        <v>143</v>
      </c>
      <c r="E11">
        <f>-'Income Statement'!E15</f>
        <v>-1772.9</v>
      </c>
      <c r="F11">
        <f>-'Income Statement'!F15</f>
        <v>-1565.07</v>
      </c>
      <c r="G11">
        <f>-'Income Statement'!G15</f>
        <v>-1661.22</v>
      </c>
      <c r="H11" s="4">
        <f>-H14*AVERAGE(H8:H9)</f>
        <v>-1801.7740650000001</v>
      </c>
      <c r="I11" s="4">
        <f t="shared" ref="I11:J11" si="3">-I14*AVERAGE(I8:I9)</f>
        <v>-1962.7770654360002</v>
      </c>
      <c r="J11" s="4">
        <f t="shared" si="3"/>
        <v>-1818.4727883650796</v>
      </c>
    </row>
    <row r="12" spans="3:10" x14ac:dyDescent="0.35">
      <c r="C12" t="s">
        <v>144</v>
      </c>
      <c r="E12">
        <f>E13-SUM(E8:E11)</f>
        <v>342.22999999999774</v>
      </c>
      <c r="F12">
        <f>F13-SUM(F8:F11)</f>
        <v>-4.2100000000009459</v>
      </c>
      <c r="G12">
        <f t="shared" ref="G12:J12" si="4">G13-SUM(G8:G11)</f>
        <v>1181.4900000000016</v>
      </c>
      <c r="H12">
        <f t="shared" si="4"/>
        <v>0</v>
      </c>
      <c r="I12">
        <f t="shared" si="4"/>
        <v>0</v>
      </c>
      <c r="J12">
        <f t="shared" si="4"/>
        <v>0</v>
      </c>
    </row>
    <row r="13" spans="3:10" x14ac:dyDescent="0.35">
      <c r="C13" s="2" t="s">
        <v>145</v>
      </c>
      <c r="D13" s="1">
        <f>SUM('Balance Sheet'!D11:D13,'Balance Sheet'!D15)</f>
        <v>13783.630000000001</v>
      </c>
      <c r="E13" s="1">
        <f>SUM('Balance Sheet'!E11:E13,'Balance Sheet'!E15)</f>
        <v>12130.07</v>
      </c>
      <c r="F13" s="1">
        <f>SUM('Balance Sheet'!F11:F13,'Balance Sheet'!F15)</f>
        <v>12105.38</v>
      </c>
      <c r="G13" s="1">
        <f>SUM('Balance Sheet'!G11:G13,'Balance Sheet'!G15)</f>
        <v>13318.330000000002</v>
      </c>
      <c r="H13" s="5">
        <f>SUM(H8:H11)</f>
        <v>13428.775935000001</v>
      </c>
      <c r="I13" s="5">
        <f t="shared" ref="I13:J13" si="5">SUM(I8:I11)</f>
        <v>13664.428869564003</v>
      </c>
      <c r="J13" s="5">
        <f t="shared" si="5"/>
        <v>14224.516081198923</v>
      </c>
    </row>
    <row r="14" spans="3:10" x14ac:dyDescent="0.35">
      <c r="C14" t="s">
        <v>146</v>
      </c>
      <c r="E14" s="8">
        <f>-E11/AVERAGE(E8:E9)</f>
        <v>0.25724718379701139</v>
      </c>
      <c r="F14" s="8">
        <f t="shared" ref="F14:G14" si="6">-F11/AVERAGE(F8:F9)</f>
        <v>0.2289007551193229</v>
      </c>
      <c r="G14" s="8">
        <f t="shared" si="6"/>
        <v>0.24079037197982905</v>
      </c>
      <c r="H14" s="9">
        <v>0.2366</v>
      </c>
      <c r="I14" s="9">
        <v>0.25119999999999998</v>
      </c>
      <c r="J14" s="9">
        <v>0.22670000000000001</v>
      </c>
    </row>
    <row r="15" spans="3:10" x14ac:dyDescent="0.35">
      <c r="C15" t="s">
        <v>147</v>
      </c>
      <c r="E15">
        <f>E9</f>
        <v>0</v>
      </c>
      <c r="F15">
        <f t="shared" ref="F15:G15" si="7">F9</f>
        <v>1544.59</v>
      </c>
      <c r="G15">
        <f t="shared" si="7"/>
        <v>1692.68</v>
      </c>
      <c r="H15">
        <v>1824.67</v>
      </c>
      <c r="I15">
        <v>2005.78</v>
      </c>
      <c r="J15">
        <v>2234.23</v>
      </c>
    </row>
    <row r="16" spans="3:10" x14ac:dyDescent="0.35">
      <c r="C16" s="2" t="s">
        <v>148</v>
      </c>
    </row>
    <row r="17" spans="3:10" x14ac:dyDescent="0.35">
      <c r="C17" t="s">
        <v>149</v>
      </c>
      <c r="E17">
        <f>-'Cash Flow Statement'!E40</f>
        <v>0</v>
      </c>
      <c r="F17">
        <f>-'Cash Flow Statement'!F40</f>
        <v>1544.59</v>
      </c>
      <c r="G17">
        <f>-'Cash Flow Statement'!G40</f>
        <v>1692.68</v>
      </c>
      <c r="H17">
        <f>H22*H19</f>
        <v>1912.22</v>
      </c>
      <c r="I17">
        <f t="shared" ref="I17:J17" si="8">I22*I19</f>
        <v>2198.4299999999998</v>
      </c>
      <c r="J17">
        <f t="shared" si="8"/>
        <v>2378.56</v>
      </c>
    </row>
    <row r="18" spans="3:10" x14ac:dyDescent="0.35">
      <c r="C18" t="s">
        <v>150</v>
      </c>
      <c r="E18">
        <f>'Cash Flow Statement'!E43</f>
        <v>0</v>
      </c>
      <c r="F18">
        <f>'Cash Flow Statement'!F43</f>
        <v>0</v>
      </c>
      <c r="G18">
        <f>'Cash Flow Statement'!G43</f>
        <v>0</v>
      </c>
      <c r="H18">
        <f>H19-H17</f>
        <v>0</v>
      </c>
      <c r="I18">
        <f t="shared" ref="I18:J18" si="9">I19-I17</f>
        <v>0</v>
      </c>
      <c r="J18">
        <f t="shared" si="9"/>
        <v>0</v>
      </c>
    </row>
    <row r="19" spans="3:10" x14ac:dyDescent="0.35">
      <c r="C19" s="2" t="s">
        <v>133</v>
      </c>
      <c r="E19">
        <f>SUM(E17:E18)</f>
        <v>0</v>
      </c>
      <c r="F19">
        <f t="shared" ref="F19:G19" si="10">SUM(F17:F18)</f>
        <v>1544.59</v>
      </c>
      <c r="G19">
        <f t="shared" si="10"/>
        <v>1692.68</v>
      </c>
      <c r="H19">
        <f>H9</f>
        <v>1912.22</v>
      </c>
      <c r="I19">
        <f t="shared" ref="I19:J19" si="11">I9</f>
        <v>2198.4299999999998</v>
      </c>
      <c r="J19">
        <f t="shared" si="11"/>
        <v>2378.56</v>
      </c>
    </row>
    <row r="21" spans="3:10" x14ac:dyDescent="0.35">
      <c r="C21" s="2" t="s">
        <v>151</v>
      </c>
    </row>
    <row r="22" spans="3:10" x14ac:dyDescent="0.35">
      <c r="C22" t="s">
        <v>149</v>
      </c>
      <c r="E22" s="15">
        <v>0</v>
      </c>
      <c r="F22" s="10">
        <f>F17/F19</f>
        <v>1</v>
      </c>
      <c r="G22" s="10">
        <v>1</v>
      </c>
      <c r="H22" s="15">
        <v>1</v>
      </c>
      <c r="I22" s="15">
        <v>1</v>
      </c>
      <c r="J22" s="15">
        <v>1</v>
      </c>
    </row>
    <row r="23" spans="3:10" x14ac:dyDescent="0.35">
      <c r="C23" t="s">
        <v>150</v>
      </c>
      <c r="E23" s="15">
        <v>0</v>
      </c>
      <c r="F23" s="10">
        <f>F18/F19</f>
        <v>0</v>
      </c>
      <c r="G23" s="10">
        <f t="shared" ref="G23" si="12">G18/G19</f>
        <v>0</v>
      </c>
      <c r="H23" s="15">
        <v>0</v>
      </c>
      <c r="I23" s="15">
        <v>0</v>
      </c>
      <c r="J23" s="15">
        <v>0</v>
      </c>
    </row>
    <row r="24" spans="3:10" x14ac:dyDescent="0.35">
      <c r="C24" s="2" t="s">
        <v>133</v>
      </c>
      <c r="E24" s="15">
        <f>SUM(E22:E23)</f>
        <v>0</v>
      </c>
      <c r="F24" s="15">
        <f t="shared" ref="F24:J24" si="13">SUM(F22:F23)</f>
        <v>1</v>
      </c>
      <c r="G24" s="15">
        <f t="shared" si="13"/>
        <v>1</v>
      </c>
      <c r="H24" s="15">
        <f t="shared" si="13"/>
        <v>1</v>
      </c>
      <c r="I24" s="15">
        <f t="shared" si="13"/>
        <v>1</v>
      </c>
      <c r="J24" s="15">
        <f t="shared" si="13"/>
        <v>1</v>
      </c>
    </row>
    <row r="26" spans="3:10" x14ac:dyDescent="0.35">
      <c r="C26" t="s">
        <v>152</v>
      </c>
      <c r="E26" s="8">
        <f>-E10/E8</f>
        <v>1.6170631393907117E-2</v>
      </c>
      <c r="F26" s="8">
        <f t="shared" ref="F26:J26" si="14">-F10/F8</f>
        <v>0</v>
      </c>
      <c r="G26" s="8">
        <f t="shared" si="14"/>
        <v>0</v>
      </c>
      <c r="H26" s="8">
        <f t="shared" si="14"/>
        <v>0</v>
      </c>
      <c r="I26" s="8">
        <f t="shared" si="14"/>
        <v>0</v>
      </c>
      <c r="J26" s="8">
        <f t="shared" si="14"/>
        <v>0</v>
      </c>
    </row>
    <row r="27" spans="3:10" x14ac:dyDescent="0.35">
      <c r="C27" t="s">
        <v>147</v>
      </c>
      <c r="E27">
        <f>E10</f>
        <v>-222.89</v>
      </c>
      <c r="F27">
        <f t="shared" ref="F27:G27" si="15">F10</f>
        <v>0</v>
      </c>
      <c r="G27">
        <f t="shared" si="15"/>
        <v>0</v>
      </c>
      <c r="H27">
        <v>0</v>
      </c>
      <c r="I27">
        <v>0</v>
      </c>
      <c r="J27">
        <v>0</v>
      </c>
    </row>
    <row r="29" spans="3:10" x14ac:dyDescent="0.35">
      <c r="C29" s="2" t="s">
        <v>153</v>
      </c>
    </row>
    <row r="30" spans="3:10" x14ac:dyDescent="0.35">
      <c r="C30" t="s">
        <v>149</v>
      </c>
      <c r="E30">
        <f>-'Cash Flow Statement'!E41</f>
        <v>-222.89</v>
      </c>
      <c r="F30">
        <f>-'Cash Flow Statement'!F41</f>
        <v>0</v>
      </c>
      <c r="G30">
        <f>-'Cash Flow Statement'!G41</f>
        <v>0</v>
      </c>
      <c r="H30">
        <v>0</v>
      </c>
      <c r="I30">
        <v>0</v>
      </c>
      <c r="J30">
        <v>0</v>
      </c>
    </row>
    <row r="31" spans="3:10" x14ac:dyDescent="0.35">
      <c r="C31" s="2" t="s">
        <v>133</v>
      </c>
      <c r="E31" s="1">
        <f>E30</f>
        <v>-222.89</v>
      </c>
      <c r="F31" s="1">
        <f t="shared" ref="F31:J31" si="16">F30</f>
        <v>0</v>
      </c>
      <c r="G31" s="1">
        <f t="shared" si="16"/>
        <v>0</v>
      </c>
      <c r="H31" s="1">
        <f>H30</f>
        <v>0</v>
      </c>
      <c r="I31" s="1">
        <f t="shared" si="16"/>
        <v>0</v>
      </c>
      <c r="J31" s="1">
        <f t="shared" si="16"/>
        <v>0</v>
      </c>
    </row>
    <row r="32" spans="3:10" x14ac:dyDescent="0.35">
      <c r="C32" s="14"/>
    </row>
    <row r="33" spans="3:10" x14ac:dyDescent="0.35">
      <c r="C33" s="2" t="s">
        <v>154</v>
      </c>
    </row>
    <row r="34" spans="3:10" x14ac:dyDescent="0.35">
      <c r="C34" t="s">
        <v>18</v>
      </c>
      <c r="E34">
        <f>'Balance Sheet'!E11</f>
        <v>715.75</v>
      </c>
      <c r="F34">
        <f>'Balance Sheet'!F11</f>
        <v>8076.44</v>
      </c>
      <c r="G34">
        <f>'Balance Sheet'!G11</f>
        <v>9245.8700000000008</v>
      </c>
      <c r="H34" s="4">
        <f>H41*H$38</f>
        <v>9714.3765113790014</v>
      </c>
      <c r="I34" s="4">
        <f>I41*I$38</f>
        <v>10156.769978746923</v>
      </c>
      <c r="J34" s="4">
        <f t="shared" ref="J34:J37" si="17">J41*J$38</f>
        <v>10573.082803155159</v>
      </c>
    </row>
    <row r="35" spans="3:10" x14ac:dyDescent="0.35">
      <c r="C35" t="s">
        <v>19</v>
      </c>
      <c r="E35">
        <f>'Balance Sheet'!E12</f>
        <v>1292.06</v>
      </c>
      <c r="F35">
        <f>'Balance Sheet'!F12</f>
        <v>1316.6</v>
      </c>
      <c r="G35">
        <f>'Balance Sheet'!G12</f>
        <v>1846.67</v>
      </c>
      <c r="H35" s="4">
        <f t="shared" ref="H35:I37" si="18">H42*H$38</f>
        <v>1701.4259109645002</v>
      </c>
      <c r="I35" s="4">
        <f t="shared" si="18"/>
        <v>1593.2724061911626</v>
      </c>
      <c r="J35" s="4">
        <f t="shared" si="17"/>
        <v>1658.5785750677944</v>
      </c>
    </row>
    <row r="36" spans="3:10" x14ac:dyDescent="0.35">
      <c r="C36" t="s">
        <v>20</v>
      </c>
      <c r="E36">
        <f>'Balance Sheet'!E13</f>
        <v>6903.92</v>
      </c>
      <c r="F36">
        <f>'Balance Sheet'!F13</f>
        <v>0</v>
      </c>
      <c r="G36">
        <f>'Balance Sheet'!G13</f>
        <v>0</v>
      </c>
      <c r="H36" s="4">
        <f t="shared" si="18"/>
        <v>0</v>
      </c>
      <c r="I36" s="4">
        <f t="shared" si="18"/>
        <v>0</v>
      </c>
      <c r="J36" s="4">
        <f t="shared" si="17"/>
        <v>0</v>
      </c>
    </row>
    <row r="37" spans="3:10" x14ac:dyDescent="0.35">
      <c r="C37" t="s">
        <v>22</v>
      </c>
      <c r="E37">
        <f>'Balance Sheet'!E15</f>
        <v>3218.34</v>
      </c>
      <c r="F37">
        <f>'Balance Sheet'!F15</f>
        <v>2712.34</v>
      </c>
      <c r="G37">
        <f>'Balance Sheet'!G15</f>
        <v>2225.79</v>
      </c>
      <c r="H37" s="4">
        <f t="shared" si="18"/>
        <v>2012.9735126564992</v>
      </c>
      <c r="I37" s="4">
        <f t="shared" si="18"/>
        <v>1914.3864846259169</v>
      </c>
      <c r="J37" s="4">
        <f t="shared" si="17"/>
        <v>1992.8547029759691</v>
      </c>
    </row>
    <row r="38" spans="3:10" x14ac:dyDescent="0.35">
      <c r="C38" s="2" t="s">
        <v>133</v>
      </c>
      <c r="D38" s="1">
        <f>D13</f>
        <v>13783.630000000001</v>
      </c>
      <c r="E38" s="1">
        <f t="shared" ref="E38:J38" si="19">E13</f>
        <v>12130.07</v>
      </c>
      <c r="F38" s="1">
        <f t="shared" si="19"/>
        <v>12105.38</v>
      </c>
      <c r="G38" s="1">
        <f t="shared" si="19"/>
        <v>13318.330000000002</v>
      </c>
      <c r="H38" s="5">
        <f t="shared" si="19"/>
        <v>13428.775935000001</v>
      </c>
      <c r="I38" s="5">
        <f t="shared" si="19"/>
        <v>13664.428869564003</v>
      </c>
      <c r="J38" s="5">
        <f t="shared" si="19"/>
        <v>14224.516081198923</v>
      </c>
    </row>
    <row r="40" spans="3:10" x14ac:dyDescent="0.35">
      <c r="C40" s="2" t="s">
        <v>155</v>
      </c>
    </row>
    <row r="41" spans="3:10" x14ac:dyDescent="0.35">
      <c r="C41" t="s">
        <v>18</v>
      </c>
      <c r="E41" s="8">
        <f>E34/E$38</f>
        <v>5.9006254704218525E-2</v>
      </c>
      <c r="F41" s="8">
        <f t="shared" ref="F41:G41" si="20">F34/F$38</f>
        <v>0.66717773419752213</v>
      </c>
      <c r="G41" s="8">
        <f t="shared" si="20"/>
        <v>0.69422142265584341</v>
      </c>
      <c r="H41" s="9">
        <v>0.72340000000000004</v>
      </c>
      <c r="I41" s="9">
        <v>0.74329999999999996</v>
      </c>
      <c r="J41" s="9">
        <v>0.74329999999999996</v>
      </c>
    </row>
    <row r="42" spans="3:10" x14ac:dyDescent="0.35">
      <c r="C42" t="s">
        <v>19</v>
      </c>
      <c r="E42" s="8">
        <f t="shared" ref="E42:G44" si="21">E35/E$38</f>
        <v>0.10651710995896974</v>
      </c>
      <c r="F42" s="8">
        <f t="shared" si="21"/>
        <v>0.10876155891017052</v>
      </c>
      <c r="G42" s="8">
        <f t="shared" si="21"/>
        <v>0.13865627297116079</v>
      </c>
      <c r="H42" s="9">
        <v>0.12670000000000001</v>
      </c>
      <c r="I42" s="9">
        <v>0.1166</v>
      </c>
      <c r="J42" s="9">
        <v>0.1166</v>
      </c>
    </row>
    <row r="43" spans="3:10" x14ac:dyDescent="0.35">
      <c r="C43" t="s">
        <v>20</v>
      </c>
      <c r="E43" s="8">
        <f t="shared" si="21"/>
        <v>0.56915747394697647</v>
      </c>
      <c r="F43" s="8">
        <f t="shared" si="21"/>
        <v>0</v>
      </c>
      <c r="G43" s="8">
        <f t="shared" si="21"/>
        <v>0</v>
      </c>
      <c r="H43" s="9">
        <v>0</v>
      </c>
      <c r="I43" s="9">
        <v>0</v>
      </c>
      <c r="J43" s="9">
        <v>0</v>
      </c>
    </row>
    <row r="44" spans="3:10" x14ac:dyDescent="0.35">
      <c r="C44" t="s">
        <v>22</v>
      </c>
      <c r="E44" s="8">
        <f t="shared" si="21"/>
        <v>0.26531916138983536</v>
      </c>
      <c r="F44" s="8">
        <f t="shared" si="21"/>
        <v>0.22406070689230742</v>
      </c>
      <c r="G44" s="8">
        <f t="shared" si="21"/>
        <v>0.16712230437299569</v>
      </c>
      <c r="H44" s="9">
        <f>H45-SUM(H41:H43)</f>
        <v>0.14989999999999992</v>
      </c>
      <c r="I44" s="9">
        <f t="shared" ref="I44:J44" si="22">I45-SUM(I41:I43)</f>
        <v>0.1401</v>
      </c>
      <c r="J44" s="9">
        <f t="shared" si="22"/>
        <v>0.1401</v>
      </c>
    </row>
    <row r="45" spans="3:10" x14ac:dyDescent="0.35">
      <c r="C45" s="2" t="s">
        <v>133</v>
      </c>
      <c r="E45" s="9">
        <f>SUM(E41:E44)</f>
        <v>1</v>
      </c>
      <c r="F45" s="9">
        <f t="shared" ref="F45:G45" si="23">SUM(F41:F44)</f>
        <v>1</v>
      </c>
      <c r="G45" s="9">
        <f t="shared" si="23"/>
        <v>0.99999999999999989</v>
      </c>
      <c r="H45" s="15">
        <v>1</v>
      </c>
      <c r="I45" s="15">
        <v>1</v>
      </c>
      <c r="J45" s="15">
        <v>1</v>
      </c>
    </row>
    <row r="47" spans="3:10" x14ac:dyDescent="0.35">
      <c r="C47" s="2" t="s">
        <v>257</v>
      </c>
      <c r="D47">
        <f>'Cash Flow Statement'!D18</f>
        <v>1.41</v>
      </c>
      <c r="E47">
        <f>'Cash Flow Statement'!E18</f>
        <v>-0.17</v>
      </c>
      <c r="F47">
        <f>'Cash Flow Statement'!F18</f>
        <v>4.2</v>
      </c>
      <c r="G47">
        <f>'Cash Flow Statement'!G18</f>
        <v>2.1800000000000002</v>
      </c>
      <c r="H47">
        <f>H48*H10</f>
        <v>0</v>
      </c>
      <c r="I47">
        <f t="shared" ref="I47:J47" si="24">I48*I10</f>
        <v>0</v>
      </c>
      <c r="J47">
        <f t="shared" si="24"/>
        <v>0</v>
      </c>
    </row>
    <row r="48" spans="3:10" x14ac:dyDescent="0.35">
      <c r="C48" t="s">
        <v>258</v>
      </c>
      <c r="E48" s="8">
        <f>E47/E10</f>
        <v>7.6270806227287009E-4</v>
      </c>
      <c r="F48" s="8">
        <v>0</v>
      </c>
      <c r="G48" s="8">
        <v>0</v>
      </c>
      <c r="H48" s="9">
        <v>1.6999999999999999E-3</v>
      </c>
      <c r="I48" s="9">
        <v>2.5000000000000001E-3</v>
      </c>
      <c r="J48" s="9">
        <v>3.5000000000000001E-3</v>
      </c>
    </row>
    <row r="49" spans="3:10" x14ac:dyDescent="0.35">
      <c r="C49" s="21" t="s">
        <v>259</v>
      </c>
      <c r="E49">
        <f>-E10</f>
        <v>222.89</v>
      </c>
      <c r="F49">
        <f t="shared" ref="F49:J49" si="25">-F10</f>
        <v>0</v>
      </c>
      <c r="G49">
        <f t="shared" si="25"/>
        <v>0</v>
      </c>
      <c r="H49">
        <f t="shared" si="25"/>
        <v>0</v>
      </c>
      <c r="I49">
        <f t="shared" si="25"/>
        <v>0</v>
      </c>
      <c r="J49">
        <f t="shared" si="2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B085B-6585-4DD7-A974-9DBEF7D595D6}">
  <sheetPr codeName="Sheet5"/>
  <dimension ref="C1:J31"/>
  <sheetViews>
    <sheetView showGridLines="0" workbookViewId="0">
      <pane xSplit="3" ySplit="6" topLeftCell="E7" activePane="bottomRight" state="frozen"/>
      <selection pane="topRight" activeCell="D1" sqref="D1"/>
      <selection pane="bottomLeft" activeCell="A7" sqref="A7"/>
      <selection pane="bottomRight" activeCell="H34" sqref="H34"/>
    </sheetView>
  </sheetViews>
  <sheetFormatPr defaultRowHeight="14.5" x14ac:dyDescent="0.35"/>
  <cols>
    <col min="3" max="3" width="70" customWidth="1"/>
    <col min="4" max="4" width="11.1796875" customWidth="1"/>
    <col min="5" max="5" width="10.7265625" customWidth="1"/>
    <col min="6" max="6" width="11" customWidth="1"/>
    <col min="7" max="7" width="11.26953125" customWidth="1"/>
    <col min="8" max="10" width="10" bestFit="1" customWidth="1"/>
  </cols>
  <sheetData>
    <row r="1" spans="3:10" x14ac:dyDescent="0.35">
      <c r="C1" s="1" t="s">
        <v>4</v>
      </c>
    </row>
    <row r="2" spans="3:10" x14ac:dyDescent="0.35">
      <c r="C2" s="1" t="s">
        <v>129</v>
      </c>
    </row>
    <row r="3" spans="3:10" x14ac:dyDescent="0.35">
      <c r="C3" t="s">
        <v>6</v>
      </c>
    </row>
    <row r="4" spans="3:10" x14ac:dyDescent="0.35">
      <c r="C4" t="s">
        <v>0</v>
      </c>
    </row>
    <row r="5" spans="3:10" x14ac:dyDescent="0.35">
      <c r="C5" s="2" t="s">
        <v>1</v>
      </c>
      <c r="D5" s="6" t="s">
        <v>7</v>
      </c>
      <c r="E5" s="6" t="s">
        <v>2</v>
      </c>
      <c r="F5" s="6" t="s">
        <v>2</v>
      </c>
      <c r="G5" s="6" t="s">
        <v>2</v>
      </c>
      <c r="H5" s="6" t="s">
        <v>138</v>
      </c>
      <c r="I5" s="6" t="s">
        <v>138</v>
      </c>
      <c r="J5" s="6" t="s">
        <v>138</v>
      </c>
    </row>
    <row r="6" spans="3:10" x14ac:dyDescent="0.35">
      <c r="C6" s="1" t="s">
        <v>3</v>
      </c>
      <c r="D6" s="1">
        <v>2020</v>
      </c>
      <c r="E6" s="1">
        <v>2021</v>
      </c>
      <c r="F6" s="1">
        <v>2022</v>
      </c>
      <c r="G6" s="1">
        <v>2023</v>
      </c>
      <c r="H6" s="1">
        <v>2024</v>
      </c>
      <c r="I6" s="1">
        <v>2025</v>
      </c>
      <c r="J6" s="1">
        <v>2026</v>
      </c>
    </row>
    <row r="8" spans="3:10" x14ac:dyDescent="0.35">
      <c r="C8" s="1" t="s">
        <v>130</v>
      </c>
    </row>
    <row r="10" spans="3:10" x14ac:dyDescent="0.35">
      <c r="C10" t="s">
        <v>171</v>
      </c>
      <c r="D10" s="8">
        <f>D19/D$24</f>
        <v>0.29605216225085246</v>
      </c>
      <c r="E10" s="8">
        <f t="shared" ref="E10:G10" si="0">E19/E$24</f>
        <v>0.32300979235340566</v>
      </c>
      <c r="F10" s="8">
        <f t="shared" si="0"/>
        <v>0.36216623383098262</v>
      </c>
      <c r="G10" s="8">
        <f t="shared" si="0"/>
        <v>0.34012393120218853</v>
      </c>
      <c r="H10" s="8">
        <f>H19/H$24</f>
        <v>0.31685071122613828</v>
      </c>
      <c r="I10" s="8">
        <f t="shared" ref="I10:J10" si="1">I19/I$24</f>
        <v>0.29411780122764797</v>
      </c>
      <c r="J10" s="8">
        <f t="shared" si="1"/>
        <v>0.27214551229300415</v>
      </c>
    </row>
    <row r="11" spans="3:10" x14ac:dyDescent="0.35">
      <c r="C11" t="s">
        <v>172</v>
      </c>
      <c r="D11" s="8">
        <f t="shared" ref="D11:J13" si="2">D20/D$24</f>
        <v>0.67681804562770187</v>
      </c>
      <c r="E11" s="8">
        <f t="shared" si="2"/>
        <v>0.61092539440677396</v>
      </c>
      <c r="F11" s="8">
        <f t="shared" si="2"/>
        <v>0.6086274111393396</v>
      </c>
      <c r="G11" s="8">
        <f t="shared" si="2"/>
        <v>0.633859185110345</v>
      </c>
      <c r="H11" s="8">
        <f t="shared" si="2"/>
        <v>0.66055084266594388</v>
      </c>
      <c r="I11" s="8">
        <f t="shared" si="2"/>
        <v>0.68591269657924114</v>
      </c>
      <c r="J11" s="8">
        <f t="shared" si="2"/>
        <v>0.70997764639973848</v>
      </c>
    </row>
    <row r="12" spans="3:10" x14ac:dyDescent="0.35">
      <c r="C12" t="s">
        <v>131</v>
      </c>
      <c r="D12" s="8">
        <f t="shared" si="2"/>
        <v>1.3524471267483722E-2</v>
      </c>
      <c r="E12" s="8">
        <f t="shared" si="2"/>
        <v>1.6114679219404938E-2</v>
      </c>
      <c r="F12" s="8">
        <f t="shared" si="2"/>
        <v>1.1170711757773816E-2</v>
      </c>
      <c r="G12" s="8">
        <f t="shared" si="2"/>
        <v>8.6866828137473102E-3</v>
      </c>
      <c r="H12" s="8">
        <f t="shared" si="2"/>
        <v>6.0830457386817768E-3</v>
      </c>
      <c r="I12" s="8">
        <f t="shared" si="2"/>
        <v>4.2446054564932723E-3</v>
      </c>
      <c r="J12" s="8">
        <f t="shared" si="2"/>
        <v>2.9523430299587413E-3</v>
      </c>
    </row>
    <row r="13" spans="3:10" x14ac:dyDescent="0.35">
      <c r="C13" t="s">
        <v>132</v>
      </c>
      <c r="D13" s="8">
        <f t="shared" si="2"/>
        <v>1.3524471267483722E-2</v>
      </c>
      <c r="E13" s="8">
        <f t="shared" si="2"/>
        <v>4.9597401597501867E-2</v>
      </c>
      <c r="F13" s="8">
        <f t="shared" si="2"/>
        <v>1.7990725251993619E-2</v>
      </c>
      <c r="G13" s="8">
        <f t="shared" si="2"/>
        <v>1.7283812196425063E-2</v>
      </c>
      <c r="H13" s="8">
        <f t="shared" si="2"/>
        <v>1.6515400369235971E-2</v>
      </c>
      <c r="I13" s="8">
        <f t="shared" si="2"/>
        <v>1.572489673661763E-2</v>
      </c>
      <c r="J13" s="8">
        <f t="shared" si="2"/>
        <v>1.4924498277298685E-2</v>
      </c>
    </row>
    <row r="14" spans="3:10" x14ac:dyDescent="0.35">
      <c r="C14" t="s">
        <v>136</v>
      </c>
      <c r="D14" s="8">
        <f>D15-SUM(D10:D13)</f>
        <v>8.0849586478359825E-5</v>
      </c>
      <c r="E14" s="8">
        <f t="shared" ref="E14:G14" si="3">E15-SUM(E10:E13)</f>
        <v>3.5273242291355977E-4</v>
      </c>
      <c r="F14" s="8">
        <f t="shared" si="3"/>
        <v>4.4918019910245022E-5</v>
      </c>
      <c r="G14" s="8">
        <f t="shared" si="3"/>
        <v>4.6388677294117997E-5</v>
      </c>
      <c r="H14" s="9">
        <f>H15-SUM(H10:H13)</f>
        <v>0</v>
      </c>
      <c r="I14" s="9">
        <f t="shared" ref="I14:J14" si="4">I15-SUM(I10:I13)</f>
        <v>0</v>
      </c>
      <c r="J14" s="9">
        <f t="shared" si="4"/>
        <v>0</v>
      </c>
    </row>
    <row r="15" spans="3:10" x14ac:dyDescent="0.35">
      <c r="C15" s="2" t="s">
        <v>133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</row>
    <row r="17" spans="3:10" x14ac:dyDescent="0.35">
      <c r="C17" s="1" t="s">
        <v>134</v>
      </c>
    </row>
    <row r="19" spans="3:10" x14ac:dyDescent="0.35">
      <c r="C19" t="s">
        <v>171</v>
      </c>
      <c r="D19" s="11">
        <v>9960</v>
      </c>
      <c r="E19" s="11">
        <v>9020</v>
      </c>
      <c r="F19" s="11">
        <v>15400</v>
      </c>
      <c r="G19" s="11">
        <v>18990</v>
      </c>
      <c r="H19" s="4">
        <f>(H28*G19)+G19</f>
        <v>24726.879000000001</v>
      </c>
      <c r="I19" s="4">
        <f t="shared" ref="I19:J19" si="5">(I28*H19)+H19</f>
        <v>32196.8691459</v>
      </c>
      <c r="J19" s="4">
        <f t="shared" si="5"/>
        <v>41923.543314876391</v>
      </c>
    </row>
    <row r="20" spans="3:10" x14ac:dyDescent="0.35">
      <c r="C20" t="s">
        <v>172</v>
      </c>
      <c r="D20" s="11">
        <v>22770</v>
      </c>
      <c r="E20" s="11">
        <v>17060</v>
      </c>
      <c r="F20" s="11">
        <v>25880</v>
      </c>
      <c r="G20" s="11">
        <v>35390</v>
      </c>
      <c r="H20" s="4">
        <f t="shared" ref="H20:J20" si="6">(H29*G20)+G20</f>
        <v>51549.074000000001</v>
      </c>
      <c r="I20" s="4">
        <f t="shared" si="6"/>
        <v>75086.381188400002</v>
      </c>
      <c r="J20" s="4">
        <f t="shared" si="6"/>
        <v>109370.82283902344</v>
      </c>
    </row>
    <row r="21" spans="3:10" x14ac:dyDescent="0.35">
      <c r="C21" t="s">
        <v>131</v>
      </c>
      <c r="D21" s="11">
        <v>455</v>
      </c>
      <c r="E21" s="11">
        <v>450</v>
      </c>
      <c r="F21" s="11">
        <v>475</v>
      </c>
      <c r="G21" s="11">
        <v>485</v>
      </c>
      <c r="H21" s="4">
        <f t="shared" ref="H21:J21" si="7">(H30*G21)+G21</f>
        <v>474.71800000000002</v>
      </c>
      <c r="I21" s="4">
        <f t="shared" si="7"/>
        <v>464.65397840000003</v>
      </c>
      <c r="J21" s="4">
        <f t="shared" si="7"/>
        <v>454.80331405792003</v>
      </c>
    </row>
    <row r="22" spans="3:10" x14ac:dyDescent="0.35">
      <c r="C22" t="s">
        <v>132</v>
      </c>
      <c r="D22" s="11">
        <v>455</v>
      </c>
      <c r="E22" s="11">
        <v>1385</v>
      </c>
      <c r="F22" s="11">
        <v>765</v>
      </c>
      <c r="G22" s="11">
        <v>965</v>
      </c>
      <c r="H22" s="4">
        <f t="shared" ref="H22:J22" si="8">(H31*G22)+G22</f>
        <v>1288.854</v>
      </c>
      <c r="I22" s="4">
        <f t="shared" si="8"/>
        <v>1721.3934024</v>
      </c>
      <c r="J22" s="4">
        <f t="shared" si="8"/>
        <v>2299.0930282454401</v>
      </c>
    </row>
    <row r="23" spans="3:10" x14ac:dyDescent="0.35">
      <c r="C23" t="s">
        <v>136</v>
      </c>
      <c r="D23" s="11">
        <f>D24-SUM(D19:D22)</f>
        <v>2.7200000000011642</v>
      </c>
      <c r="E23" s="11">
        <f t="shared" ref="E23:J23" si="9">E24-SUM(E19:E22)</f>
        <v>9.8499999999985448</v>
      </c>
      <c r="F23" s="11">
        <f t="shared" si="9"/>
        <v>1.9100000000034925</v>
      </c>
      <c r="G23" s="11">
        <f t="shared" si="9"/>
        <v>2.5900000000037835</v>
      </c>
      <c r="H23" s="11">
        <f t="shared" si="9"/>
        <v>0</v>
      </c>
      <c r="I23" s="11">
        <f t="shared" si="9"/>
        <v>0</v>
      </c>
      <c r="J23" s="11">
        <f t="shared" si="9"/>
        <v>0</v>
      </c>
    </row>
    <row r="24" spans="3:10" x14ac:dyDescent="0.35">
      <c r="C24" s="2" t="s">
        <v>133</v>
      </c>
      <c r="D24" s="2">
        <f>'Income Statement'!D10</f>
        <v>33642.720000000001</v>
      </c>
      <c r="E24" s="2">
        <f>'Income Statement'!E10</f>
        <v>27924.85</v>
      </c>
      <c r="F24" s="2">
        <f>'Income Statement'!F10</f>
        <v>42521.91</v>
      </c>
      <c r="G24" s="2">
        <f>'Income Statement'!G10</f>
        <v>55832.590000000004</v>
      </c>
      <c r="H24" s="7">
        <f>SUM(H19:H22)</f>
        <v>78039.525000000009</v>
      </c>
      <c r="I24" s="7">
        <f t="shared" ref="I24:J24" si="10">SUM(I19:I22)</f>
        <v>109469.29771510001</v>
      </c>
      <c r="J24" s="7">
        <f t="shared" si="10"/>
        <v>154048.26249620318</v>
      </c>
    </row>
    <row r="26" spans="3:10" x14ac:dyDescent="0.35">
      <c r="C26" s="1" t="s">
        <v>135</v>
      </c>
    </row>
    <row r="28" spans="3:10" x14ac:dyDescent="0.35">
      <c r="C28" t="s">
        <v>171</v>
      </c>
      <c r="D28" s="12">
        <v>-4.2000000000000003E-2</v>
      </c>
      <c r="E28" s="13">
        <v>-9.4E-2</v>
      </c>
      <c r="F28" s="13">
        <v>0.70699999999999996</v>
      </c>
      <c r="G28" s="13">
        <v>0.2331</v>
      </c>
      <c r="H28" s="9">
        <v>0.30209999999999998</v>
      </c>
      <c r="I28" s="9">
        <v>0.30209999999999998</v>
      </c>
      <c r="J28" s="9">
        <v>0.30209999999999998</v>
      </c>
    </row>
    <row r="29" spans="3:10" x14ac:dyDescent="0.35">
      <c r="C29" t="s">
        <v>172</v>
      </c>
      <c r="D29" s="13">
        <v>0.34699999999999998</v>
      </c>
      <c r="E29" s="13">
        <v>-0.251</v>
      </c>
      <c r="F29" s="13">
        <v>0.51700000000000002</v>
      </c>
      <c r="G29" s="13">
        <v>0.36749999999999999</v>
      </c>
      <c r="H29" s="9">
        <v>0.45660000000000001</v>
      </c>
      <c r="I29" s="9">
        <v>0.45660000000000001</v>
      </c>
      <c r="J29" s="9">
        <v>0.45660000000000001</v>
      </c>
    </row>
    <row r="30" spans="3:10" x14ac:dyDescent="0.35">
      <c r="C30" t="s">
        <v>131</v>
      </c>
      <c r="D30" s="13">
        <v>0.27800000000000002</v>
      </c>
      <c r="E30" s="13">
        <v>-2.1999999999999999E-2</v>
      </c>
      <c r="F30" s="13">
        <v>6.7000000000000004E-2</v>
      </c>
      <c r="G30" s="13">
        <v>2.0799999999999999E-2</v>
      </c>
      <c r="H30" s="9">
        <v>-2.12E-2</v>
      </c>
      <c r="I30" s="9">
        <v>-2.12E-2</v>
      </c>
      <c r="J30" s="9">
        <v>-2.12E-2</v>
      </c>
    </row>
    <row r="31" spans="3:10" x14ac:dyDescent="0.35">
      <c r="C31" t="s">
        <v>132</v>
      </c>
      <c r="D31" s="13">
        <v>-0.38669999999999999</v>
      </c>
      <c r="E31" s="13">
        <v>2.0217000000000001</v>
      </c>
      <c r="F31" s="13">
        <v>-0.44600000000000001</v>
      </c>
      <c r="G31" s="13">
        <v>0.25969999999999999</v>
      </c>
      <c r="H31" s="9">
        <v>0.33560000000000001</v>
      </c>
      <c r="I31" s="9">
        <v>0.33560000000000001</v>
      </c>
      <c r="J31" s="9">
        <v>0.33560000000000001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BF60A-CDEF-4E0A-8CD2-31DE368D91ED}">
  <sheetPr codeName="Sheet6"/>
  <dimension ref="C1:J24"/>
  <sheetViews>
    <sheetView showGridLines="0" workbookViewId="0">
      <pane xSplit="3" ySplit="6" topLeftCell="F14" activePane="bottomRight" state="frozen"/>
      <selection pane="topRight" activeCell="D1" sqref="D1"/>
      <selection pane="bottomLeft" activeCell="A7" sqref="A7"/>
      <selection pane="bottomRight" activeCell="E27" sqref="E27"/>
    </sheetView>
  </sheetViews>
  <sheetFormatPr defaultRowHeight="14.5" x14ac:dyDescent="0.35"/>
  <cols>
    <col min="3" max="3" width="75.81640625" customWidth="1"/>
    <col min="4" max="4" width="11.08984375" customWidth="1"/>
    <col min="5" max="5" width="10.7265625" customWidth="1"/>
    <col min="6" max="6" width="11" customWidth="1"/>
    <col min="7" max="7" width="10.7265625" customWidth="1"/>
    <col min="8" max="8" width="10.36328125" customWidth="1"/>
    <col min="9" max="9" width="10.453125" customWidth="1"/>
    <col min="10" max="10" width="10" bestFit="1" customWidth="1"/>
  </cols>
  <sheetData>
    <row r="1" spans="3:10" x14ac:dyDescent="0.35">
      <c r="C1" s="1" t="s">
        <v>4</v>
      </c>
    </row>
    <row r="2" spans="3:10" x14ac:dyDescent="0.35">
      <c r="C2" s="1" t="s">
        <v>158</v>
      </c>
    </row>
    <row r="3" spans="3:10" x14ac:dyDescent="0.35">
      <c r="C3" t="s">
        <v>6</v>
      </c>
    </row>
    <row r="4" spans="3:10" x14ac:dyDescent="0.35">
      <c r="C4" t="s">
        <v>0</v>
      </c>
    </row>
    <row r="5" spans="3:10" x14ac:dyDescent="0.35">
      <c r="C5" s="2" t="s">
        <v>1</v>
      </c>
      <c r="D5" s="6" t="s">
        <v>7</v>
      </c>
      <c r="E5" s="6" t="s">
        <v>2</v>
      </c>
      <c r="F5" s="6" t="s">
        <v>2</v>
      </c>
      <c r="G5" s="6" t="s">
        <v>2</v>
      </c>
      <c r="H5" s="6" t="s">
        <v>138</v>
      </c>
      <c r="I5" s="6" t="s">
        <v>138</v>
      </c>
      <c r="J5" s="6" t="s">
        <v>138</v>
      </c>
    </row>
    <row r="6" spans="3:10" x14ac:dyDescent="0.35">
      <c r="C6" s="1" t="s">
        <v>3</v>
      </c>
      <c r="D6" s="1">
        <v>2020</v>
      </c>
      <c r="E6" s="1">
        <v>2021</v>
      </c>
      <c r="F6" s="1">
        <v>2022</v>
      </c>
      <c r="G6" s="1">
        <v>2023</v>
      </c>
      <c r="H6" s="1">
        <v>2024</v>
      </c>
      <c r="I6" s="1">
        <v>2025</v>
      </c>
      <c r="J6" s="1">
        <v>2026</v>
      </c>
    </row>
    <row r="8" spans="3:10" x14ac:dyDescent="0.35">
      <c r="C8" t="s">
        <v>159</v>
      </c>
      <c r="D8">
        <f>SUM('Balance Sheet'!D58:D59)</f>
        <v>206.05</v>
      </c>
      <c r="E8">
        <f>SUM('Balance Sheet'!E58:E59)</f>
        <v>20.23</v>
      </c>
      <c r="F8">
        <f>SUM('Balance Sheet'!F58:F59)</f>
        <v>0</v>
      </c>
      <c r="G8">
        <f>SUM('Balance Sheet'!G58:G59)</f>
        <v>31.49</v>
      </c>
      <c r="H8" s="4">
        <f t="shared" ref="H8:I8" si="0">(2*H9)-G8</f>
        <v>13.30261935058061</v>
      </c>
      <c r="I8" s="4">
        <f t="shared" si="0"/>
        <v>49.529856668819278</v>
      </c>
      <c r="J8" s="4">
        <f>(2*J9)-I8</f>
        <v>38.889763819782502</v>
      </c>
    </row>
    <row r="9" spans="3:10" x14ac:dyDescent="0.35">
      <c r="C9" t="s">
        <v>160</v>
      </c>
      <c r="E9">
        <f>AVERAGE(D8:E8)</f>
        <v>113.14</v>
      </c>
      <c r="F9">
        <f t="shared" ref="F9:G9" si="1">AVERAGE(E8:F8)</f>
        <v>10.115</v>
      </c>
      <c r="G9" s="4">
        <f t="shared" si="1"/>
        <v>15.744999999999999</v>
      </c>
      <c r="H9" s="4">
        <f>'Income Statement'!H8/H10</f>
        <v>22.396309675290304</v>
      </c>
      <c r="I9" s="4">
        <f>'Income Statement'!I8/I10</f>
        <v>31.416238009699942</v>
      </c>
      <c r="J9" s="4">
        <f>'Income Statement'!J8/J10</f>
        <v>44.20981024430089</v>
      </c>
    </row>
    <row r="10" spans="3:10" x14ac:dyDescent="0.35">
      <c r="C10" t="s">
        <v>161</v>
      </c>
      <c r="E10" s="4">
        <f>'Income Statement'!E8/'Working Capital'!E9</f>
        <v>234.51493724589005</v>
      </c>
      <c r="F10" s="4">
        <f>'Income Statement'!F8/'Working Capital'!F9</f>
        <v>4127.3860603064759</v>
      </c>
      <c r="G10" s="4">
        <f>'Income Statement'!G8/'Working Capital'!G9</f>
        <v>3484.4814226738649</v>
      </c>
      <c r="H10" s="4">
        <f>365/H11</f>
        <v>3484.4814226738649</v>
      </c>
      <c r="I10" s="4">
        <f t="shared" ref="I10:J10" si="2">365/I11</f>
        <v>3484.4814226738649</v>
      </c>
      <c r="J10" s="4">
        <f t="shared" si="2"/>
        <v>3484.4814226738649</v>
      </c>
    </row>
    <row r="11" spans="3:10" x14ac:dyDescent="0.35">
      <c r="C11" t="s">
        <v>162</v>
      </c>
      <c r="E11" s="4">
        <f t="shared" ref="E11:F11" si="3">365/E10</f>
        <v>1.5564040580378713</v>
      </c>
      <c r="F11" s="4">
        <f t="shared" si="3"/>
        <v>8.8433694998935289E-2</v>
      </c>
      <c r="G11" s="4">
        <v>0.10475016386223469</v>
      </c>
      <c r="H11" s="4">
        <v>0.10475016386223469</v>
      </c>
      <c r="I11" s="4">
        <v>0.10475016386223469</v>
      </c>
      <c r="J11" s="4">
        <v>0.10475016386223469</v>
      </c>
    </row>
    <row r="13" spans="3:10" x14ac:dyDescent="0.35">
      <c r="C13" t="s">
        <v>170</v>
      </c>
      <c r="E13" s="4">
        <f>(E9/'Income Statement'!E8)*365</f>
        <v>1.5564040580378713</v>
      </c>
      <c r="F13" s="4">
        <f>(F9/'Income Statement'!F8)*365</f>
        <v>8.8433694998935289E-2</v>
      </c>
      <c r="G13" s="4">
        <f>(G9/'Income Statement'!G8)*365</f>
        <v>0.10475016386223468</v>
      </c>
      <c r="H13" s="4">
        <f>(H9/'Income Statement'!H8)*365</f>
        <v>0.10475016386223468</v>
      </c>
      <c r="I13" s="4">
        <f>(I9/'Income Statement'!I8)*365</f>
        <v>0.10475016386223468</v>
      </c>
      <c r="J13" s="4">
        <f>(J9/'Income Statement'!J8)*365</f>
        <v>0.10475016386223468</v>
      </c>
    </row>
    <row r="14" spans="3:10" x14ac:dyDescent="0.35">
      <c r="C14" s="2" t="s">
        <v>163</v>
      </c>
    </row>
    <row r="15" spans="3:10" x14ac:dyDescent="0.35">
      <c r="C15" t="s">
        <v>164</v>
      </c>
      <c r="D15">
        <f>'Balance Sheet'!D58</f>
        <v>34.25</v>
      </c>
      <c r="E15">
        <f>'Balance Sheet'!E58</f>
        <v>8.15</v>
      </c>
      <c r="F15">
        <f>'Balance Sheet'!F58</f>
        <v>0</v>
      </c>
      <c r="G15">
        <f>'Balance Sheet'!G58</f>
        <v>0</v>
      </c>
      <c r="H15">
        <v>13.49</v>
      </c>
      <c r="I15">
        <v>0</v>
      </c>
      <c r="J15">
        <v>0</v>
      </c>
    </row>
    <row r="16" spans="3:10" x14ac:dyDescent="0.35">
      <c r="C16" t="s">
        <v>165</v>
      </c>
      <c r="D16">
        <f>'Balance Sheet'!D59</f>
        <v>171.8</v>
      </c>
      <c r="E16">
        <f>'Balance Sheet'!E59</f>
        <v>12.08</v>
      </c>
      <c r="F16">
        <f>'Balance Sheet'!F59</f>
        <v>0</v>
      </c>
      <c r="G16">
        <f>'Balance Sheet'!G59</f>
        <v>31.49</v>
      </c>
      <c r="H16">
        <v>0</v>
      </c>
      <c r="I16">
        <v>49.53</v>
      </c>
      <c r="J16">
        <v>38.89</v>
      </c>
    </row>
    <row r="17" spans="3:10" x14ac:dyDescent="0.35">
      <c r="C17" s="2" t="s">
        <v>133</v>
      </c>
      <c r="D17" s="2">
        <f t="shared" ref="D17" si="4">SUM(D15:D16)</f>
        <v>206.05</v>
      </c>
      <c r="E17" s="2">
        <f>SUM(E15:E16)</f>
        <v>20.23</v>
      </c>
      <c r="F17" s="2">
        <f t="shared" ref="F17:J17" si="5">SUM(F15:F16)</f>
        <v>0</v>
      </c>
      <c r="G17" s="2">
        <f t="shared" si="5"/>
        <v>31.49</v>
      </c>
      <c r="H17" s="2">
        <f t="shared" si="5"/>
        <v>13.49</v>
      </c>
      <c r="I17" s="2">
        <f t="shared" si="5"/>
        <v>49.53</v>
      </c>
      <c r="J17" s="2">
        <f t="shared" si="5"/>
        <v>38.89</v>
      </c>
    </row>
    <row r="19" spans="3:10" x14ac:dyDescent="0.35">
      <c r="C19" t="s">
        <v>166</v>
      </c>
      <c r="D19">
        <f>'Balance Sheet'!D28</f>
        <v>911.35</v>
      </c>
      <c r="E19">
        <f>'Balance Sheet'!E28</f>
        <v>1086.54</v>
      </c>
      <c r="F19">
        <f>'Balance Sheet'!F28</f>
        <v>1489.89</v>
      </c>
      <c r="G19" s="4">
        <f>'Balance Sheet'!G28</f>
        <v>1712.8</v>
      </c>
      <c r="H19" s="4">
        <f>(2*H20)-G19</f>
        <v>2842.8327109530328</v>
      </c>
      <c r="I19" s="4">
        <f t="shared" ref="I19:J19" si="6">(2*I20)-H19</f>
        <v>3155.4849720661459</v>
      </c>
      <c r="J19" s="4">
        <f t="shared" si="6"/>
        <v>5285.5157126573158</v>
      </c>
    </row>
    <row r="20" spans="3:10" x14ac:dyDescent="0.35">
      <c r="C20" t="s">
        <v>167</v>
      </c>
      <c r="E20" s="4">
        <f>AVERAGE(D19:E19)</f>
        <v>998.94499999999994</v>
      </c>
      <c r="F20" s="4">
        <f t="shared" ref="F20:G20" si="7">AVERAGE(E19:F19)</f>
        <v>1288.2150000000001</v>
      </c>
      <c r="G20" s="4">
        <f t="shared" si="7"/>
        <v>1601.345</v>
      </c>
      <c r="H20" s="4">
        <f>'Income Statement'!H8/'Working Capital'!G21</f>
        <v>2277.8163554765165</v>
      </c>
      <c r="I20" s="4">
        <f>'Income Statement'!I8/'Working Capital'!H21</f>
        <v>2999.1588415095894</v>
      </c>
      <c r="J20" s="4">
        <f>'Income Statement'!J8/'Working Capital'!I21</f>
        <v>4220.5003423617309</v>
      </c>
    </row>
    <row r="21" spans="3:10" x14ac:dyDescent="0.35">
      <c r="C21" t="s">
        <v>168</v>
      </c>
      <c r="E21" s="4">
        <f>'Income Statement'!E8/'Working Capital'!E20</f>
        <v>26.561041899203662</v>
      </c>
      <c r="F21" s="4">
        <f>'Income Statement'!F8/'Working Capital'!F20</f>
        <v>32.408029715536614</v>
      </c>
      <c r="G21" s="4">
        <f>'Income Statement'!G8/'Working Capital'!G20</f>
        <v>34.260674620397232</v>
      </c>
      <c r="H21" s="4">
        <f>365/H22</f>
        <v>36.5</v>
      </c>
      <c r="I21" s="4">
        <f t="shared" ref="I21:J21" si="8">365/I22</f>
        <v>36.5</v>
      </c>
      <c r="J21" s="4">
        <f t="shared" si="8"/>
        <v>36.5</v>
      </c>
    </row>
    <row r="22" spans="3:10" x14ac:dyDescent="0.35">
      <c r="C22" t="s">
        <v>169</v>
      </c>
      <c r="E22" s="4">
        <f>365/E21</f>
        <v>13.741930809233173</v>
      </c>
      <c r="F22" s="4">
        <f t="shared" ref="F22:G22" si="9">365/F21</f>
        <v>11.262640870296929</v>
      </c>
      <c r="G22" s="4">
        <f t="shared" si="9"/>
        <v>10.653613918702458</v>
      </c>
      <c r="H22" s="4">
        <v>10</v>
      </c>
      <c r="I22" s="4">
        <v>10</v>
      </c>
      <c r="J22" s="4">
        <v>10</v>
      </c>
    </row>
    <row r="23" spans="3:10" x14ac:dyDescent="0.35">
      <c r="E23" s="4"/>
      <c r="F23" s="4"/>
      <c r="G23" s="4"/>
      <c r="H23" s="4"/>
      <c r="I23" s="4"/>
      <c r="J23" s="4"/>
    </row>
    <row r="24" spans="3:10" x14ac:dyDescent="0.35">
      <c r="C24" t="s">
        <v>173</v>
      </c>
      <c r="E24" s="4">
        <f>(E20/'Income Statement'!E8)*365</f>
        <v>13.741930809233175</v>
      </c>
      <c r="F24" s="4">
        <f>(F20/'Income Statement'!F8)*365</f>
        <v>11.262640870296929</v>
      </c>
      <c r="G24" s="4">
        <f>(G20/'Income Statement'!G8)*365</f>
        <v>10.653613918702458</v>
      </c>
      <c r="H24" s="4">
        <f>(H20/'Income Statement'!H8)*365</f>
        <v>10.653613918702458</v>
      </c>
      <c r="I24" s="4">
        <f>(I20/'Income Statement'!I8)*365</f>
        <v>10</v>
      </c>
      <c r="J24" s="4">
        <f>(J20/'Income Statement'!J8)*365</f>
        <v>10</v>
      </c>
    </row>
  </sheetData>
  <pageMargins left="0.7" right="0.7" top="0.75" bottom="0.75" header="0.3" footer="0.3"/>
  <pageSetup orientation="portrait" r:id="rId1"/>
  <ignoredErrors>
    <ignoredError sqref="D8:G8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8C89-C752-40C4-837D-363596F52DEC}">
  <sheetPr codeName="Sheet7"/>
  <dimension ref="C1:J17"/>
  <sheetViews>
    <sheetView showGridLines="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F12" sqref="F12"/>
    </sheetView>
  </sheetViews>
  <sheetFormatPr defaultRowHeight="14.5" x14ac:dyDescent="0.35"/>
  <cols>
    <col min="3" max="3" width="78.54296875" customWidth="1"/>
    <col min="4" max="4" width="11.54296875" customWidth="1"/>
    <col min="5" max="5" width="10.7265625" customWidth="1"/>
    <col min="6" max="6" width="10.90625" customWidth="1"/>
    <col min="7" max="7" width="10.08984375" customWidth="1"/>
    <col min="8" max="8" width="11.7265625" customWidth="1"/>
    <col min="9" max="9" width="10.90625" customWidth="1"/>
    <col min="10" max="10" width="10.36328125" bestFit="1" customWidth="1"/>
  </cols>
  <sheetData>
    <row r="1" spans="3:10" x14ac:dyDescent="0.35">
      <c r="C1" s="1" t="s">
        <v>4</v>
      </c>
    </row>
    <row r="2" spans="3:10" x14ac:dyDescent="0.35">
      <c r="C2" s="1" t="s">
        <v>174</v>
      </c>
    </row>
    <row r="3" spans="3:10" x14ac:dyDescent="0.35">
      <c r="C3" t="s">
        <v>6</v>
      </c>
    </row>
    <row r="4" spans="3:10" x14ac:dyDescent="0.35">
      <c r="C4" t="s">
        <v>0</v>
      </c>
    </row>
    <row r="5" spans="3:10" x14ac:dyDescent="0.35">
      <c r="C5" s="2" t="s">
        <v>1</v>
      </c>
      <c r="D5" s="6" t="s">
        <v>7</v>
      </c>
      <c r="E5" s="6" t="s">
        <v>2</v>
      </c>
      <c r="F5" s="6" t="s">
        <v>2</v>
      </c>
      <c r="G5" s="6" t="s">
        <v>2</v>
      </c>
      <c r="H5" s="6" t="s">
        <v>138</v>
      </c>
      <c r="I5" s="6" t="s">
        <v>138</v>
      </c>
      <c r="J5" s="6" t="s">
        <v>138</v>
      </c>
    </row>
    <row r="6" spans="3:10" x14ac:dyDescent="0.35">
      <c r="C6" s="1" t="s">
        <v>3</v>
      </c>
      <c r="D6" s="1">
        <v>2020</v>
      </c>
      <c r="E6" s="1">
        <v>2021</v>
      </c>
      <c r="F6" s="1">
        <v>2022</v>
      </c>
      <c r="G6" s="1">
        <v>2023</v>
      </c>
      <c r="H6" s="1">
        <v>2024</v>
      </c>
      <c r="I6" s="1">
        <v>2025</v>
      </c>
      <c r="J6" s="1">
        <v>2026</v>
      </c>
    </row>
    <row r="8" spans="3:10" x14ac:dyDescent="0.35">
      <c r="C8" t="s">
        <v>175</v>
      </c>
      <c r="D8" s="4">
        <f>'Income Statement'!D13</f>
        <v>16720.18</v>
      </c>
      <c r="E8" s="4">
        <f>'Income Statement'!E13</f>
        <v>15075.48</v>
      </c>
      <c r="F8" s="4">
        <f>'Income Statement'!F13</f>
        <v>19204.36</v>
      </c>
      <c r="G8" s="4">
        <f>'Income Statement'!G13</f>
        <v>24182.44</v>
      </c>
      <c r="H8" s="4">
        <f>H10*'Income Statement'!H10</f>
        <v>38263.320297159684</v>
      </c>
      <c r="I8" s="4">
        <f>I10*'Income Statement'!I10</f>
        <v>53734.111040595591</v>
      </c>
      <c r="J8" s="4">
        <f>J10*'Income Statement'!J10</f>
        <v>75771.807505721241</v>
      </c>
    </row>
    <row r="10" spans="3:10" x14ac:dyDescent="0.35">
      <c r="C10" s="2" t="s">
        <v>176</v>
      </c>
      <c r="D10" s="17">
        <f>D8/'Income Statement'!D10</f>
        <v>0.49699251427946373</v>
      </c>
      <c r="E10" s="17">
        <f>E8/'Income Statement'!E10</f>
        <v>0.53985894284123281</v>
      </c>
      <c r="F10" s="17">
        <f>F8/'Income Statement'!F10</f>
        <v>0.45163446326846557</v>
      </c>
      <c r="G10" s="17">
        <f>G8/'Income Statement'!G10</f>
        <v>0.43312409472675362</v>
      </c>
      <c r="H10" s="24">
        <v>0.4723</v>
      </c>
      <c r="I10" s="24">
        <v>0.4723</v>
      </c>
      <c r="J10" s="24">
        <v>0.4723</v>
      </c>
    </row>
    <row r="12" spans="3:10" x14ac:dyDescent="0.35">
      <c r="C12" t="s">
        <v>55</v>
      </c>
      <c r="D12" s="4">
        <f>'Income Statement'!D16</f>
        <v>5773.09</v>
      </c>
      <c r="E12" s="4">
        <f>'Income Statement'!E16</f>
        <v>4499.22</v>
      </c>
      <c r="F12" s="4">
        <f>'Income Statement'!F16</f>
        <v>4815.58</v>
      </c>
      <c r="G12" s="4">
        <f>'Income Statement'!G16</f>
        <v>6806.36</v>
      </c>
      <c r="H12" s="4">
        <f>H14*'Income Statement'!H10</f>
        <v>11706.647857166154</v>
      </c>
      <c r="I12" s="4">
        <f>I14*'Income Statement'!I10</f>
        <v>16439.930225208685</v>
      </c>
      <c r="J12" s="4">
        <f>J14*'Income Statement'!J10</f>
        <v>23182.354826543975</v>
      </c>
    </row>
    <row r="14" spans="3:10" x14ac:dyDescent="0.35">
      <c r="C14" s="2" t="s">
        <v>177</v>
      </c>
      <c r="D14" s="17">
        <f>D12/'Income Statement'!D10</f>
        <v>0.17159997764746726</v>
      </c>
      <c r="E14" s="17">
        <f>E12/'Income Statement'!E10</f>
        <v>0.16111886008340243</v>
      </c>
      <c r="F14" s="17">
        <f>F12/'Income Statement'!F10</f>
        <v>0.11324938131894827</v>
      </c>
      <c r="G14" s="17">
        <f>G12/'Income Statement'!G10</f>
        <v>0.12190657821892195</v>
      </c>
      <c r="H14" s="24">
        <v>0.14449999999999999</v>
      </c>
      <c r="I14" s="24">
        <v>0.14449999999999999</v>
      </c>
      <c r="J14" s="24">
        <v>0.14449999999999999</v>
      </c>
    </row>
    <row r="16" spans="3:10" x14ac:dyDescent="0.35">
      <c r="C16" t="s">
        <v>179</v>
      </c>
      <c r="D16">
        <f>'Income Statement'!D24</f>
        <v>2521.4199999999996</v>
      </c>
      <c r="E16">
        <f>'Income Statement'!E24</f>
        <v>1825.83</v>
      </c>
      <c r="F16">
        <f>'Income Statement'!F24</f>
        <v>4078.97</v>
      </c>
      <c r="G16" s="4">
        <f>'Income Statement'!G24</f>
        <v>5965.7000000000007</v>
      </c>
      <c r="H16" s="4">
        <f>H17*'Income Statement'!H18</f>
        <v>8540.1049847835002</v>
      </c>
      <c r="I16" s="4">
        <f>I17*'Income Statement'!I18</f>
        <v>12231.00150273176</v>
      </c>
      <c r="J16" s="4">
        <f>J17*'Income Statement'!J18</f>
        <v>17568.345430195306</v>
      </c>
    </row>
    <row r="17" spans="3:10" x14ac:dyDescent="0.35">
      <c r="C17" t="s">
        <v>178</v>
      </c>
      <c r="D17" s="8">
        <f>D16/'Income Statement'!D18</f>
        <v>0.29113384730315944</v>
      </c>
      <c r="E17" s="8">
        <f>E16/'Income Statement'!E18</f>
        <v>0.2903548988831588</v>
      </c>
      <c r="F17" s="8">
        <f>F16/'Income Statement'!F18</f>
        <v>0.24373828804711548</v>
      </c>
      <c r="G17" s="8">
        <f>G16/'Income Statement'!G18</f>
        <v>0.26177808299124794</v>
      </c>
      <c r="H17" s="9">
        <v>0.29670000000000002</v>
      </c>
      <c r="I17" s="9">
        <v>0.29670000000000002</v>
      </c>
      <c r="J17" s="9">
        <v>0.29670000000000002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136B-16A8-49B8-A84B-B1AB4A14611F}">
  <sheetPr codeName="Sheet8"/>
  <dimension ref="C1:J30"/>
  <sheetViews>
    <sheetView showGridLines="0" workbookViewId="0">
      <pane xSplit="3" ySplit="6" topLeftCell="E7" activePane="bottomRight" state="frozen"/>
      <selection pane="topRight" activeCell="D1" sqref="D1"/>
      <selection pane="bottomLeft" activeCell="A7" sqref="A7"/>
      <selection pane="bottomRight" activeCell="E35" sqref="E35"/>
    </sheetView>
  </sheetViews>
  <sheetFormatPr defaultRowHeight="14.5" x14ac:dyDescent="0.35"/>
  <cols>
    <col min="3" max="3" width="78.6328125" customWidth="1"/>
    <col min="4" max="4" width="9.81640625" customWidth="1"/>
    <col min="5" max="5" width="10.6328125" customWidth="1"/>
    <col min="6" max="6" width="10.08984375" customWidth="1"/>
    <col min="7" max="7" width="9.6328125" customWidth="1"/>
    <col min="8" max="8" width="10" bestFit="1" customWidth="1"/>
    <col min="9" max="9" width="10.7265625" customWidth="1"/>
    <col min="10" max="10" width="10" bestFit="1" customWidth="1"/>
  </cols>
  <sheetData>
    <row r="1" spans="3:10" x14ac:dyDescent="0.35">
      <c r="C1" s="1" t="s">
        <v>4</v>
      </c>
    </row>
    <row r="2" spans="3:10" x14ac:dyDescent="0.35">
      <c r="C2" s="1" t="s">
        <v>180</v>
      </c>
    </row>
    <row r="3" spans="3:10" x14ac:dyDescent="0.35">
      <c r="C3" t="s">
        <v>6</v>
      </c>
    </row>
    <row r="4" spans="3:10" x14ac:dyDescent="0.35">
      <c r="C4" t="s">
        <v>0</v>
      </c>
    </row>
    <row r="5" spans="3:10" x14ac:dyDescent="0.35">
      <c r="C5" s="2" t="s">
        <v>1</v>
      </c>
      <c r="D5" s="6" t="s">
        <v>7</v>
      </c>
      <c r="E5" s="6" t="s">
        <v>2</v>
      </c>
      <c r="F5" s="6" t="s">
        <v>2</v>
      </c>
      <c r="G5" s="6" t="s">
        <v>2</v>
      </c>
      <c r="H5" s="6" t="s">
        <v>138</v>
      </c>
      <c r="I5" s="6" t="s">
        <v>138</v>
      </c>
      <c r="J5" s="6" t="s">
        <v>138</v>
      </c>
    </row>
    <row r="6" spans="3:10" x14ac:dyDescent="0.35">
      <c r="C6" s="1" t="s">
        <v>3</v>
      </c>
      <c r="D6" s="1">
        <v>2020</v>
      </c>
      <c r="E6" s="1">
        <v>2021</v>
      </c>
      <c r="F6" s="1">
        <v>2022</v>
      </c>
      <c r="G6" s="1">
        <v>2023</v>
      </c>
      <c r="H6" s="1">
        <v>2024</v>
      </c>
      <c r="I6" s="1">
        <v>2025</v>
      </c>
      <c r="J6" s="1">
        <v>2026</v>
      </c>
    </row>
    <row r="8" spans="3:10" x14ac:dyDescent="0.35">
      <c r="C8" s="1" t="s">
        <v>255</v>
      </c>
    </row>
    <row r="9" spans="3:10" x14ac:dyDescent="0.35">
      <c r="C9" s="19" t="s">
        <v>140</v>
      </c>
      <c r="E9" s="5">
        <f>D13</f>
        <v>3335.97</v>
      </c>
      <c r="F9" s="5">
        <f t="shared" ref="F9:G9" si="0">E13</f>
        <v>2496.37</v>
      </c>
      <c r="G9" s="5">
        <f t="shared" si="0"/>
        <v>1660.7</v>
      </c>
      <c r="H9" s="5">
        <f>G13</f>
        <v>848.53</v>
      </c>
      <c r="I9" s="5">
        <f t="shared" ref="I9:J9" si="1">H13</f>
        <v>974.08794499999999</v>
      </c>
      <c r="J9" s="5">
        <f t="shared" si="1"/>
        <v>1212.085178</v>
      </c>
    </row>
    <row r="10" spans="3:10" x14ac:dyDescent="0.35">
      <c r="C10" s="20" t="s">
        <v>141</v>
      </c>
      <c r="E10">
        <f>'Cash Flow Statement'!E56</f>
        <v>0</v>
      </c>
      <c r="F10">
        <f>'Cash Flow Statement'!F56</f>
        <v>0</v>
      </c>
      <c r="G10">
        <f>'Cash Flow Statement'!G56</f>
        <v>0</v>
      </c>
      <c r="H10">
        <f>H15</f>
        <v>756.44</v>
      </c>
      <c r="I10">
        <f t="shared" ref="I10:J10" si="2">I15</f>
        <v>822.45</v>
      </c>
      <c r="J10">
        <f t="shared" si="2"/>
        <v>822.45</v>
      </c>
    </row>
    <row r="11" spans="3:10" x14ac:dyDescent="0.35">
      <c r="C11" s="20" t="s">
        <v>181</v>
      </c>
      <c r="E11" s="16">
        <f>'Cash Flow Statement'!E55</f>
        <v>-837</v>
      </c>
      <c r="F11">
        <f>'Cash Flow Statement'!F55</f>
        <v>-840.85</v>
      </c>
      <c r="G11">
        <f>'Cash Flow Statement'!G55</f>
        <v>-813.47</v>
      </c>
      <c r="H11" s="4">
        <f>-(H16*H9)</f>
        <v>-630.88205500000004</v>
      </c>
      <c r="I11" s="4">
        <f t="shared" ref="I11:J11" si="3">-(I16*I9)</f>
        <v>-584.45276699999999</v>
      </c>
      <c r="J11" s="4">
        <f t="shared" si="3"/>
        <v>-727.2511068</v>
      </c>
    </row>
    <row r="12" spans="3:10" x14ac:dyDescent="0.35">
      <c r="C12" s="20" t="s">
        <v>144</v>
      </c>
      <c r="E12" s="4">
        <f>E13-SUM(E9:E11)</f>
        <v>-2.5999999999999091</v>
      </c>
      <c r="F12" s="4">
        <f t="shared" ref="F12:G12" si="4">F13-SUM(F9:F11)</f>
        <v>5.1800000000000637</v>
      </c>
      <c r="G12" s="4">
        <f t="shared" si="4"/>
        <v>1.2999999999999545</v>
      </c>
      <c r="H12" s="4">
        <f>H13-SUM(H9:H11)</f>
        <v>0</v>
      </c>
      <c r="I12" s="4">
        <f t="shared" ref="I12:J12" si="5">I13-SUM(I9:I11)</f>
        <v>0</v>
      </c>
      <c r="J12" s="4">
        <f t="shared" si="5"/>
        <v>0</v>
      </c>
    </row>
    <row r="13" spans="3:10" x14ac:dyDescent="0.35">
      <c r="C13" s="19" t="s">
        <v>145</v>
      </c>
      <c r="D13" s="5">
        <f>'Balance Sheet'!D48</f>
        <v>3335.97</v>
      </c>
      <c r="E13" s="5">
        <f>'Balance Sheet'!E48</f>
        <v>2496.37</v>
      </c>
      <c r="F13" s="5">
        <f>'Balance Sheet'!F48</f>
        <v>1660.7</v>
      </c>
      <c r="G13" s="5">
        <f>'Balance Sheet'!G48</f>
        <v>848.53</v>
      </c>
      <c r="H13" s="5">
        <f>SUM(H9:H11)</f>
        <v>974.08794499999999</v>
      </c>
      <c r="I13" s="5">
        <f t="shared" ref="I13:J13" si="6">SUM(I9:I11)</f>
        <v>1212.085178</v>
      </c>
      <c r="J13" s="5">
        <f t="shared" si="6"/>
        <v>1307.2840712000002</v>
      </c>
    </row>
    <row r="14" spans="3:10" x14ac:dyDescent="0.35">
      <c r="C14" s="20"/>
    </row>
    <row r="15" spans="3:10" x14ac:dyDescent="0.35">
      <c r="C15" s="20" t="s">
        <v>141</v>
      </c>
      <c r="E15">
        <v>0</v>
      </c>
      <c r="F15">
        <v>0</v>
      </c>
      <c r="G15">
        <v>0</v>
      </c>
      <c r="H15">
        <v>756.44</v>
      </c>
      <c r="I15">
        <v>822.45</v>
      </c>
      <c r="J15">
        <v>822.45</v>
      </c>
    </row>
    <row r="16" spans="3:10" x14ac:dyDescent="0.35">
      <c r="C16" s="20" t="s">
        <v>182</v>
      </c>
      <c r="E16" s="8">
        <f>-E11/E9</f>
        <v>0.25090153688432454</v>
      </c>
      <c r="F16" s="8">
        <f t="shared" ref="F16:G16" si="7">-F11/F9</f>
        <v>0.33682907581808791</v>
      </c>
      <c r="G16" s="8">
        <f t="shared" si="7"/>
        <v>0.48983561148913107</v>
      </c>
      <c r="H16" s="9">
        <v>0.74350000000000005</v>
      </c>
      <c r="I16" s="9">
        <v>0.6</v>
      </c>
      <c r="J16" s="9">
        <v>0.6</v>
      </c>
    </row>
    <row r="17" spans="3:10" x14ac:dyDescent="0.35">
      <c r="C17" s="20"/>
      <c r="E17" s="8"/>
      <c r="F17" s="8"/>
      <c r="G17" s="8"/>
      <c r="H17" s="9"/>
      <c r="I17" s="9"/>
      <c r="J17" s="9"/>
    </row>
    <row r="18" spans="3:10" x14ac:dyDescent="0.35">
      <c r="C18" s="1" t="s">
        <v>256</v>
      </c>
      <c r="E18" s="8"/>
      <c r="F18" s="8"/>
      <c r="G18" s="8"/>
      <c r="H18" s="9"/>
      <c r="I18" s="9"/>
      <c r="J18" s="9"/>
    </row>
    <row r="19" spans="3:10" x14ac:dyDescent="0.35">
      <c r="C19" s="19" t="s">
        <v>140</v>
      </c>
      <c r="E19" s="26">
        <f>D23</f>
        <v>837.02</v>
      </c>
      <c r="F19" s="26">
        <f t="shared" ref="F19:J19" si="8">E23</f>
        <v>839.62</v>
      </c>
      <c r="G19" s="26">
        <f t="shared" si="8"/>
        <v>834.44</v>
      </c>
      <c r="H19" s="26">
        <f t="shared" si="8"/>
        <v>833.13</v>
      </c>
      <c r="I19" s="26">
        <f t="shared" si="8"/>
        <v>833.13</v>
      </c>
      <c r="J19" s="26">
        <f t="shared" si="8"/>
        <v>833.13</v>
      </c>
    </row>
    <row r="20" spans="3:10" x14ac:dyDescent="0.35">
      <c r="C20" s="20" t="s">
        <v>141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</row>
    <row r="21" spans="3:10" x14ac:dyDescent="0.35">
      <c r="C21" s="20" t="s">
        <v>181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</row>
    <row r="22" spans="3:10" x14ac:dyDescent="0.35">
      <c r="C22" s="20" t="s">
        <v>144</v>
      </c>
      <c r="E22" s="23">
        <f>E23-SUM(E19:E21)</f>
        <v>2.6000000000000227</v>
      </c>
      <c r="F22" s="23">
        <f t="shared" ref="F22:J22" si="9">F23-SUM(F19:F21)</f>
        <v>-5.17999999999995</v>
      </c>
      <c r="G22" s="23">
        <f t="shared" si="9"/>
        <v>-1.3100000000000591</v>
      </c>
      <c r="H22" s="23">
        <f t="shared" si="9"/>
        <v>0</v>
      </c>
      <c r="I22" s="23">
        <f t="shared" si="9"/>
        <v>0</v>
      </c>
      <c r="J22" s="23">
        <f t="shared" si="9"/>
        <v>0</v>
      </c>
    </row>
    <row r="23" spans="3:10" x14ac:dyDescent="0.35">
      <c r="C23" s="19" t="s">
        <v>145</v>
      </c>
      <c r="D23" s="1">
        <f>'Balance Sheet'!D55</f>
        <v>837.02</v>
      </c>
      <c r="E23" s="1">
        <f>'Balance Sheet'!E55</f>
        <v>839.62</v>
      </c>
      <c r="F23" s="1">
        <f>'Balance Sheet'!F55</f>
        <v>834.44</v>
      </c>
      <c r="G23" s="1">
        <f>'Balance Sheet'!G55</f>
        <v>833.13</v>
      </c>
      <c r="H23" s="1">
        <f>SUM(H19:H21)</f>
        <v>833.13</v>
      </c>
      <c r="I23" s="1">
        <f t="shared" ref="I23:J23" si="10">SUM(I19:I21)</f>
        <v>833.13</v>
      </c>
      <c r="J23" s="1">
        <f t="shared" si="10"/>
        <v>833.13</v>
      </c>
    </row>
    <row r="24" spans="3:10" x14ac:dyDescent="0.35">
      <c r="C24" s="25"/>
    </row>
    <row r="25" spans="3:10" x14ac:dyDescent="0.35">
      <c r="C25" s="20" t="s">
        <v>140</v>
      </c>
      <c r="E25" s="4">
        <f>SUM(E19,E9)</f>
        <v>4172.99</v>
      </c>
      <c r="F25" s="4">
        <f t="shared" ref="F25:J25" si="11">SUM(F19,F9)</f>
        <v>3335.99</v>
      </c>
      <c r="G25" s="4">
        <f t="shared" si="11"/>
        <v>2495.1400000000003</v>
      </c>
      <c r="H25" s="4">
        <f t="shared" si="11"/>
        <v>1681.6599999999999</v>
      </c>
      <c r="I25" s="4">
        <f t="shared" si="11"/>
        <v>1807.2179449999999</v>
      </c>
      <c r="J25" s="4">
        <f t="shared" si="11"/>
        <v>2045.2151779999999</v>
      </c>
    </row>
    <row r="26" spans="3:10" x14ac:dyDescent="0.35">
      <c r="C26" s="20" t="s">
        <v>145</v>
      </c>
      <c r="E26" s="4">
        <f>SUM(E23,E13)</f>
        <v>3335.99</v>
      </c>
      <c r="F26" s="4">
        <f t="shared" ref="F26:J26" si="12">SUM(F23,F13)</f>
        <v>2495.1400000000003</v>
      </c>
      <c r="G26" s="4">
        <f t="shared" si="12"/>
        <v>1681.6599999999999</v>
      </c>
      <c r="H26" s="4">
        <f t="shared" si="12"/>
        <v>1807.2179449999999</v>
      </c>
      <c r="I26" s="4">
        <f t="shared" si="12"/>
        <v>2045.2151779999999</v>
      </c>
      <c r="J26" s="4">
        <f t="shared" si="12"/>
        <v>2140.4140712000003</v>
      </c>
    </row>
    <row r="27" spans="3:10" x14ac:dyDescent="0.35">
      <c r="C27" s="19" t="s">
        <v>183</v>
      </c>
      <c r="E27" s="5">
        <f>AVERAGE(E25:E26)</f>
        <v>3754.49</v>
      </c>
      <c r="F27" s="5">
        <f t="shared" ref="F27:G27" si="13">AVERAGE(F25:F26)</f>
        <v>2915.5650000000001</v>
      </c>
      <c r="G27" s="5">
        <f t="shared" si="13"/>
        <v>2088.4</v>
      </c>
      <c r="H27" s="5">
        <f t="shared" ref="H27:J27" si="14">AVERAGE(H25:H26)</f>
        <v>1744.4389724999999</v>
      </c>
      <c r="I27" s="5">
        <f t="shared" si="14"/>
        <v>1926.2165614999999</v>
      </c>
      <c r="J27" s="5">
        <f t="shared" si="14"/>
        <v>2092.8146246000001</v>
      </c>
    </row>
    <row r="28" spans="3:10" x14ac:dyDescent="0.35">
      <c r="C28" s="20"/>
    </row>
    <row r="29" spans="3:10" x14ac:dyDescent="0.35">
      <c r="C29" s="20" t="s">
        <v>184</v>
      </c>
      <c r="E29">
        <f>'Income Statement'!E14</f>
        <v>288.98</v>
      </c>
      <c r="F29">
        <f>'Income Statement'!F14</f>
        <v>201.86</v>
      </c>
      <c r="G29">
        <f>'Income Statement'!G14</f>
        <v>393.42</v>
      </c>
      <c r="H29" s="4">
        <f>H30*H27</f>
        <v>459.4852253565</v>
      </c>
      <c r="I29" s="4">
        <f t="shared" ref="I29" si="15">I30*I27</f>
        <v>410.86199256794998</v>
      </c>
      <c r="J29" s="4">
        <f>J30*J27</f>
        <v>446.39735942717999</v>
      </c>
    </row>
    <row r="30" spans="3:10" x14ac:dyDescent="0.35">
      <c r="C30" s="20" t="s">
        <v>185</v>
      </c>
      <c r="E30" s="8">
        <f>E29/E27</f>
        <v>7.6969175573779677E-2</v>
      </c>
      <c r="F30" s="8">
        <f t="shared" ref="F30:G30" si="16">F29/F27</f>
        <v>6.9235294016768617E-2</v>
      </c>
      <c r="G30" s="8">
        <f t="shared" si="16"/>
        <v>0.18838345144608312</v>
      </c>
      <c r="H30" s="9">
        <v>0.26340000000000002</v>
      </c>
      <c r="I30" s="9">
        <v>0.21329999999999999</v>
      </c>
      <c r="J30" s="9">
        <v>0.21329999999999999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C569-0BE0-472D-A2CA-400AFB3EFDE1}">
  <sheetPr codeName="Sheet9"/>
  <dimension ref="C1:J54"/>
  <sheetViews>
    <sheetView showGridLines="0" topLeftCell="C1" workbookViewId="0">
      <pane xSplit="1" ySplit="6" topLeftCell="D45" activePane="bottomRight" state="frozen"/>
      <selection activeCell="C1" sqref="C1"/>
      <selection pane="topRight" activeCell="D1" sqref="D1"/>
      <selection pane="bottomLeft" activeCell="C7" sqref="C7"/>
      <selection pane="bottomRight" activeCell="H42" sqref="H42"/>
    </sheetView>
  </sheetViews>
  <sheetFormatPr defaultRowHeight="14.5" x14ac:dyDescent="0.35"/>
  <cols>
    <col min="3" max="3" width="79" customWidth="1"/>
    <col min="4" max="4" width="12.08984375" customWidth="1"/>
    <col min="5" max="5" width="13.6328125" customWidth="1"/>
    <col min="6" max="6" width="10.81640625" customWidth="1"/>
    <col min="7" max="7" width="10.453125" customWidth="1"/>
    <col min="8" max="9" width="10.90625" customWidth="1"/>
    <col min="10" max="10" width="11.36328125" bestFit="1" customWidth="1"/>
    <col min="11" max="11" width="13.81640625" customWidth="1"/>
  </cols>
  <sheetData>
    <row r="1" spans="3:10" x14ac:dyDescent="0.35">
      <c r="C1" s="1" t="s">
        <v>4</v>
      </c>
    </row>
    <row r="2" spans="3:10" x14ac:dyDescent="0.35">
      <c r="C2" s="1" t="s">
        <v>188</v>
      </c>
    </row>
    <row r="3" spans="3:10" x14ac:dyDescent="0.35">
      <c r="C3" t="s">
        <v>6</v>
      </c>
    </row>
    <row r="4" spans="3:10" x14ac:dyDescent="0.35">
      <c r="C4" t="s">
        <v>0</v>
      </c>
    </row>
    <row r="5" spans="3:10" x14ac:dyDescent="0.35">
      <c r="C5" s="2" t="s">
        <v>1</v>
      </c>
      <c r="D5" s="6" t="s">
        <v>7</v>
      </c>
      <c r="E5" s="6" t="s">
        <v>2</v>
      </c>
      <c r="F5" s="6" t="s">
        <v>2</v>
      </c>
      <c r="G5" s="6" t="s">
        <v>2</v>
      </c>
      <c r="H5" s="6" t="s">
        <v>138</v>
      </c>
      <c r="I5" s="6" t="s">
        <v>138</v>
      </c>
      <c r="J5" s="6" t="s">
        <v>138</v>
      </c>
    </row>
    <row r="6" spans="3:10" x14ac:dyDescent="0.35">
      <c r="C6" s="1" t="s">
        <v>3</v>
      </c>
      <c r="D6" s="1">
        <v>2020</v>
      </c>
      <c r="E6" s="1">
        <v>2021</v>
      </c>
      <c r="F6" s="1">
        <v>2022</v>
      </c>
      <c r="G6" s="1">
        <v>2023</v>
      </c>
      <c r="H6" s="1">
        <v>2024</v>
      </c>
      <c r="I6" s="1">
        <v>2025</v>
      </c>
      <c r="J6" s="1">
        <v>2026</v>
      </c>
    </row>
    <row r="8" spans="3:10" x14ac:dyDescent="0.35">
      <c r="C8" t="s">
        <v>104</v>
      </c>
      <c r="D8">
        <f>-'Cash Flow Statement'!D12</f>
        <v>140.82</v>
      </c>
      <c r="E8">
        <f>-'Cash Flow Statement'!E12</f>
        <v>511.93</v>
      </c>
      <c r="F8">
        <f>-'Cash Flow Statement'!F12</f>
        <v>450.09</v>
      </c>
      <c r="G8">
        <f>-'Cash Flow Statement'!G12</f>
        <v>742.92</v>
      </c>
      <c r="H8" s="4">
        <f>H20</f>
        <v>1564.2220134335801</v>
      </c>
      <c r="I8" s="4">
        <f t="shared" ref="I8:J8" si="0">I20</f>
        <v>2245.204544459732</v>
      </c>
      <c r="J8" s="4">
        <f t="shared" si="0"/>
        <v>3385.5725687916747</v>
      </c>
    </row>
    <row r="9" spans="3:10" x14ac:dyDescent="0.35">
      <c r="C9" s="2" t="s">
        <v>133</v>
      </c>
      <c r="D9" s="1">
        <f>SUM(D8)</f>
        <v>140.82</v>
      </c>
      <c r="E9" s="1">
        <f t="shared" ref="E9:J9" si="1">SUM(E8)</f>
        <v>511.93</v>
      </c>
      <c r="F9" s="1">
        <f t="shared" si="1"/>
        <v>450.09</v>
      </c>
      <c r="G9" s="1">
        <f t="shared" si="1"/>
        <v>742.92</v>
      </c>
      <c r="H9" s="5">
        <f t="shared" si="1"/>
        <v>1564.2220134335801</v>
      </c>
      <c r="I9" s="5">
        <f t="shared" si="1"/>
        <v>2245.204544459732</v>
      </c>
      <c r="J9" s="5">
        <f t="shared" si="1"/>
        <v>3385.5725687916747</v>
      </c>
    </row>
    <row r="10" spans="3:10" x14ac:dyDescent="0.35">
      <c r="C10" t="s">
        <v>189</v>
      </c>
      <c r="D10">
        <f>-'Cash Flow Statement'!D16</f>
        <v>0.65</v>
      </c>
      <c r="E10">
        <f>-'Cash Flow Statement'!E16</f>
        <v>0.63</v>
      </c>
      <c r="F10">
        <f>-'Cash Flow Statement'!F16</f>
        <v>0.82</v>
      </c>
      <c r="G10">
        <f>-'Cash Flow Statement'!G16</f>
        <v>0</v>
      </c>
      <c r="H10">
        <f>H35</f>
        <v>1.06</v>
      </c>
      <c r="I10">
        <f t="shared" ref="I10:J10" si="2">I35</f>
        <v>1.06</v>
      </c>
      <c r="J10">
        <f t="shared" si="2"/>
        <v>1.06</v>
      </c>
    </row>
    <row r="11" spans="3:10" x14ac:dyDescent="0.35">
      <c r="C11" t="s">
        <v>190</v>
      </c>
      <c r="D11">
        <f>'Cash Flow Statement'!D18</f>
        <v>1.41</v>
      </c>
      <c r="E11">
        <f>'Cash Flow Statement'!E18</f>
        <v>-0.17</v>
      </c>
      <c r="F11">
        <f>'Cash Flow Statement'!F18</f>
        <v>4.2</v>
      </c>
      <c r="G11">
        <f>'Cash Flow Statement'!G18</f>
        <v>2.1800000000000002</v>
      </c>
      <c r="H11">
        <f>'Asset Schedule'!H49</f>
        <v>0</v>
      </c>
      <c r="I11">
        <f>'Asset Schedule'!I49</f>
        <v>0</v>
      </c>
      <c r="J11">
        <f>'Asset Schedule'!J49</f>
        <v>0</v>
      </c>
    </row>
    <row r="12" spans="3:10" x14ac:dyDescent="0.35">
      <c r="C12" t="s">
        <v>191</v>
      </c>
      <c r="D12">
        <f>D13-SUM(D10:D11)</f>
        <v>457.99</v>
      </c>
      <c r="E12">
        <f t="shared" ref="E12:G12" si="3">E13-SUM(E10:E11)</f>
        <v>1391.37</v>
      </c>
      <c r="F12">
        <f t="shared" si="3"/>
        <v>768.38</v>
      </c>
      <c r="G12">
        <f t="shared" si="3"/>
        <v>967.25</v>
      </c>
      <c r="H12" s="4">
        <f>(H15*G12)+G12</f>
        <v>1410.0570499999999</v>
      </c>
      <c r="I12" s="4">
        <f t="shared" ref="I12:J12" si="4">(I15*H12)+H12</f>
        <v>2055.5811674899996</v>
      </c>
      <c r="J12" s="4">
        <f t="shared" si="4"/>
        <v>2996.6262259669215</v>
      </c>
    </row>
    <row r="13" spans="3:10" x14ac:dyDescent="0.35">
      <c r="C13" s="2" t="s">
        <v>133</v>
      </c>
      <c r="D13" s="1">
        <f>'Income Statement'!D9</f>
        <v>460.05</v>
      </c>
      <c r="E13" s="1">
        <f>'Income Statement'!E9</f>
        <v>1391.83</v>
      </c>
      <c r="F13" s="1">
        <f>'Income Statement'!F9</f>
        <v>773.4</v>
      </c>
      <c r="G13" s="1">
        <f>'Income Statement'!G9</f>
        <v>969.43</v>
      </c>
      <c r="H13" s="5">
        <f>SUM(H9:H12)</f>
        <v>2975.3390634335801</v>
      </c>
      <c r="I13" s="5">
        <f t="shared" ref="I13:J13" si="5">SUM(I9:I12)</f>
        <v>4301.8457119497316</v>
      </c>
      <c r="J13" s="5">
        <f t="shared" si="5"/>
        <v>6383.2587947585962</v>
      </c>
    </row>
    <row r="15" spans="3:10" x14ac:dyDescent="0.35">
      <c r="C15" t="s">
        <v>192</v>
      </c>
      <c r="E15" s="8">
        <f>(E12-D12)/D12</f>
        <v>2.0379920958972901</v>
      </c>
      <c r="F15" s="8">
        <f t="shared" ref="F15:G15" si="6">(F12-E12)/E12</f>
        <v>-0.44775293415841938</v>
      </c>
      <c r="G15" s="8">
        <f t="shared" si="6"/>
        <v>0.25881725188057991</v>
      </c>
      <c r="H15" s="9">
        <v>0.45779999999999998</v>
      </c>
      <c r="I15" s="9">
        <v>0.45779999999999998</v>
      </c>
      <c r="J15" s="9">
        <v>0.45779999999999998</v>
      </c>
    </row>
    <row r="17" spans="3:10" x14ac:dyDescent="0.35">
      <c r="C17" s="2" t="s">
        <v>104</v>
      </c>
      <c r="H17" s="4">
        <f>H19*H32</f>
        <v>1566.9689747844682</v>
      </c>
      <c r="I17" s="4">
        <f t="shared" ref="I17:J17" si="7">I19*I32</f>
        <v>2254.5211451529563</v>
      </c>
      <c r="J17" s="4">
        <f t="shared" si="7"/>
        <v>3413.9028756966927</v>
      </c>
    </row>
    <row r="19" spans="3:10" x14ac:dyDescent="0.35">
      <c r="C19" t="s">
        <v>193</v>
      </c>
      <c r="E19" s="8">
        <f>E8/E32</f>
        <v>4.7571743724224583E-2</v>
      </c>
      <c r="F19" s="8">
        <f t="shared" ref="F19:G19" si="8">F8/F32</f>
        <v>3.3706893291460267E-2</v>
      </c>
      <c r="G19" s="8">
        <f t="shared" si="8"/>
        <v>2.9387286236883078E-2</v>
      </c>
      <c r="H19" s="9">
        <v>3.7600000000000001E-2</v>
      </c>
      <c r="I19" s="9">
        <v>3.4500000000000003E-2</v>
      </c>
      <c r="J19" s="9">
        <v>3.4500000000000003E-2</v>
      </c>
    </row>
    <row r="20" spans="3:10" x14ac:dyDescent="0.35">
      <c r="C20" t="s">
        <v>194</v>
      </c>
      <c r="H20" s="4">
        <v>1564.2220134335801</v>
      </c>
      <c r="I20" s="4">
        <v>2245.204544459732</v>
      </c>
      <c r="J20" s="4">
        <v>3385.5725687916747</v>
      </c>
    </row>
    <row r="22" spans="3:10" x14ac:dyDescent="0.35">
      <c r="C22" s="2" t="s">
        <v>195</v>
      </c>
    </row>
    <row r="23" spans="3:10" x14ac:dyDescent="0.35">
      <c r="C23" t="s">
        <v>140</v>
      </c>
      <c r="E23">
        <f>D24</f>
        <v>10319.299999999999</v>
      </c>
      <c r="F23">
        <f t="shared" ref="F23:G23" si="9">E24</f>
        <v>1845.87</v>
      </c>
      <c r="G23">
        <f t="shared" si="9"/>
        <v>9617.52</v>
      </c>
      <c r="H23">
        <f t="shared" ref="H23" si="10">G24</f>
        <v>26215.71</v>
      </c>
      <c r="I23">
        <f t="shared" ref="I23" si="11">H24</f>
        <v>26265.71</v>
      </c>
      <c r="J23">
        <f t="shared" ref="J23" si="12">I24</f>
        <v>26367.05</v>
      </c>
    </row>
    <row r="24" spans="3:10" x14ac:dyDescent="0.35">
      <c r="C24" t="s">
        <v>145</v>
      </c>
      <c r="D24">
        <f>SUM('Balance Sheet'!D17,'Balance Sheet'!D27,'Balance Sheet'!D30,'Balance Sheet'!D31,'Balance Sheet'!D26)</f>
        <v>10319.299999999999</v>
      </c>
      <c r="E24">
        <f>SUM('Balance Sheet'!E17,'Balance Sheet'!E27,'Balance Sheet'!E30,'Balance Sheet'!E31,'Balance Sheet'!E26)</f>
        <v>1845.87</v>
      </c>
      <c r="F24">
        <f>SUM('Balance Sheet'!F17,'Balance Sheet'!F27,'Balance Sheet'!F30,'Balance Sheet'!F31,'Balance Sheet'!F26)</f>
        <v>9617.52</v>
      </c>
      <c r="G24">
        <f>SUM('Balance Sheet'!G17,'Balance Sheet'!G27,'Balance Sheet'!G30,'Balance Sheet'!G31,'Balance Sheet'!G26)</f>
        <v>26215.71</v>
      </c>
      <c r="H24">
        <f>SUM('Balance Sheet'!H17,'Balance Sheet'!H27,'Balance Sheet'!H30,'Balance Sheet'!H31,'Balance Sheet'!H26)</f>
        <v>26265.71</v>
      </c>
      <c r="I24">
        <f>SUM('Balance Sheet'!I17,'Balance Sheet'!I27,'Balance Sheet'!I30,'Balance Sheet'!I31,'Balance Sheet'!I26)</f>
        <v>26367.05</v>
      </c>
      <c r="J24" s="4">
        <f>SUM('Balance Sheet'!J17,'Balance Sheet'!J27,'Balance Sheet'!J30,'Balance Sheet'!J31,'Balance Sheet'!J26)</f>
        <v>26134.556270000001</v>
      </c>
    </row>
    <row r="25" spans="3:10" x14ac:dyDescent="0.35">
      <c r="C25" s="2" t="s">
        <v>196</v>
      </c>
      <c r="E25" s="5">
        <f>AVERAGE(E23:E24)</f>
        <v>6082.5849999999991</v>
      </c>
      <c r="F25" s="5">
        <f t="shared" ref="F25:J25" si="13">AVERAGE(F23:F24)</f>
        <v>5731.6949999999997</v>
      </c>
      <c r="G25" s="5">
        <f t="shared" si="13"/>
        <v>17916.614999999998</v>
      </c>
      <c r="H25" s="5">
        <f t="shared" si="13"/>
        <v>26240.71</v>
      </c>
      <c r="I25" s="5">
        <f t="shared" si="13"/>
        <v>26316.379999999997</v>
      </c>
      <c r="J25" s="5">
        <f t="shared" si="13"/>
        <v>26250.803135000002</v>
      </c>
    </row>
    <row r="27" spans="3:10" x14ac:dyDescent="0.35">
      <c r="C27" s="2" t="s">
        <v>197</v>
      </c>
    </row>
    <row r="28" spans="3:10" x14ac:dyDescent="0.35">
      <c r="C28" t="s">
        <v>140</v>
      </c>
      <c r="E28">
        <f>D29</f>
        <v>2825.45</v>
      </c>
      <c r="F28">
        <f t="shared" ref="F28:G28" si="14">E29</f>
        <v>6531.82</v>
      </c>
      <c r="G28" s="4">
        <f t="shared" si="14"/>
        <v>8710.9</v>
      </c>
      <c r="H28" s="4">
        <f t="shared" ref="H28" si="15">G29</f>
        <v>6016.51</v>
      </c>
      <c r="I28" s="4">
        <f t="shared" ref="I28" si="16">H29</f>
        <v>24851.48355236532</v>
      </c>
      <c r="J28" s="4">
        <f t="shared" ref="J28" si="17">I29</f>
        <v>53212.634427516205</v>
      </c>
    </row>
    <row r="29" spans="3:10" x14ac:dyDescent="0.35">
      <c r="C29" t="s">
        <v>145</v>
      </c>
      <c r="D29">
        <f>'Balance Sheet'!D29</f>
        <v>2825.45</v>
      </c>
      <c r="E29">
        <f>'Balance Sheet'!E29</f>
        <v>6531.82</v>
      </c>
      <c r="F29">
        <f>'Balance Sheet'!F29</f>
        <v>8710.9</v>
      </c>
      <c r="G29">
        <f>'Balance Sheet'!G29</f>
        <v>6016.51</v>
      </c>
      <c r="H29" s="4">
        <f>'Cash Flow Statement'!H65</f>
        <v>24851.48355236532</v>
      </c>
      <c r="I29" s="4">
        <f>'Cash Flow Statement'!I65</f>
        <v>53212.634427516205</v>
      </c>
      <c r="J29" s="4">
        <f>'Cash Flow Statement'!J65</f>
        <v>92193.172386350052</v>
      </c>
    </row>
    <row r="30" spans="3:10" x14ac:dyDescent="0.35">
      <c r="C30" s="2" t="s">
        <v>198</v>
      </c>
      <c r="E30" s="5">
        <f>AVERAGE(E28:E29)</f>
        <v>4678.6350000000002</v>
      </c>
      <c r="F30" s="1">
        <f t="shared" ref="F30:J30" si="18">AVERAGE(F28:F29)</f>
        <v>7621.36</v>
      </c>
      <c r="G30" s="5">
        <f t="shared" si="18"/>
        <v>7363.7049999999999</v>
      </c>
      <c r="H30" s="5">
        <f t="shared" si="18"/>
        <v>15433.996776182659</v>
      </c>
      <c r="I30" s="5">
        <f t="shared" si="18"/>
        <v>39032.058989940764</v>
      </c>
      <c r="J30" s="5">
        <f t="shared" si="18"/>
        <v>72702.903406933125</v>
      </c>
    </row>
    <row r="32" spans="3:10" x14ac:dyDescent="0.35">
      <c r="C32" s="2" t="s">
        <v>199</v>
      </c>
      <c r="E32" s="5">
        <f>SUM(E25,E30)</f>
        <v>10761.22</v>
      </c>
      <c r="F32" s="5">
        <f t="shared" ref="F32:J32" si="19">SUM(F25,F30)</f>
        <v>13353.055</v>
      </c>
      <c r="G32" s="5">
        <f t="shared" si="19"/>
        <v>25280.32</v>
      </c>
      <c r="H32" s="5">
        <f t="shared" si="19"/>
        <v>41674.706776182662</v>
      </c>
      <c r="I32" s="5">
        <f t="shared" si="19"/>
        <v>65348.438989940762</v>
      </c>
      <c r="J32" s="5">
        <f t="shared" si="19"/>
        <v>98953.706541933119</v>
      </c>
    </row>
    <row r="34" spans="3:10" x14ac:dyDescent="0.35">
      <c r="C34" s="2" t="s">
        <v>189</v>
      </c>
    </row>
    <row r="35" spans="3:10" x14ac:dyDescent="0.35">
      <c r="C35" s="21" t="s">
        <v>189</v>
      </c>
      <c r="D35">
        <f>'Cash Flow Statement'!D46</f>
        <v>0.65</v>
      </c>
      <c r="E35">
        <f>'Cash Flow Statement'!E46</f>
        <v>0.63</v>
      </c>
      <c r="F35">
        <f>'Cash Flow Statement'!F46</f>
        <v>0.82</v>
      </c>
      <c r="G35">
        <f>'Cash Flow Statement'!G46</f>
        <v>0</v>
      </c>
      <c r="H35">
        <v>1.06</v>
      </c>
      <c r="I35">
        <v>1.06</v>
      </c>
      <c r="J35">
        <v>1.06</v>
      </c>
    </row>
    <row r="36" spans="3:10" x14ac:dyDescent="0.35">
      <c r="C36" t="s">
        <v>200</v>
      </c>
      <c r="E36" s="8">
        <f>E35/AVERAGE(E39,E42)</f>
        <v>6.2028540020469419E-5</v>
      </c>
      <c r="F36" s="8">
        <f t="shared" ref="F36:J36" si="20">F35/AVERAGE(F39,F42)</f>
        <v>7.9877339578052819E-5</v>
      </c>
      <c r="G36" s="8">
        <f t="shared" si="20"/>
        <v>0</v>
      </c>
      <c r="H36" s="8">
        <f t="shared" si="20"/>
        <v>9.9409404973752635E-5</v>
      </c>
      <c r="I36" s="8">
        <f t="shared" si="20"/>
        <v>9.7215197303287108E-5</v>
      </c>
      <c r="J36" s="8">
        <f t="shared" si="20"/>
        <v>9.483880087967462E-5</v>
      </c>
    </row>
    <row r="38" spans="3:10" x14ac:dyDescent="0.35">
      <c r="C38" s="2" t="s">
        <v>201</v>
      </c>
    </row>
    <row r="39" spans="3:10" x14ac:dyDescent="0.35">
      <c r="C39" s="1" t="s">
        <v>140</v>
      </c>
      <c r="E39" s="1">
        <f>D42</f>
        <v>10131.75</v>
      </c>
      <c r="F39" s="1">
        <f t="shared" ref="F39:G39" si="21">E42</f>
        <v>10181.48</v>
      </c>
      <c r="G39" s="1">
        <f t="shared" si="21"/>
        <v>10350</v>
      </c>
      <c r="H39" s="1">
        <f t="shared" ref="H39" si="22">G42</f>
        <v>10550.25</v>
      </c>
      <c r="I39" s="1">
        <f t="shared" ref="I39" si="23">H42</f>
        <v>10775.7</v>
      </c>
      <c r="J39" s="1">
        <f t="shared" ref="J39" si="24">I42</f>
        <v>11031.59</v>
      </c>
    </row>
    <row r="40" spans="3:10" x14ac:dyDescent="0.35">
      <c r="C40" t="s">
        <v>141</v>
      </c>
      <c r="E40">
        <f>IF(E39&lt;E42, E42-E39, 0)</f>
        <v>49.729999999999563</v>
      </c>
      <c r="F40">
        <f t="shared" ref="F40:G40" si="25">IF(F39&lt;F42, F42-F39, 0)</f>
        <v>168.52000000000044</v>
      </c>
      <c r="G40">
        <f t="shared" si="25"/>
        <v>200.25</v>
      </c>
      <c r="H40">
        <f>H44</f>
        <v>225.45</v>
      </c>
      <c r="I40">
        <f t="shared" ref="I40:J40" si="26">I44</f>
        <v>255.89</v>
      </c>
      <c r="J40">
        <f t="shared" si="26"/>
        <v>290.54000000000002</v>
      </c>
    </row>
    <row r="41" spans="3:10" x14ac:dyDescent="0.35">
      <c r="C41" t="s">
        <v>202</v>
      </c>
      <c r="E41">
        <f>IF(E42&lt;E39, E42-E39, 0)</f>
        <v>0</v>
      </c>
      <c r="F41">
        <f t="shared" ref="F41:G41" si="27">IF(F42&lt;F39, F42-F39, 0)</f>
        <v>0</v>
      </c>
      <c r="G41">
        <f t="shared" si="27"/>
        <v>0</v>
      </c>
      <c r="H41">
        <f>H45*H39</f>
        <v>0</v>
      </c>
      <c r="I41">
        <f t="shared" ref="I41:J41" si="28">I45*I39</f>
        <v>0</v>
      </c>
      <c r="J41">
        <f t="shared" si="28"/>
        <v>0</v>
      </c>
    </row>
    <row r="42" spans="3:10" x14ac:dyDescent="0.35">
      <c r="C42" s="2" t="s">
        <v>145</v>
      </c>
      <c r="D42" s="1">
        <f>'Balance Sheet'!D18</f>
        <v>10131.75</v>
      </c>
      <c r="E42" s="1">
        <f>'Balance Sheet'!E18</f>
        <v>10181.48</v>
      </c>
      <c r="F42" s="1">
        <f>'Balance Sheet'!F18</f>
        <v>10350</v>
      </c>
      <c r="G42" s="1">
        <f>'Balance Sheet'!G18</f>
        <v>10550.25</v>
      </c>
      <c r="H42" s="1">
        <f>SUM(H39:H41)</f>
        <v>10775.7</v>
      </c>
      <c r="I42" s="1">
        <f t="shared" ref="I42:J42" si="29">SUM(I39:I41)</f>
        <v>11031.59</v>
      </c>
      <c r="J42" s="1">
        <f t="shared" si="29"/>
        <v>11322.130000000001</v>
      </c>
    </row>
    <row r="44" spans="3:10" x14ac:dyDescent="0.35">
      <c r="C44" t="s">
        <v>141</v>
      </c>
      <c r="E44">
        <f>E40</f>
        <v>49.729999999999563</v>
      </c>
      <c r="F44">
        <f t="shared" ref="F44:G44" si="30">F40</f>
        <v>168.52000000000044</v>
      </c>
      <c r="G44">
        <f t="shared" si="30"/>
        <v>200.25</v>
      </c>
      <c r="H44">
        <v>225.45</v>
      </c>
      <c r="I44">
        <v>255.89</v>
      </c>
      <c r="J44">
        <v>290.54000000000002</v>
      </c>
    </row>
    <row r="45" spans="3:10" x14ac:dyDescent="0.35">
      <c r="C45" t="s">
        <v>203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</row>
    <row r="47" spans="3:10" x14ac:dyDescent="0.35">
      <c r="C47" s="2" t="s">
        <v>260</v>
      </c>
    </row>
    <row r="48" spans="3:10" x14ac:dyDescent="0.35">
      <c r="C48" s="1" t="s">
        <v>140</v>
      </c>
      <c r="E48">
        <f>D51</f>
        <v>317.20999999999998</v>
      </c>
      <c r="F48">
        <f t="shared" ref="F48:J48" si="31">E51</f>
        <v>203.94</v>
      </c>
      <c r="G48">
        <f t="shared" si="31"/>
        <v>417.51</v>
      </c>
      <c r="H48">
        <f t="shared" si="31"/>
        <v>356.51</v>
      </c>
      <c r="I48">
        <f t="shared" si="31"/>
        <v>406.51</v>
      </c>
      <c r="J48">
        <f t="shared" si="31"/>
        <v>507.85</v>
      </c>
    </row>
    <row r="49" spans="3:10" x14ac:dyDescent="0.35">
      <c r="C49" t="s">
        <v>141</v>
      </c>
      <c r="E49">
        <f>IF(F51&gt;F48, F51-F48, 0)</f>
        <v>213.57</v>
      </c>
      <c r="F49">
        <f t="shared" ref="F49:G49" si="32">IF(G51&gt;G48, G51-G48, 0)</f>
        <v>0</v>
      </c>
      <c r="G49">
        <f t="shared" si="32"/>
        <v>50</v>
      </c>
      <c r="H49">
        <f>H53</f>
        <v>50</v>
      </c>
      <c r="I49">
        <f t="shared" ref="I49:J49" si="33">I53</f>
        <v>101.34</v>
      </c>
      <c r="J49">
        <f t="shared" si="33"/>
        <v>0</v>
      </c>
    </row>
    <row r="50" spans="3:10" x14ac:dyDescent="0.35">
      <c r="C50" t="s">
        <v>142</v>
      </c>
      <c r="E50">
        <f>IF(F51&lt;F48, F51-F48, 0)</f>
        <v>0</v>
      </c>
      <c r="F50">
        <f t="shared" ref="F50:G50" si="34">IF(G51&lt;G48, G51-G48, 0)</f>
        <v>-61</v>
      </c>
      <c r="G50">
        <f t="shared" si="34"/>
        <v>0</v>
      </c>
      <c r="H50" s="4">
        <f>H48*H54</f>
        <v>0</v>
      </c>
      <c r="I50" s="4">
        <f t="shared" ref="I50:J50" si="35">I48*I54</f>
        <v>0</v>
      </c>
      <c r="J50" s="4">
        <f t="shared" si="35"/>
        <v>-232.49373</v>
      </c>
    </row>
    <row r="51" spans="3:10" x14ac:dyDescent="0.35">
      <c r="C51" s="2" t="s">
        <v>145</v>
      </c>
      <c r="D51">
        <f>'Balance Sheet'!D17</f>
        <v>317.20999999999998</v>
      </c>
      <c r="E51" s="1">
        <f>'Balance Sheet'!E17</f>
        <v>203.94</v>
      </c>
      <c r="F51" s="1">
        <f>'Balance Sheet'!F17</f>
        <v>417.51</v>
      </c>
      <c r="G51" s="1">
        <f>'Balance Sheet'!G17</f>
        <v>356.51</v>
      </c>
      <c r="H51" s="5">
        <f>SUM(H48:H50)</f>
        <v>406.51</v>
      </c>
      <c r="I51" s="5">
        <f t="shared" ref="I51:J51" si="36">SUM(I48:I50)</f>
        <v>507.85</v>
      </c>
      <c r="J51" s="5">
        <f t="shared" si="36"/>
        <v>275.35626999999999</v>
      </c>
    </row>
    <row r="53" spans="3:10" x14ac:dyDescent="0.35">
      <c r="C53" t="s">
        <v>141</v>
      </c>
      <c r="E53">
        <f>E49</f>
        <v>213.57</v>
      </c>
      <c r="F53">
        <f t="shared" ref="F53:G53" si="37">F49</f>
        <v>0</v>
      </c>
      <c r="G53">
        <f t="shared" si="37"/>
        <v>50</v>
      </c>
      <c r="H53">
        <v>50</v>
      </c>
      <c r="I53">
        <v>101.34</v>
      </c>
      <c r="J53">
        <v>0</v>
      </c>
    </row>
    <row r="54" spans="3:10" x14ac:dyDescent="0.35">
      <c r="C54" t="s">
        <v>261</v>
      </c>
      <c r="E54" s="8">
        <f>E50/E48</f>
        <v>0</v>
      </c>
      <c r="F54" s="8">
        <f t="shared" ref="F54:G54" si="38">F50/F48</f>
        <v>-0.2991075806609787</v>
      </c>
      <c r="G54" s="8">
        <f t="shared" si="38"/>
        <v>0</v>
      </c>
      <c r="H54" s="9">
        <v>0</v>
      </c>
      <c r="I54" s="9">
        <v>0</v>
      </c>
      <c r="J54" s="9">
        <v>-0.45779999999999998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Income Statement</vt:lpstr>
      <vt:lpstr>Cash Flow Statement</vt:lpstr>
      <vt:lpstr>Balance Sheet</vt:lpstr>
      <vt:lpstr>Asset Schedule</vt:lpstr>
      <vt:lpstr>Revenue Breakup</vt:lpstr>
      <vt:lpstr>Working Capital</vt:lpstr>
      <vt:lpstr>Cost Schedule</vt:lpstr>
      <vt:lpstr>Debt Schedule</vt:lpstr>
      <vt:lpstr>Other Schedule</vt:lpstr>
      <vt:lpstr>Ratio Analysis</vt:lpstr>
      <vt:lpstr>Stock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Verdhan Singh</dc:creator>
  <cp:lastModifiedBy>Shiv Verdhan Singh</cp:lastModifiedBy>
  <cp:lastPrinted>2023-06-12T07:42:49Z</cp:lastPrinted>
  <dcterms:created xsi:type="dcterms:W3CDTF">2023-05-22T08:21:09Z</dcterms:created>
  <dcterms:modified xsi:type="dcterms:W3CDTF">2023-10-25T19:58:52Z</dcterms:modified>
</cp:coreProperties>
</file>