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B4C94DB-86C4-47B1-B056-F05FBCB3B84A}" xr6:coauthVersionLast="36" xr6:coauthVersionMax="36" xr10:uidLastSave="{00000000-0000-0000-0000-000000000000}"/>
  <bookViews>
    <workbookView xWindow="10395" yWindow="-105" windowWidth="14850" windowHeight="12735" firstSheet="1" activeTab="7" xr2:uid="{00000000-000D-0000-FFFF-FFFF00000000}"/>
  </bookViews>
  <sheets>
    <sheet name="Profitability_TCS" sheetId="2" r:id="rId1"/>
    <sheet name="Profitability_TataSteel" sheetId="4" r:id="rId2"/>
    <sheet name="Profitability_SBI" sheetId="6" r:id="rId3"/>
    <sheet name="Profitability_HDFC" sheetId="8" r:id="rId4"/>
    <sheet name="Liquidity_TCS" sheetId="3" r:id="rId5"/>
    <sheet name="Liquidity_TataSteel" sheetId="5" r:id="rId6"/>
    <sheet name="Liquidity_SBI" sheetId="7" r:id="rId7"/>
    <sheet name="Liquidity_HDFC" sheetId="9" r:id="rId8"/>
  </sheets>
  <calcPr calcId="191029"/>
</workbook>
</file>

<file path=xl/calcChain.xml><?xml version="1.0" encoding="utf-8"?>
<calcChain xmlns="http://schemas.openxmlformats.org/spreadsheetml/2006/main">
  <c r="T17" i="9" l="1"/>
  <c r="R16" i="9"/>
  <c r="P15" i="9"/>
  <c r="N13" i="9"/>
  <c r="L12" i="9"/>
  <c r="J11" i="9"/>
  <c r="H9" i="9"/>
  <c r="F8" i="9"/>
  <c r="D7" i="9"/>
  <c r="K13" i="9"/>
  <c r="C8" i="9"/>
  <c r="L15" i="9"/>
  <c r="D9" i="9"/>
  <c r="K15" i="9"/>
  <c r="E11" i="9"/>
  <c r="N17" i="9"/>
  <c r="F12" i="9"/>
  <c r="M17" i="9"/>
  <c r="E12" i="9"/>
  <c r="L17" i="9"/>
  <c r="D12" i="9"/>
  <c r="K17" i="9"/>
  <c r="S9" i="9"/>
  <c r="H16" i="9"/>
  <c r="R9" i="9"/>
  <c r="I17" i="9"/>
  <c r="Q9" i="9"/>
  <c r="F16" i="9"/>
  <c r="P9" i="9"/>
  <c r="E16" i="9"/>
  <c r="Q11" i="9"/>
  <c r="F17" i="9"/>
  <c r="N9" i="9"/>
  <c r="C16" i="9"/>
  <c r="K8" i="9"/>
  <c r="T15" i="9"/>
  <c r="L9" i="9"/>
  <c r="S15" i="9"/>
  <c r="I8" i="9"/>
  <c r="P13" i="9"/>
  <c r="F7" i="9"/>
  <c r="M12" i="9"/>
  <c r="G8" i="9"/>
  <c r="S17" i="9"/>
  <c r="Q16" i="9"/>
  <c r="O15" i="9"/>
  <c r="M13" i="9"/>
  <c r="K12" i="9"/>
  <c r="I11" i="9"/>
  <c r="G9" i="9"/>
  <c r="E8" i="9"/>
  <c r="C7" i="9"/>
  <c r="M15" i="9"/>
  <c r="G11" i="9"/>
  <c r="P17" i="9"/>
  <c r="J13" i="9"/>
  <c r="F11" i="9"/>
  <c r="O17" i="9"/>
  <c r="G12" i="9"/>
  <c r="J15" i="9"/>
  <c r="D11" i="9"/>
  <c r="K16" i="9"/>
  <c r="C11" i="9"/>
  <c r="H15" i="9"/>
  <c r="T9" i="9"/>
  <c r="I16" i="9"/>
  <c r="O7" i="9"/>
  <c r="D13" i="9"/>
  <c r="P8" i="9"/>
  <c r="E15" i="9"/>
  <c r="O8" i="9"/>
  <c r="T12" i="9"/>
  <c r="L7" i="9"/>
  <c r="S12" i="9"/>
  <c r="K7" i="9"/>
  <c r="R12" i="9"/>
  <c r="L8" i="9"/>
  <c r="S13" i="9"/>
  <c r="M9" i="9"/>
  <c r="R13" i="9"/>
  <c r="J8" i="9"/>
  <c r="Q13" i="9"/>
  <c r="G7" i="9"/>
  <c r="N12" i="9"/>
  <c r="H8" i="9"/>
  <c r="O13" i="9"/>
  <c r="E7" i="9"/>
  <c r="R17" i="9"/>
  <c r="P16" i="9"/>
  <c r="N15" i="9"/>
  <c r="L13" i="9"/>
  <c r="J12" i="9"/>
  <c r="H11" i="9"/>
  <c r="F9" i="9"/>
  <c r="D8" i="9"/>
  <c r="Q17" i="9"/>
  <c r="I12" i="9"/>
  <c r="E9" i="9"/>
  <c r="N16" i="9"/>
  <c r="H12" i="9"/>
  <c r="T7" i="9"/>
  <c r="I13" i="9"/>
  <c r="C9" i="9"/>
  <c r="L16" i="9"/>
  <c r="T8" i="9"/>
  <c r="G13" i="9"/>
  <c r="Q7" i="9"/>
  <c r="F13" i="9"/>
  <c r="P7" i="9"/>
  <c r="G15" i="9"/>
  <c r="C12" i="9"/>
  <c r="J17" i="9"/>
  <c r="T11" i="9"/>
  <c r="G16" i="9"/>
  <c r="S11" i="9"/>
  <c r="H17" i="9"/>
  <c r="R11" i="9"/>
  <c r="G17" i="9"/>
  <c r="O9" i="9"/>
  <c r="D16" i="9"/>
  <c r="P11" i="9"/>
  <c r="J7" i="9"/>
  <c r="Q12" i="9"/>
  <c r="I7" i="9"/>
  <c r="P12" i="9"/>
  <c r="H7" i="9"/>
  <c r="O12" i="9"/>
  <c r="K9" i="9"/>
  <c r="R15" i="9"/>
  <c r="J9" i="9"/>
  <c r="Q15" i="9"/>
  <c r="I9" i="9"/>
  <c r="O16" i="9"/>
  <c r="M16" i="9"/>
  <c r="S7" i="9"/>
  <c r="H13" i="9"/>
  <c r="R7" i="9"/>
  <c r="I15" i="9"/>
  <c r="S8" i="9"/>
  <c r="J16" i="9"/>
  <c r="R8" i="9"/>
  <c r="E13" i="9"/>
  <c r="Q8" i="9"/>
  <c r="F15" i="9"/>
  <c r="N7" i="9"/>
  <c r="C13" i="9"/>
  <c r="M7" i="9"/>
  <c r="D15" i="9"/>
  <c r="N8" i="9"/>
  <c r="C15" i="9"/>
  <c r="M8" i="9"/>
  <c r="T13" i="9"/>
  <c r="E17" i="9"/>
  <c r="O11" i="9"/>
  <c r="D17" i="9"/>
  <c r="N11" i="9"/>
  <c r="C17" i="9"/>
  <c r="M11" i="9"/>
  <c r="T16" i="9"/>
  <c r="L11" i="9"/>
  <c r="S16" i="9"/>
  <c r="K11" i="9"/>
  <c r="T22" i="8"/>
  <c r="R21" i="8"/>
  <c r="P20" i="8"/>
  <c r="N17" i="8"/>
  <c r="L16" i="8"/>
  <c r="J15" i="8"/>
  <c r="H14" i="8"/>
  <c r="F13" i="8"/>
  <c r="D12" i="8"/>
  <c r="T8" i="8"/>
  <c r="R7" i="8"/>
  <c r="K17" i="8"/>
  <c r="I16" i="8"/>
  <c r="C13" i="8"/>
  <c r="O7" i="8"/>
  <c r="L20" i="8"/>
  <c r="F15" i="8"/>
  <c r="P8" i="8"/>
  <c r="O22" i="8"/>
  <c r="E15" i="8"/>
  <c r="O8" i="8"/>
  <c r="L21" i="8"/>
  <c r="F16" i="8"/>
  <c r="P9" i="8"/>
  <c r="K21" i="8"/>
  <c r="E16" i="8"/>
  <c r="O9" i="8"/>
  <c r="J21" i="8"/>
  <c r="T14" i="8"/>
  <c r="L8" i="8"/>
  <c r="K22" i="8"/>
  <c r="C16" i="8"/>
  <c r="M9" i="8"/>
  <c r="J22" i="8"/>
  <c r="R14" i="8"/>
  <c r="J8" i="8"/>
  <c r="E20" i="8"/>
  <c r="Q14" i="8"/>
  <c r="I8" i="8"/>
  <c r="F21" i="8"/>
  <c r="N13" i="8"/>
  <c r="F7" i="8"/>
  <c r="S16" i="8"/>
  <c r="M13" i="8"/>
  <c r="E7" i="8"/>
  <c r="T17" i="8"/>
  <c r="J12" i="8"/>
  <c r="C21" i="8"/>
  <c r="K13" i="8"/>
  <c r="E8" i="8"/>
  <c r="R17" i="8"/>
  <c r="L14" i="8"/>
  <c r="D8" i="8"/>
  <c r="O16" i="8"/>
  <c r="G12" i="8"/>
  <c r="R20" i="8"/>
  <c r="J14" i="8"/>
  <c r="D9" i="8"/>
  <c r="O17" i="8"/>
  <c r="G13" i="8"/>
  <c r="S22" i="8"/>
  <c r="Q21" i="8"/>
  <c r="O20" i="8"/>
  <c r="M17" i="8"/>
  <c r="K16" i="8"/>
  <c r="I15" i="8"/>
  <c r="G14" i="8"/>
  <c r="E13" i="8"/>
  <c r="C12" i="8"/>
  <c r="S8" i="8"/>
  <c r="Q7" i="8"/>
  <c r="M20" i="8"/>
  <c r="G15" i="8"/>
  <c r="S9" i="8"/>
  <c r="P22" i="8"/>
  <c r="J17" i="8"/>
  <c r="T12" i="8"/>
  <c r="K20" i="8"/>
  <c r="C14" i="8"/>
  <c r="M7" i="8"/>
  <c r="H17" i="8"/>
  <c r="T13" i="8"/>
  <c r="L7" i="8"/>
  <c r="G17" i="8"/>
  <c r="C15" i="8"/>
  <c r="M8" i="8"/>
  <c r="H20" i="8"/>
  <c r="R13" i="8"/>
  <c r="J7" i="8"/>
  <c r="E17" i="8"/>
  <c r="O12" i="8"/>
  <c r="F20" i="8"/>
  <c r="P13" i="8"/>
  <c r="H7" i="8"/>
  <c r="C17" i="8"/>
  <c r="S15" i="8"/>
  <c r="K9" i="8"/>
  <c r="D20" i="8"/>
  <c r="P14" i="8"/>
  <c r="H8" i="8"/>
  <c r="E21" i="8"/>
  <c r="O14" i="8"/>
  <c r="I9" i="8"/>
  <c r="D21" i="8"/>
  <c r="N14" i="8"/>
  <c r="F8" i="8"/>
  <c r="S17" i="8"/>
  <c r="O15" i="8"/>
  <c r="G9" i="8"/>
  <c r="T20" i="8"/>
  <c r="J13" i="8"/>
  <c r="C22" i="8"/>
  <c r="M15" i="8"/>
  <c r="C8" i="8"/>
  <c r="N16" i="8"/>
  <c r="H13" i="8"/>
  <c r="Q20" i="8"/>
  <c r="I14" i="8"/>
  <c r="C9" i="8"/>
  <c r="R22" i="8"/>
  <c r="P21" i="8"/>
  <c r="N20" i="8"/>
  <c r="L17" i="8"/>
  <c r="J16" i="8"/>
  <c r="H15" i="8"/>
  <c r="F14" i="8"/>
  <c r="D13" i="8"/>
  <c r="T9" i="8"/>
  <c r="R8" i="8"/>
  <c r="P7" i="8"/>
  <c r="O21" i="8"/>
  <c r="E14" i="8"/>
  <c r="Q8" i="8"/>
  <c r="N21" i="8"/>
  <c r="H16" i="8"/>
  <c r="R9" i="8"/>
  <c r="M21" i="8"/>
  <c r="G16" i="8"/>
  <c r="Q9" i="8"/>
  <c r="J20" i="8"/>
  <c r="R12" i="8"/>
  <c r="M22" i="8"/>
  <c r="S13" i="8"/>
  <c r="L22" i="8"/>
  <c r="D16" i="8"/>
  <c r="N9" i="8"/>
  <c r="I21" i="8"/>
  <c r="S14" i="8"/>
  <c r="K8" i="8"/>
  <c r="H21" i="8"/>
  <c r="T15" i="8"/>
  <c r="L9" i="8"/>
  <c r="G21" i="8"/>
  <c r="O13" i="8"/>
  <c r="H22" i="8"/>
  <c r="R15" i="8"/>
  <c r="J9" i="8"/>
  <c r="C20" i="8"/>
  <c r="K12" i="8"/>
  <c r="F22" i="8"/>
  <c r="R16" i="8"/>
  <c r="L13" i="8"/>
  <c r="D7" i="8"/>
  <c r="Q16" i="8"/>
  <c r="I12" i="8"/>
  <c r="D22" i="8"/>
  <c r="N15" i="8"/>
  <c r="F9" i="8"/>
  <c r="Q17" i="8"/>
  <c r="K14" i="8"/>
  <c r="E9" i="8"/>
  <c r="P17" i="8"/>
  <c r="F12" i="8"/>
  <c r="S21" i="8"/>
  <c r="K15" i="8"/>
  <c r="S7" i="8"/>
  <c r="Q22" i="8"/>
  <c r="D14" i="8"/>
  <c r="N7" i="8"/>
  <c r="I17" i="8"/>
  <c r="S12" i="8"/>
  <c r="N22" i="8"/>
  <c r="D15" i="8"/>
  <c r="N8" i="8"/>
  <c r="I20" i="8"/>
  <c r="Q12" i="8"/>
  <c r="K7" i="8"/>
  <c r="F17" i="8"/>
  <c r="P12" i="8"/>
  <c r="G20" i="8"/>
  <c r="Q13" i="8"/>
  <c r="I7" i="8"/>
  <c r="D17" i="8"/>
  <c r="N12" i="8"/>
  <c r="I22" i="8"/>
  <c r="M12" i="8"/>
  <c r="G7" i="8"/>
  <c r="T16" i="8"/>
  <c r="L12" i="8"/>
  <c r="G22" i="8"/>
  <c r="Q15" i="8"/>
  <c r="G8" i="8"/>
  <c r="P15" i="8"/>
  <c r="H9" i="8"/>
  <c r="E22" i="8"/>
  <c r="M14" i="8"/>
  <c r="C7" i="8"/>
  <c r="P16" i="8"/>
  <c r="H12" i="8"/>
  <c r="S20" i="8"/>
  <c r="I13" i="8"/>
  <c r="T21" i="8"/>
  <c r="L15" i="8"/>
  <c r="T7" i="8"/>
  <c r="M16" i="8"/>
  <c r="E12" i="8"/>
  <c r="V17" i="7"/>
  <c r="V16" i="7"/>
  <c r="V15" i="7"/>
  <c r="V13" i="7"/>
  <c r="V12" i="7"/>
  <c r="V11" i="7"/>
  <c r="V9" i="7"/>
  <c r="V8" i="7"/>
  <c r="V7" i="7"/>
  <c r="S15" i="7"/>
  <c r="S12" i="7"/>
  <c r="S7" i="7"/>
  <c r="R15" i="7"/>
  <c r="R11" i="7"/>
  <c r="R7" i="7"/>
  <c r="Q15" i="7"/>
  <c r="Q11" i="7"/>
  <c r="Q7" i="7"/>
  <c r="P15" i="7"/>
  <c r="P9" i="7"/>
  <c r="P7" i="7"/>
  <c r="O15" i="7"/>
  <c r="O9" i="7"/>
  <c r="N15" i="7"/>
  <c r="N12" i="7"/>
  <c r="N7" i="7"/>
  <c r="M13" i="7"/>
  <c r="M9" i="7"/>
  <c r="L17" i="7"/>
  <c r="L12" i="7"/>
  <c r="L7" i="7"/>
  <c r="K13" i="7"/>
  <c r="K8" i="7"/>
  <c r="J16" i="7"/>
  <c r="J11" i="7"/>
  <c r="I17" i="7"/>
  <c r="I11" i="7"/>
  <c r="H17" i="7"/>
  <c r="H12" i="7"/>
  <c r="H7" i="7"/>
  <c r="G13" i="7"/>
  <c r="G8" i="7"/>
  <c r="F16" i="7"/>
  <c r="F11" i="7"/>
  <c r="E17" i="7"/>
  <c r="E12" i="7"/>
  <c r="E7" i="7"/>
  <c r="D13" i="7"/>
  <c r="D9" i="7"/>
  <c r="C16" i="7"/>
  <c r="C11" i="7"/>
  <c r="U17" i="7"/>
  <c r="U16" i="7"/>
  <c r="U15" i="7"/>
  <c r="U13" i="7"/>
  <c r="U12" i="7"/>
  <c r="U11" i="7"/>
  <c r="U9" i="7"/>
  <c r="U8" i="7"/>
  <c r="U7" i="7"/>
  <c r="S16" i="7"/>
  <c r="S13" i="7"/>
  <c r="S8" i="7"/>
  <c r="R16" i="7"/>
  <c r="R12" i="7"/>
  <c r="R8" i="7"/>
  <c r="Q17" i="7"/>
  <c r="Q12" i="7"/>
  <c r="P17" i="7"/>
  <c r="P12" i="7"/>
  <c r="O17" i="7"/>
  <c r="O12" i="7"/>
  <c r="O7" i="7"/>
  <c r="N13" i="7"/>
  <c r="N9" i="7"/>
  <c r="M17" i="7"/>
  <c r="M12" i="7"/>
  <c r="M7" i="7"/>
  <c r="L13" i="7"/>
  <c r="L8" i="7"/>
  <c r="K15" i="7"/>
  <c r="K11" i="7"/>
  <c r="J17" i="7"/>
  <c r="J12" i="7"/>
  <c r="J7" i="7"/>
  <c r="I13" i="7"/>
  <c r="I9" i="7"/>
  <c r="H13" i="7"/>
  <c r="H8" i="7"/>
  <c r="G16" i="7"/>
  <c r="G11" i="7"/>
  <c r="F17" i="7"/>
  <c r="F12" i="7"/>
  <c r="F7" i="7"/>
  <c r="E13" i="7"/>
  <c r="E9" i="7"/>
  <c r="D16" i="7"/>
  <c r="D11" i="7"/>
  <c r="C17" i="7"/>
  <c r="C12" i="7"/>
  <c r="C7" i="7"/>
  <c r="T17" i="7"/>
  <c r="T16" i="7"/>
  <c r="T15" i="7"/>
  <c r="T13" i="7"/>
  <c r="T12" i="7"/>
  <c r="T11" i="7"/>
  <c r="T9" i="7"/>
  <c r="T8" i="7"/>
  <c r="T7" i="7"/>
  <c r="S17" i="7"/>
  <c r="S11" i="7"/>
  <c r="R17" i="7"/>
  <c r="R13" i="7"/>
  <c r="R9" i="7"/>
  <c r="Q16" i="7"/>
  <c r="Q9" i="7"/>
  <c r="P16" i="7"/>
  <c r="P11" i="7"/>
  <c r="O16" i="7"/>
  <c r="O11" i="7"/>
  <c r="N17" i="7"/>
  <c r="N11" i="7"/>
  <c r="M16" i="7"/>
  <c r="M11" i="7"/>
  <c r="L16" i="7"/>
  <c r="L11" i="7"/>
  <c r="K16" i="7"/>
  <c r="K9" i="7"/>
  <c r="J15" i="7"/>
  <c r="J8" i="7"/>
  <c r="I15" i="7"/>
  <c r="I8" i="7"/>
  <c r="H16" i="7"/>
  <c r="H9" i="7"/>
  <c r="G15" i="7"/>
  <c r="G9" i="7"/>
  <c r="F15" i="7"/>
  <c r="F8" i="7"/>
  <c r="E15" i="7"/>
  <c r="E8" i="7"/>
  <c r="D15" i="7"/>
  <c r="D8" i="7"/>
  <c r="C15" i="7"/>
  <c r="C9" i="7"/>
  <c r="S9" i="7"/>
  <c r="Q13" i="7"/>
  <c r="Q8" i="7"/>
  <c r="P13" i="7"/>
  <c r="P8" i="7"/>
  <c r="O13" i="7"/>
  <c r="O8" i="7"/>
  <c r="N16" i="7"/>
  <c r="N8" i="7"/>
  <c r="M15" i="7"/>
  <c r="M8" i="7"/>
  <c r="L15" i="7"/>
  <c r="L9" i="7"/>
  <c r="K17" i="7"/>
  <c r="K12" i="7"/>
  <c r="K7" i="7"/>
  <c r="J13" i="7"/>
  <c r="J9" i="7"/>
  <c r="I16" i="7"/>
  <c r="I12" i="7"/>
  <c r="I7" i="7"/>
  <c r="H15" i="7"/>
  <c r="H11" i="7"/>
  <c r="G17" i="7"/>
  <c r="G12" i="7"/>
  <c r="G7" i="7"/>
  <c r="F13" i="7"/>
  <c r="F9" i="7"/>
  <c r="E16" i="7"/>
  <c r="E11" i="7"/>
  <c r="D17" i="7"/>
  <c r="D12" i="7"/>
  <c r="D7" i="7"/>
  <c r="C13" i="7"/>
  <c r="C8" i="7"/>
  <c r="V22" i="6"/>
  <c r="V21" i="6"/>
  <c r="V20" i="6"/>
  <c r="V17" i="6"/>
  <c r="V16" i="6"/>
  <c r="V15" i="6"/>
  <c r="V14" i="6"/>
  <c r="V13" i="6"/>
  <c r="V12" i="6"/>
  <c r="V9" i="6"/>
  <c r="V8" i="6"/>
  <c r="V7" i="6"/>
  <c r="S17" i="6"/>
  <c r="S14" i="6"/>
  <c r="S7" i="6"/>
  <c r="R17" i="6"/>
  <c r="R9" i="6"/>
  <c r="Q21" i="6"/>
  <c r="Q14" i="6"/>
  <c r="Q8" i="6"/>
  <c r="P20" i="6"/>
  <c r="P13" i="6"/>
  <c r="O22" i="6"/>
  <c r="O13" i="6"/>
  <c r="O7" i="6"/>
  <c r="N17" i="6"/>
  <c r="N13" i="6"/>
  <c r="M20" i="6"/>
  <c r="M13" i="6"/>
  <c r="M7" i="6"/>
  <c r="L14" i="6"/>
  <c r="L8" i="6"/>
  <c r="K20" i="6"/>
  <c r="K13" i="6"/>
  <c r="J21" i="6"/>
  <c r="J15" i="6"/>
  <c r="J9" i="6"/>
  <c r="I17" i="6"/>
  <c r="I8" i="6"/>
  <c r="H17" i="6"/>
  <c r="H13" i="6"/>
  <c r="H7" i="6"/>
  <c r="G17" i="6"/>
  <c r="G13" i="6"/>
  <c r="F20" i="6"/>
  <c r="F14" i="6"/>
  <c r="F8" i="6"/>
  <c r="E20" i="6"/>
  <c r="E14" i="6"/>
  <c r="E8" i="6"/>
  <c r="D20" i="6"/>
  <c r="D13" i="6"/>
  <c r="C21" i="6"/>
  <c r="C14" i="6"/>
  <c r="C9" i="6"/>
  <c r="U22" i="6"/>
  <c r="U21" i="6"/>
  <c r="U20" i="6"/>
  <c r="U17" i="6"/>
  <c r="U16" i="6"/>
  <c r="U15" i="6"/>
  <c r="U14" i="6"/>
  <c r="U13" i="6"/>
  <c r="U12" i="6"/>
  <c r="U9" i="6"/>
  <c r="U8" i="6"/>
  <c r="U7" i="6"/>
  <c r="S20" i="6"/>
  <c r="S15" i="6"/>
  <c r="S12" i="6"/>
  <c r="R22" i="6"/>
  <c r="R16" i="6"/>
  <c r="R14" i="6"/>
  <c r="R8" i="6"/>
  <c r="Q20" i="6"/>
  <c r="Q15" i="6"/>
  <c r="Q9" i="6"/>
  <c r="P22" i="6"/>
  <c r="P16" i="6"/>
  <c r="P9" i="6"/>
  <c r="O21" i="6"/>
  <c r="O16" i="6"/>
  <c r="O12" i="6"/>
  <c r="N22" i="6"/>
  <c r="N16" i="6"/>
  <c r="N12" i="6"/>
  <c r="N7" i="6"/>
  <c r="M17" i="6"/>
  <c r="M14" i="6"/>
  <c r="M8" i="6"/>
  <c r="L21" i="6"/>
  <c r="L17" i="6"/>
  <c r="L13" i="6"/>
  <c r="L7" i="6"/>
  <c r="K17" i="6"/>
  <c r="K14" i="6"/>
  <c r="K7" i="6"/>
  <c r="J20" i="6"/>
  <c r="J14" i="6"/>
  <c r="J8" i="6"/>
  <c r="I21" i="6"/>
  <c r="I16" i="6"/>
  <c r="I13" i="6"/>
  <c r="I7" i="6"/>
  <c r="H20" i="6"/>
  <c r="H16" i="6"/>
  <c r="H12" i="6"/>
  <c r="G22" i="6"/>
  <c r="G15" i="6"/>
  <c r="G8" i="6"/>
  <c r="F21" i="6"/>
  <c r="F16" i="6"/>
  <c r="F13" i="6"/>
  <c r="F7" i="6"/>
  <c r="E17" i="6"/>
  <c r="E13" i="6"/>
  <c r="E7" i="6"/>
  <c r="D17" i="6"/>
  <c r="D14" i="6"/>
  <c r="D8" i="6"/>
  <c r="C20" i="6"/>
  <c r="C15" i="6"/>
  <c r="C8" i="6"/>
  <c r="T22" i="6"/>
  <c r="T21" i="6"/>
  <c r="T20" i="6"/>
  <c r="T17" i="6"/>
  <c r="T16" i="6"/>
  <c r="T15" i="6"/>
  <c r="T14" i="6"/>
  <c r="T13" i="6"/>
  <c r="T12" i="6"/>
  <c r="T9" i="6"/>
  <c r="T8" i="6"/>
  <c r="T7" i="6"/>
  <c r="S21" i="6"/>
  <c r="S13" i="6"/>
  <c r="S8" i="6"/>
  <c r="R21" i="6"/>
  <c r="R15" i="6"/>
  <c r="R12" i="6"/>
  <c r="Q22" i="6"/>
  <c r="Q16" i="6"/>
  <c r="Q12" i="6"/>
  <c r="P21" i="6"/>
  <c r="P15" i="6"/>
  <c r="P12" i="6"/>
  <c r="P7" i="6"/>
  <c r="O17" i="6"/>
  <c r="O14" i="6"/>
  <c r="O8" i="6"/>
  <c r="N20" i="6"/>
  <c r="N14" i="6"/>
  <c r="N9" i="6"/>
  <c r="M22" i="6"/>
  <c r="M15" i="6"/>
  <c r="M9" i="6"/>
  <c r="L20" i="6"/>
  <c r="L16" i="6"/>
  <c r="L12" i="6"/>
  <c r="K22" i="6"/>
  <c r="K16" i="6"/>
  <c r="K12" i="6"/>
  <c r="K8" i="6"/>
  <c r="J17" i="6"/>
  <c r="J12" i="6"/>
  <c r="J7" i="6"/>
  <c r="I20" i="6"/>
  <c r="I15" i="6"/>
  <c r="I9" i="6"/>
  <c r="H21" i="6"/>
  <c r="H15" i="6"/>
  <c r="H9" i="6"/>
  <c r="G21" i="6"/>
  <c r="G16" i="6"/>
  <c r="G12" i="6"/>
  <c r="G7" i="6"/>
  <c r="F17" i="6"/>
  <c r="F15" i="6"/>
  <c r="F9" i="6"/>
  <c r="E21" i="6"/>
  <c r="E15" i="6"/>
  <c r="E9" i="6"/>
  <c r="D21" i="6"/>
  <c r="D15" i="6"/>
  <c r="D9" i="6"/>
  <c r="C22" i="6"/>
  <c r="C16" i="6"/>
  <c r="C12" i="6"/>
  <c r="C7" i="6"/>
  <c r="S22" i="6"/>
  <c r="S16" i="6"/>
  <c r="S9" i="6"/>
  <c r="R20" i="6"/>
  <c r="R13" i="6"/>
  <c r="R7" i="6"/>
  <c r="Q17" i="6"/>
  <c r="Q13" i="6"/>
  <c r="Q7" i="6"/>
  <c r="P17" i="6"/>
  <c r="P14" i="6"/>
  <c r="P8" i="6"/>
  <c r="O20" i="6"/>
  <c r="O15" i="6"/>
  <c r="O9" i="6"/>
  <c r="N21" i="6"/>
  <c r="N15" i="6"/>
  <c r="N8" i="6"/>
  <c r="M21" i="6"/>
  <c r="M16" i="6"/>
  <c r="M12" i="6"/>
  <c r="L22" i="6"/>
  <c r="L15" i="6"/>
  <c r="L9" i="6"/>
  <c r="K21" i="6"/>
  <c r="K15" i="6"/>
  <c r="K9" i="6"/>
  <c r="J22" i="6"/>
  <c r="J16" i="6"/>
  <c r="J13" i="6"/>
  <c r="I22" i="6"/>
  <c r="I14" i="6"/>
  <c r="I12" i="6"/>
  <c r="H22" i="6"/>
  <c r="H14" i="6"/>
  <c r="H8" i="6"/>
  <c r="G20" i="6"/>
  <c r="G14" i="6"/>
  <c r="G9" i="6"/>
  <c r="F22" i="6"/>
  <c r="F12" i="6"/>
  <c r="E22" i="6"/>
  <c r="E16" i="6"/>
  <c r="E12" i="6"/>
  <c r="D22" i="6"/>
  <c r="D16" i="6"/>
  <c r="D12" i="6"/>
  <c r="D7" i="6"/>
  <c r="C17" i="6"/>
  <c r="C13" i="6"/>
  <c r="V28" i="5"/>
  <c r="V26" i="5"/>
  <c r="V25" i="5"/>
  <c r="V24" i="5"/>
  <c r="V22" i="5"/>
  <c r="V21" i="5"/>
  <c r="V20" i="5"/>
  <c r="V18" i="5"/>
  <c r="V17" i="5"/>
  <c r="V16" i="5"/>
  <c r="V14" i="5"/>
  <c r="V13" i="5"/>
  <c r="V12" i="5"/>
  <c r="V10" i="5"/>
  <c r="V9" i="5"/>
  <c r="V8" i="5"/>
  <c r="V7" i="5"/>
  <c r="V6" i="5"/>
  <c r="Q25" i="5"/>
  <c r="Q16" i="5"/>
  <c r="Q10" i="5"/>
  <c r="P28" i="5"/>
  <c r="P21" i="5"/>
  <c r="P17" i="5"/>
  <c r="P12" i="5"/>
  <c r="P7" i="5"/>
  <c r="O28" i="5"/>
  <c r="O18" i="5"/>
  <c r="O13" i="5"/>
  <c r="O9" i="5"/>
  <c r="N26" i="5"/>
  <c r="N17" i="5"/>
  <c r="N8" i="5"/>
  <c r="M24" i="5"/>
  <c r="M17" i="5"/>
  <c r="M12" i="5"/>
  <c r="M8" i="5"/>
  <c r="L28" i="5"/>
  <c r="L21" i="5"/>
  <c r="L17" i="5"/>
  <c r="L13" i="5"/>
  <c r="L6" i="5"/>
  <c r="K24" i="5"/>
  <c r="K17" i="5"/>
  <c r="K10" i="5"/>
  <c r="J26" i="5"/>
  <c r="J21" i="5"/>
  <c r="J13" i="5"/>
  <c r="J9" i="5"/>
  <c r="I22" i="5"/>
  <c r="I18" i="5"/>
  <c r="I14" i="5"/>
  <c r="I8" i="5"/>
  <c r="H26" i="5"/>
  <c r="H18" i="5"/>
  <c r="H12" i="5"/>
  <c r="G28" i="5"/>
  <c r="G21" i="5"/>
  <c r="G9" i="5"/>
  <c r="F22" i="5"/>
  <c r="F16" i="5"/>
  <c r="F12" i="5"/>
  <c r="F8" i="5"/>
  <c r="E25" i="5"/>
  <c r="E18" i="5"/>
  <c r="E13" i="5"/>
  <c r="E8" i="5"/>
  <c r="D25" i="5"/>
  <c r="D21" i="5"/>
  <c r="D14" i="5"/>
  <c r="D12" i="5"/>
  <c r="D7" i="5"/>
  <c r="C25" i="5"/>
  <c r="C18" i="5"/>
  <c r="C14" i="5"/>
  <c r="C8" i="5"/>
  <c r="U28" i="5"/>
  <c r="U26" i="5"/>
  <c r="U25" i="5"/>
  <c r="U24" i="5"/>
  <c r="U22" i="5"/>
  <c r="U21" i="5"/>
  <c r="U20" i="5"/>
  <c r="U18" i="5"/>
  <c r="U17" i="5"/>
  <c r="U16" i="5"/>
  <c r="U14" i="5"/>
  <c r="U13" i="5"/>
  <c r="U12" i="5"/>
  <c r="U10" i="5"/>
  <c r="U9" i="5"/>
  <c r="U8" i="5"/>
  <c r="U7" i="5"/>
  <c r="U6" i="5"/>
  <c r="Q24" i="5"/>
  <c r="Q18" i="5"/>
  <c r="Q13" i="5"/>
  <c r="Q7" i="5"/>
  <c r="P22" i="5"/>
  <c r="P20" i="5"/>
  <c r="P13" i="5"/>
  <c r="O24" i="5"/>
  <c r="O17" i="5"/>
  <c r="O8" i="5"/>
  <c r="N25" i="5"/>
  <c r="N16" i="5"/>
  <c r="N9" i="5"/>
  <c r="M26" i="5"/>
  <c r="M18" i="5"/>
  <c r="M13" i="5"/>
  <c r="M7" i="5"/>
  <c r="L22" i="5"/>
  <c r="L16" i="5"/>
  <c r="L9" i="5"/>
  <c r="K28" i="5"/>
  <c r="K20" i="5"/>
  <c r="K13" i="5"/>
  <c r="K7" i="5"/>
  <c r="J24" i="5"/>
  <c r="J17" i="5"/>
  <c r="J10" i="5"/>
  <c r="I26" i="5"/>
  <c r="I20" i="5"/>
  <c r="I12" i="5"/>
  <c r="I6" i="5"/>
  <c r="H21" i="5"/>
  <c r="H17" i="5"/>
  <c r="H9" i="5"/>
  <c r="G24" i="5"/>
  <c r="G16" i="5"/>
  <c r="G12" i="5"/>
  <c r="G6" i="5"/>
  <c r="F24" i="5"/>
  <c r="F17" i="5"/>
  <c r="F9" i="5"/>
  <c r="E26" i="5"/>
  <c r="E20" i="5"/>
  <c r="E14" i="5"/>
  <c r="E7" i="5"/>
  <c r="D24" i="5"/>
  <c r="D17" i="5"/>
  <c r="D9" i="5"/>
  <c r="C28" i="5"/>
  <c r="C21" i="5"/>
  <c r="C13" i="5"/>
  <c r="C6" i="5"/>
  <c r="T28" i="5"/>
  <c r="T26" i="5"/>
  <c r="T25" i="5"/>
  <c r="T24" i="5"/>
  <c r="T22" i="5"/>
  <c r="T21" i="5"/>
  <c r="T20" i="5"/>
  <c r="T18" i="5"/>
  <c r="T17" i="5"/>
  <c r="T16" i="5"/>
  <c r="T14" i="5"/>
  <c r="T13" i="5"/>
  <c r="T12" i="5"/>
  <c r="T10" i="5"/>
  <c r="T9" i="5"/>
  <c r="T8" i="5"/>
  <c r="T7" i="5"/>
  <c r="T6" i="5"/>
  <c r="Q26" i="5"/>
  <c r="Q21" i="5"/>
  <c r="Q14" i="5"/>
  <c r="Q8" i="5"/>
  <c r="P25" i="5"/>
  <c r="P14" i="5"/>
  <c r="P8" i="5"/>
  <c r="O25" i="5"/>
  <c r="O14" i="5"/>
  <c r="O6" i="5"/>
  <c r="N22" i="5"/>
  <c r="N21" i="5"/>
  <c r="N14" i="5"/>
  <c r="N12" i="5"/>
  <c r="N7" i="5"/>
  <c r="M25" i="5"/>
  <c r="M20" i="5"/>
  <c r="M14" i="5"/>
  <c r="M9" i="5"/>
  <c r="L25" i="5"/>
  <c r="L18" i="5"/>
  <c r="L10" i="5"/>
  <c r="L8" i="5"/>
  <c r="K22" i="5"/>
  <c r="K16" i="5"/>
  <c r="K9" i="5"/>
  <c r="J28" i="5"/>
  <c r="J18" i="5"/>
  <c r="J12" i="5"/>
  <c r="J7" i="5"/>
  <c r="I28" i="5"/>
  <c r="I21" i="5"/>
  <c r="I13" i="5"/>
  <c r="I7" i="5"/>
  <c r="H22" i="5"/>
  <c r="H14" i="5"/>
  <c r="H8" i="5"/>
  <c r="G26" i="5"/>
  <c r="G17" i="5"/>
  <c r="G10" i="5"/>
  <c r="F25" i="5"/>
  <c r="F18" i="5"/>
  <c r="F10" i="5"/>
  <c r="E28" i="5"/>
  <c r="E21" i="5"/>
  <c r="E10" i="5"/>
  <c r="D26" i="5"/>
  <c r="D18" i="5"/>
  <c r="D13" i="5"/>
  <c r="D6" i="5"/>
  <c r="C22" i="5"/>
  <c r="C16" i="5"/>
  <c r="C9" i="5"/>
  <c r="S28" i="5"/>
  <c r="S26" i="5"/>
  <c r="S25" i="5"/>
  <c r="S24" i="5"/>
  <c r="S22" i="5"/>
  <c r="S21" i="5"/>
  <c r="S20" i="5"/>
  <c r="S18" i="5"/>
  <c r="S17" i="5"/>
  <c r="S16" i="5"/>
  <c r="S14" i="5"/>
  <c r="S13" i="5"/>
  <c r="S12" i="5"/>
  <c r="S10" i="5"/>
  <c r="S9" i="5"/>
  <c r="S8" i="5"/>
  <c r="S7" i="5"/>
  <c r="S6" i="5"/>
  <c r="Q22" i="5"/>
  <c r="Q20" i="5"/>
  <c r="Q12" i="5"/>
  <c r="Q6" i="5"/>
  <c r="P26" i="5"/>
  <c r="P18" i="5"/>
  <c r="P10" i="5"/>
  <c r="O26" i="5"/>
  <c r="O20" i="5"/>
  <c r="O12" i="5"/>
  <c r="N28" i="5"/>
  <c r="N20" i="5"/>
  <c r="N13" i="5"/>
  <c r="N6" i="5"/>
  <c r="M22" i="5"/>
  <c r="M16" i="5"/>
  <c r="M6" i="5"/>
  <c r="L24" i="5"/>
  <c r="L14" i="5"/>
  <c r="L7" i="5"/>
  <c r="K25" i="5"/>
  <c r="K21" i="5"/>
  <c r="K14" i="5"/>
  <c r="K8" i="5"/>
  <c r="J25" i="5"/>
  <c r="J20" i="5"/>
  <c r="J14" i="5"/>
  <c r="J6" i="5"/>
  <c r="I25" i="5"/>
  <c r="I17" i="5"/>
  <c r="I10" i="5"/>
  <c r="H25" i="5"/>
  <c r="H20" i="5"/>
  <c r="H13" i="5"/>
  <c r="H7" i="5"/>
  <c r="G25" i="5"/>
  <c r="G20" i="5"/>
  <c r="G13" i="5"/>
  <c r="G7" i="5"/>
  <c r="F28" i="5"/>
  <c r="F21" i="5"/>
  <c r="F14" i="5"/>
  <c r="F7" i="5"/>
  <c r="E24" i="5"/>
  <c r="E17" i="5"/>
  <c r="E12" i="5"/>
  <c r="E6" i="5"/>
  <c r="D22" i="5"/>
  <c r="D16" i="5"/>
  <c r="D8" i="5"/>
  <c r="C24" i="5"/>
  <c r="C17" i="5"/>
  <c r="C10" i="5"/>
  <c r="C7" i="5"/>
  <c r="R28" i="5"/>
  <c r="R26" i="5"/>
  <c r="R25" i="5"/>
  <c r="R24" i="5"/>
  <c r="R22" i="5"/>
  <c r="R21" i="5"/>
  <c r="R20" i="5"/>
  <c r="R18" i="5"/>
  <c r="R17" i="5"/>
  <c r="R16" i="5"/>
  <c r="R14" i="5"/>
  <c r="R13" i="5"/>
  <c r="R12" i="5"/>
  <c r="R10" i="5"/>
  <c r="R9" i="5"/>
  <c r="R8" i="5"/>
  <c r="R7" i="5"/>
  <c r="R6" i="5"/>
  <c r="Q28" i="5"/>
  <c r="Q17" i="5"/>
  <c r="Q9" i="5"/>
  <c r="P24" i="5"/>
  <c r="P16" i="5"/>
  <c r="P9" i="5"/>
  <c r="P6" i="5"/>
  <c r="O22" i="5"/>
  <c r="O21" i="5"/>
  <c r="O16" i="5"/>
  <c r="O10" i="5"/>
  <c r="O7" i="5"/>
  <c r="N24" i="5"/>
  <c r="N18" i="5"/>
  <c r="N10" i="5"/>
  <c r="M28" i="5"/>
  <c r="M21" i="5"/>
  <c r="M10" i="5"/>
  <c r="L26" i="5"/>
  <c r="L20" i="5"/>
  <c r="L12" i="5"/>
  <c r="K26" i="5"/>
  <c r="K18" i="5"/>
  <c r="K12" i="5"/>
  <c r="K6" i="5"/>
  <c r="J22" i="5"/>
  <c r="J16" i="5"/>
  <c r="J8" i="5"/>
  <c r="I24" i="5"/>
  <c r="I16" i="5"/>
  <c r="I9" i="5"/>
  <c r="H24" i="5"/>
  <c r="H16" i="5"/>
  <c r="H10" i="5"/>
  <c r="H6" i="5"/>
  <c r="G22" i="5"/>
  <c r="G18" i="5"/>
  <c r="G14" i="5"/>
  <c r="G8" i="5"/>
  <c r="F26" i="5"/>
  <c r="F20" i="5"/>
  <c r="F13" i="5"/>
  <c r="F6" i="5"/>
  <c r="E22" i="5"/>
  <c r="E16" i="5"/>
  <c r="E9" i="5"/>
  <c r="D28" i="5"/>
  <c r="D20" i="5"/>
  <c r="D10" i="5"/>
  <c r="C26" i="5"/>
  <c r="C20" i="5"/>
  <c r="C12" i="5"/>
  <c r="H28" i="5"/>
  <c r="V24" i="4"/>
  <c r="V23" i="4"/>
  <c r="V22" i="4"/>
  <c r="V19" i="4"/>
  <c r="V18" i="4"/>
  <c r="V17" i="4"/>
  <c r="V16" i="4"/>
  <c r="V15" i="4"/>
  <c r="V14" i="4"/>
  <c r="V13" i="4"/>
  <c r="V10" i="4"/>
  <c r="V9" i="4"/>
  <c r="V8" i="4"/>
  <c r="V7" i="4"/>
  <c r="S22" i="4"/>
  <c r="S16" i="4"/>
  <c r="S15" i="4"/>
  <c r="S10" i="4"/>
  <c r="S8" i="4"/>
  <c r="R24" i="4"/>
  <c r="R22" i="4"/>
  <c r="R16" i="4"/>
  <c r="R10" i="4"/>
  <c r="Q24" i="4"/>
  <c r="Q17" i="4"/>
  <c r="Q15" i="4"/>
  <c r="P24" i="4"/>
  <c r="P18" i="4"/>
  <c r="P14" i="4"/>
  <c r="P9" i="4"/>
  <c r="O22" i="4"/>
  <c r="O18" i="4"/>
  <c r="O15" i="4"/>
  <c r="O8" i="4"/>
  <c r="N16" i="4"/>
  <c r="N9" i="4"/>
  <c r="M22" i="4"/>
  <c r="M16" i="4"/>
  <c r="M13" i="4"/>
  <c r="M7" i="4"/>
  <c r="L19" i="4"/>
  <c r="L17" i="4"/>
  <c r="L10" i="4"/>
  <c r="L7" i="4"/>
  <c r="K22" i="4"/>
  <c r="K14" i="4"/>
  <c r="K7" i="4"/>
  <c r="J22" i="4"/>
  <c r="J16" i="4"/>
  <c r="J10" i="4"/>
  <c r="J7" i="4"/>
  <c r="I19" i="4"/>
  <c r="I15" i="4"/>
  <c r="I9" i="4"/>
  <c r="H24" i="4"/>
  <c r="H16" i="4"/>
  <c r="H10" i="4"/>
  <c r="G24" i="4"/>
  <c r="G18" i="4"/>
  <c r="G13" i="4"/>
  <c r="G7" i="4"/>
  <c r="F23" i="4"/>
  <c r="F17" i="4"/>
  <c r="F14" i="4"/>
  <c r="F9" i="4"/>
  <c r="E22" i="4"/>
  <c r="E15" i="4"/>
  <c r="E7" i="4"/>
  <c r="D19" i="4"/>
  <c r="D14" i="4"/>
  <c r="D7" i="4"/>
  <c r="C22" i="4"/>
  <c r="C16" i="4"/>
  <c r="C10" i="4"/>
  <c r="C8" i="4"/>
  <c r="U24" i="4"/>
  <c r="U23" i="4"/>
  <c r="U22" i="4"/>
  <c r="U19" i="4"/>
  <c r="U18" i="4"/>
  <c r="U17" i="4"/>
  <c r="U16" i="4"/>
  <c r="U15" i="4"/>
  <c r="U14" i="4"/>
  <c r="U13" i="4"/>
  <c r="U10" i="4"/>
  <c r="U9" i="4"/>
  <c r="U8" i="4"/>
  <c r="U7" i="4"/>
  <c r="S23" i="4"/>
  <c r="S17" i="4"/>
  <c r="S13" i="4"/>
  <c r="S7" i="4"/>
  <c r="R19" i="4"/>
  <c r="R15" i="4"/>
  <c r="R9" i="4"/>
  <c r="R7" i="4"/>
  <c r="Q19" i="4"/>
  <c r="Q14" i="4"/>
  <c r="Q9" i="4"/>
  <c r="Q7" i="4"/>
  <c r="P22" i="4"/>
  <c r="P16" i="4"/>
  <c r="P13" i="4"/>
  <c r="O23" i="4"/>
  <c r="O19" i="4"/>
  <c r="O14" i="4"/>
  <c r="O13" i="4"/>
  <c r="O7" i="4"/>
  <c r="N22" i="4"/>
  <c r="N17" i="4"/>
  <c r="N13" i="4"/>
  <c r="N7" i="4"/>
  <c r="M18" i="4"/>
  <c r="M15" i="4"/>
  <c r="M10" i="4"/>
  <c r="L24" i="4"/>
  <c r="L18" i="4"/>
  <c r="L15" i="4"/>
  <c r="L13" i="4"/>
  <c r="K24" i="4"/>
  <c r="K19" i="4"/>
  <c r="K15" i="4"/>
  <c r="K9" i="4"/>
  <c r="J23" i="4"/>
  <c r="J19" i="4"/>
  <c r="J15" i="4"/>
  <c r="J9" i="4"/>
  <c r="I23" i="4"/>
  <c r="I16" i="4"/>
  <c r="I10" i="4"/>
  <c r="H23" i="4"/>
  <c r="H17" i="4"/>
  <c r="H14" i="4"/>
  <c r="H9" i="4"/>
  <c r="G23" i="4"/>
  <c r="G15" i="4"/>
  <c r="G8" i="4"/>
  <c r="F19" i="4"/>
  <c r="F13" i="4"/>
  <c r="F8" i="4"/>
  <c r="E23" i="4"/>
  <c r="E17" i="4"/>
  <c r="E13" i="4"/>
  <c r="E9" i="4"/>
  <c r="D23" i="4"/>
  <c r="D16" i="4"/>
  <c r="D10" i="4"/>
  <c r="D8" i="4"/>
  <c r="C19" i="4"/>
  <c r="C15" i="4"/>
  <c r="T24" i="4"/>
  <c r="T23" i="4"/>
  <c r="T22" i="4"/>
  <c r="T19" i="4"/>
  <c r="T18" i="4"/>
  <c r="T17" i="4"/>
  <c r="T16" i="4"/>
  <c r="T15" i="4"/>
  <c r="T14" i="4"/>
  <c r="T13" i="4"/>
  <c r="T10" i="4"/>
  <c r="T9" i="4"/>
  <c r="T8" i="4"/>
  <c r="T7" i="4"/>
  <c r="S24" i="4"/>
  <c r="S18" i="4"/>
  <c r="S14" i="4"/>
  <c r="S9" i="4"/>
  <c r="R23" i="4"/>
  <c r="R17" i="4"/>
  <c r="R14" i="4"/>
  <c r="R8" i="4"/>
  <c r="Q23" i="4"/>
  <c r="Q18" i="4"/>
  <c r="Q13" i="4"/>
  <c r="P23" i="4"/>
  <c r="P17" i="4"/>
  <c r="P10" i="4"/>
  <c r="P7" i="4"/>
  <c r="O17" i="4"/>
  <c r="O10" i="4"/>
  <c r="N23" i="4"/>
  <c r="N18" i="4"/>
  <c r="N14" i="4"/>
  <c r="N8" i="4"/>
  <c r="M23" i="4"/>
  <c r="M9" i="4"/>
  <c r="L23" i="4"/>
  <c r="L16" i="4"/>
  <c r="L8" i="4"/>
  <c r="K18" i="4"/>
  <c r="K17" i="4"/>
  <c r="K10" i="4"/>
  <c r="J24" i="4"/>
  <c r="J18" i="4"/>
  <c r="J13" i="4"/>
  <c r="I24" i="4"/>
  <c r="I18" i="4"/>
  <c r="I14" i="4"/>
  <c r="I8" i="4"/>
  <c r="H22" i="4"/>
  <c r="H18" i="4"/>
  <c r="H13" i="4"/>
  <c r="H8" i="4"/>
  <c r="G19" i="4"/>
  <c r="G16" i="4"/>
  <c r="G10" i="4"/>
  <c r="G9" i="4"/>
  <c r="F22" i="4"/>
  <c r="F15" i="4"/>
  <c r="F7" i="4"/>
  <c r="E19" i="4"/>
  <c r="E14" i="4"/>
  <c r="D22" i="4"/>
  <c r="D17" i="4"/>
  <c r="D13" i="4"/>
  <c r="C24" i="4"/>
  <c r="C18" i="4"/>
  <c r="C14" i="4"/>
  <c r="C9" i="4"/>
  <c r="S19" i="4"/>
  <c r="R18" i="4"/>
  <c r="R13" i="4"/>
  <c r="Q22" i="4"/>
  <c r="Q16" i="4"/>
  <c r="Q10" i="4"/>
  <c r="Q8" i="4"/>
  <c r="P19" i="4"/>
  <c r="P15" i="4"/>
  <c r="P8" i="4"/>
  <c r="O24" i="4"/>
  <c r="O16" i="4"/>
  <c r="O9" i="4"/>
  <c r="N24" i="4"/>
  <c r="N19" i="4"/>
  <c r="N15" i="4"/>
  <c r="N10" i="4"/>
  <c r="M24" i="4"/>
  <c r="M19" i="4"/>
  <c r="M17" i="4"/>
  <c r="M14" i="4"/>
  <c r="M8" i="4"/>
  <c r="L22" i="4"/>
  <c r="L14" i="4"/>
  <c r="L9" i="4"/>
  <c r="K23" i="4"/>
  <c r="K16" i="4"/>
  <c r="K13" i="4"/>
  <c r="K8" i="4"/>
  <c r="J17" i="4"/>
  <c r="J14" i="4"/>
  <c r="J8" i="4"/>
  <c r="I22" i="4"/>
  <c r="I17" i="4"/>
  <c r="I13" i="4"/>
  <c r="I7" i="4"/>
  <c r="H19" i="4"/>
  <c r="H15" i="4"/>
  <c r="H7" i="4"/>
  <c r="G22" i="4"/>
  <c r="G17" i="4"/>
  <c r="G14" i="4"/>
  <c r="F24" i="4"/>
  <c r="F18" i="4"/>
  <c r="F16" i="4"/>
  <c r="F10" i="4"/>
  <c r="E24" i="4"/>
  <c r="E18" i="4"/>
  <c r="E16" i="4"/>
  <c r="E10" i="4"/>
  <c r="E8" i="4"/>
  <c r="D24" i="4"/>
  <c r="D18" i="4"/>
  <c r="D15" i="4"/>
  <c r="D9" i="4"/>
  <c r="C23" i="4"/>
  <c r="C17" i="4"/>
  <c r="C13" i="4"/>
  <c r="C7" i="4"/>
  <c r="V26" i="3"/>
  <c r="V25" i="3"/>
  <c r="V24" i="3"/>
  <c r="V22" i="3"/>
  <c r="V21" i="3"/>
  <c r="V20" i="3"/>
  <c r="V18" i="3"/>
  <c r="V17" i="3"/>
  <c r="V16" i="3"/>
  <c r="V14" i="3"/>
  <c r="V13" i="3"/>
  <c r="V12" i="3"/>
  <c r="V10" i="3"/>
  <c r="V9" i="3"/>
  <c r="V8" i="3"/>
  <c r="V7" i="3"/>
  <c r="V6" i="3"/>
  <c r="U22" i="3"/>
  <c r="U18" i="3"/>
  <c r="U14" i="3"/>
  <c r="U12" i="3"/>
  <c r="U9" i="3"/>
  <c r="U7" i="3"/>
  <c r="U6" i="3"/>
  <c r="S16" i="3"/>
  <c r="S10" i="3"/>
  <c r="S7" i="3"/>
  <c r="R25" i="3"/>
  <c r="R21" i="3"/>
  <c r="R17" i="3"/>
  <c r="R12" i="3"/>
  <c r="R7" i="3"/>
  <c r="Q26" i="3"/>
  <c r="Q22" i="3"/>
  <c r="Q18" i="3"/>
  <c r="Q13" i="3"/>
  <c r="Q9" i="3"/>
  <c r="Q7" i="3"/>
  <c r="P26" i="3"/>
  <c r="P21" i="3"/>
  <c r="P18" i="3"/>
  <c r="P14" i="3"/>
  <c r="P12" i="3"/>
  <c r="P9" i="3"/>
  <c r="O25" i="3"/>
  <c r="O22" i="3"/>
  <c r="O18" i="3"/>
  <c r="O14" i="3"/>
  <c r="O12" i="3"/>
  <c r="O8" i="3"/>
  <c r="N26" i="3"/>
  <c r="N21" i="3"/>
  <c r="N17" i="3"/>
  <c r="N13" i="3"/>
  <c r="N8" i="3"/>
  <c r="M26" i="3"/>
  <c r="M22" i="3"/>
  <c r="M18" i="3"/>
  <c r="M13" i="3"/>
  <c r="M9" i="3"/>
  <c r="M6" i="3"/>
  <c r="L24" i="3"/>
  <c r="L18" i="3"/>
  <c r="L14" i="3"/>
  <c r="L9" i="3"/>
  <c r="L6" i="3"/>
  <c r="K26" i="3"/>
  <c r="K20" i="3"/>
  <c r="K14" i="3"/>
  <c r="K9" i="3"/>
  <c r="J26" i="3"/>
  <c r="J21" i="3"/>
  <c r="J16" i="3"/>
  <c r="J10" i="3"/>
  <c r="J6" i="3"/>
  <c r="I22" i="3"/>
  <c r="I17" i="3"/>
  <c r="I16" i="3"/>
  <c r="I10" i="3"/>
  <c r="I8" i="3"/>
  <c r="H26" i="3"/>
  <c r="H20" i="3"/>
  <c r="H14" i="3"/>
  <c r="H9" i="3"/>
  <c r="G24" i="3"/>
  <c r="G21" i="3"/>
  <c r="G14" i="3"/>
  <c r="G9" i="3"/>
  <c r="F25" i="3"/>
  <c r="F20" i="3"/>
  <c r="F14" i="3"/>
  <c r="F9" i="3"/>
  <c r="E26" i="3"/>
  <c r="E21" i="3"/>
  <c r="E12" i="3"/>
  <c r="E7" i="3"/>
  <c r="D24" i="3"/>
  <c r="D20" i="3"/>
  <c r="D14" i="3"/>
  <c r="D8" i="3"/>
  <c r="C25" i="3"/>
  <c r="C20" i="3"/>
  <c r="C16" i="3"/>
  <c r="C10" i="3"/>
  <c r="C6" i="3"/>
  <c r="U26" i="3"/>
  <c r="U25" i="3"/>
  <c r="U24" i="3"/>
  <c r="U21" i="3"/>
  <c r="U20" i="3"/>
  <c r="U17" i="3"/>
  <c r="U16" i="3"/>
  <c r="U13" i="3"/>
  <c r="U10" i="3"/>
  <c r="U8" i="3"/>
  <c r="S17" i="3"/>
  <c r="S12" i="3"/>
  <c r="S8" i="3"/>
  <c r="R26" i="3"/>
  <c r="R22" i="3"/>
  <c r="R18" i="3"/>
  <c r="R13" i="3"/>
  <c r="R9" i="3"/>
  <c r="Q25" i="3"/>
  <c r="Q21" i="3"/>
  <c r="Q17" i="3"/>
  <c r="Q14" i="3"/>
  <c r="Q10" i="3"/>
  <c r="Q6" i="3"/>
  <c r="P24" i="3"/>
  <c r="P20" i="3"/>
  <c r="P17" i="3"/>
  <c r="P13" i="3"/>
  <c r="P8" i="3"/>
  <c r="P6" i="3"/>
  <c r="O24" i="3"/>
  <c r="O20" i="3"/>
  <c r="O16" i="3"/>
  <c r="O10" i="3"/>
  <c r="O6" i="3"/>
  <c r="N24" i="3"/>
  <c r="N22" i="3"/>
  <c r="N18" i="3"/>
  <c r="N14" i="3"/>
  <c r="N10" i="3"/>
  <c r="N7" i="3"/>
  <c r="M25" i="3"/>
  <c r="M21" i="3"/>
  <c r="M20" i="3"/>
  <c r="M16" i="3"/>
  <c r="M14" i="3"/>
  <c r="M10" i="3"/>
  <c r="L25" i="3"/>
  <c r="L21" i="3"/>
  <c r="L17" i="3"/>
  <c r="L10" i="3"/>
  <c r="K25" i="3"/>
  <c r="K21" i="3"/>
  <c r="K16" i="3"/>
  <c r="K10" i="3"/>
  <c r="K7" i="3"/>
  <c r="J22" i="3"/>
  <c r="J17" i="3"/>
  <c r="J12" i="3"/>
  <c r="J7" i="3"/>
  <c r="I24" i="3"/>
  <c r="I18" i="3"/>
  <c r="I12" i="3"/>
  <c r="I7" i="3"/>
  <c r="H24" i="3"/>
  <c r="H18" i="3"/>
  <c r="H12" i="3"/>
  <c r="H7" i="3"/>
  <c r="G25" i="3"/>
  <c r="G17" i="3"/>
  <c r="G12" i="3"/>
  <c r="G7" i="3"/>
  <c r="F24" i="3"/>
  <c r="F18" i="3"/>
  <c r="F12" i="3"/>
  <c r="F7" i="3"/>
  <c r="E24" i="3"/>
  <c r="E18" i="3"/>
  <c r="E14" i="3"/>
  <c r="E9" i="3"/>
  <c r="D26" i="3"/>
  <c r="D18" i="3"/>
  <c r="D12" i="3"/>
  <c r="D7" i="3"/>
  <c r="C24" i="3"/>
  <c r="C18" i="3"/>
  <c r="C14" i="3"/>
  <c r="C7" i="3"/>
  <c r="T26" i="3"/>
  <c r="T25" i="3"/>
  <c r="T24" i="3"/>
  <c r="T22" i="3"/>
  <c r="T21" i="3"/>
  <c r="T20" i="3"/>
  <c r="T18" i="3"/>
  <c r="T17" i="3"/>
  <c r="T16" i="3"/>
  <c r="T14" i="3"/>
  <c r="T13" i="3"/>
  <c r="T12" i="3"/>
  <c r="T10" i="3"/>
  <c r="T9" i="3"/>
  <c r="T8" i="3"/>
  <c r="T7" i="3"/>
  <c r="T6" i="3"/>
  <c r="S26" i="3"/>
  <c r="S25" i="3"/>
  <c r="S24" i="3"/>
  <c r="S22" i="3"/>
  <c r="S21" i="3"/>
  <c r="S20" i="3"/>
  <c r="S18" i="3"/>
  <c r="S14" i="3"/>
  <c r="S13" i="3"/>
  <c r="S9" i="3"/>
  <c r="S6" i="3"/>
  <c r="R24" i="3"/>
  <c r="R20" i="3"/>
  <c r="R16" i="3"/>
  <c r="R14" i="3"/>
  <c r="R10" i="3"/>
  <c r="R8" i="3"/>
  <c r="R6" i="3"/>
  <c r="Q24" i="3"/>
  <c r="Q20" i="3"/>
  <c r="Q16" i="3"/>
  <c r="Q12" i="3"/>
  <c r="Q8" i="3"/>
  <c r="P25" i="3"/>
  <c r="P22" i="3"/>
  <c r="P16" i="3"/>
  <c r="P10" i="3"/>
  <c r="P7" i="3"/>
  <c r="O26" i="3"/>
  <c r="O21" i="3"/>
  <c r="O17" i="3"/>
  <c r="O13" i="3"/>
  <c r="O9" i="3"/>
  <c r="O7" i="3"/>
  <c r="N25" i="3"/>
  <c r="N20" i="3"/>
  <c r="N16" i="3"/>
  <c r="N12" i="3"/>
  <c r="N9" i="3"/>
  <c r="N6" i="3"/>
  <c r="M24" i="3"/>
  <c r="M17" i="3"/>
  <c r="M12" i="3"/>
  <c r="M7" i="3"/>
  <c r="L26" i="3"/>
  <c r="L22" i="3"/>
  <c r="L20" i="3"/>
  <c r="L16" i="3"/>
  <c r="L12" i="3"/>
  <c r="L8" i="3"/>
  <c r="K24" i="3"/>
  <c r="K18" i="3"/>
  <c r="K13" i="3"/>
  <c r="K8" i="3"/>
  <c r="J25" i="3"/>
  <c r="J20" i="3"/>
  <c r="J14" i="3"/>
  <c r="J9" i="3"/>
  <c r="I26" i="3"/>
  <c r="I21" i="3"/>
  <c r="I14" i="3"/>
  <c r="I9" i="3"/>
  <c r="H25" i="3"/>
  <c r="H17" i="3"/>
  <c r="H13" i="3"/>
  <c r="H8" i="3"/>
  <c r="G26" i="3"/>
  <c r="G18" i="3"/>
  <c r="G13" i="3"/>
  <c r="G8" i="3"/>
  <c r="F26" i="3"/>
  <c r="F21" i="3"/>
  <c r="F16" i="3"/>
  <c r="F10" i="3"/>
  <c r="F6" i="3"/>
  <c r="E22" i="3"/>
  <c r="E20" i="3"/>
  <c r="E16" i="3"/>
  <c r="E10" i="3"/>
  <c r="E6" i="3"/>
  <c r="D22" i="3"/>
  <c r="D17" i="3"/>
  <c r="D13" i="3"/>
  <c r="D9" i="3"/>
  <c r="C26" i="3"/>
  <c r="C21" i="3"/>
  <c r="C13" i="3"/>
  <c r="C9" i="3"/>
  <c r="M8" i="3"/>
  <c r="L13" i="3"/>
  <c r="L7" i="3"/>
  <c r="K22" i="3"/>
  <c r="K17" i="3"/>
  <c r="K12" i="3"/>
  <c r="K6" i="3"/>
  <c r="J24" i="3"/>
  <c r="J18" i="3"/>
  <c r="J13" i="3"/>
  <c r="J8" i="3"/>
  <c r="I25" i="3"/>
  <c r="I20" i="3"/>
  <c r="I13" i="3"/>
  <c r="I6" i="3"/>
  <c r="H22" i="3"/>
  <c r="H21" i="3"/>
  <c r="H16" i="3"/>
  <c r="H10" i="3"/>
  <c r="H6" i="3"/>
  <c r="G22" i="3"/>
  <c r="G20" i="3"/>
  <c r="G16" i="3"/>
  <c r="G10" i="3"/>
  <c r="G6" i="3"/>
  <c r="F22" i="3"/>
  <c r="F17" i="3"/>
  <c r="F13" i="3"/>
  <c r="F8" i="3"/>
  <c r="E25" i="3"/>
  <c r="E17" i="3"/>
  <c r="E13" i="3"/>
  <c r="E8" i="3"/>
  <c r="D25" i="3"/>
  <c r="D21" i="3"/>
  <c r="D16" i="3"/>
  <c r="D10" i="3"/>
  <c r="D6" i="3"/>
  <c r="C22" i="3"/>
  <c r="C17" i="3"/>
  <c r="C12" i="3"/>
  <c r="C8" i="3"/>
  <c r="C8" i="2"/>
  <c r="C18" i="2"/>
  <c r="D8" i="2"/>
  <c r="C20" i="2"/>
  <c r="C13" i="2"/>
  <c r="O19" i="2"/>
  <c r="D23" i="2"/>
  <c r="E7" i="2"/>
  <c r="F8" i="2"/>
  <c r="E13" i="2"/>
  <c r="E17" i="2"/>
  <c r="F10" i="2"/>
  <c r="E23" i="2"/>
  <c r="J24" i="2"/>
  <c r="F17" i="2"/>
  <c r="F18" i="2"/>
  <c r="K25" i="2"/>
  <c r="G13" i="2"/>
  <c r="G18" i="2"/>
  <c r="M25" i="2"/>
  <c r="I13" i="2"/>
  <c r="H17" i="2"/>
  <c r="G23" i="2"/>
  <c r="D17" i="2"/>
  <c r="K9" i="2"/>
  <c r="I18" i="2"/>
  <c r="I20" i="2"/>
  <c r="H25" i="2"/>
  <c r="J7" i="2"/>
  <c r="J18" i="2"/>
  <c r="J13" i="2"/>
  <c r="F25" i="2"/>
  <c r="L13" i="2"/>
  <c r="K17" i="2"/>
  <c r="H13" i="2"/>
  <c r="H8" i="2"/>
  <c r="L7" i="2"/>
  <c r="L18" i="2"/>
  <c r="O13" i="2"/>
  <c r="M10" i="2"/>
  <c r="N8" i="2"/>
  <c r="I10" i="2"/>
  <c r="N18" i="2"/>
  <c r="N20" i="2"/>
  <c r="O20" i="2"/>
  <c r="N23" i="2"/>
  <c r="O7" i="2"/>
  <c r="N24" i="2"/>
  <c r="N25" i="2"/>
  <c r="O8" i="2"/>
  <c r="L24" i="2"/>
  <c r="P15" i="2"/>
  <c r="O10" i="2"/>
  <c r="O9" i="2"/>
  <c r="O18" i="2"/>
  <c r="M17" i="2"/>
  <c r="O17" i="2"/>
  <c r="O23" i="2"/>
  <c r="O16" i="2"/>
  <c r="O24" i="2"/>
  <c r="N14" i="2"/>
  <c r="O15" i="2"/>
  <c r="O25" i="2"/>
  <c r="P7" i="2"/>
  <c r="P8" i="2"/>
  <c r="P10" i="2"/>
  <c r="P9" i="2"/>
  <c r="P14" i="2"/>
  <c r="P13" i="2"/>
  <c r="O14" i="2"/>
  <c r="P19" i="2"/>
  <c r="P16" i="2"/>
  <c r="P18" i="2"/>
  <c r="F15" i="2"/>
  <c r="P25" i="2"/>
  <c r="P23" i="2"/>
  <c r="P20" i="2"/>
  <c r="P24" i="2"/>
  <c r="C17" i="2"/>
  <c r="D9" i="2"/>
  <c r="C10" i="2"/>
  <c r="E8" i="2"/>
  <c r="C24" i="2"/>
  <c r="F9" i="2"/>
  <c r="P17" i="2"/>
  <c r="D14" i="2"/>
  <c r="E16" i="2"/>
  <c r="D19" i="2"/>
  <c r="L14" i="2"/>
  <c r="G15" i="2"/>
  <c r="E20" i="2"/>
  <c r="H9" i="2"/>
  <c r="G20" i="2"/>
  <c r="G7" i="2"/>
  <c r="H15" i="2"/>
  <c r="H23" i="2"/>
  <c r="K19" i="2"/>
  <c r="J10" i="2"/>
  <c r="J17" i="2"/>
  <c r="I8" i="2"/>
  <c r="I16" i="2"/>
  <c r="J25" i="2"/>
  <c r="Q20" i="2"/>
  <c r="D25" i="2"/>
  <c r="K15" i="2"/>
  <c r="M8" i="2"/>
  <c r="L8" i="2"/>
  <c r="F23" i="2"/>
  <c r="L20" i="2"/>
  <c r="M24" i="2"/>
  <c r="M15" i="2"/>
  <c r="N13" i="2"/>
  <c r="J20" i="2"/>
  <c r="C15" i="2"/>
  <c r="Q16" i="2"/>
  <c r="Q10" i="2"/>
  <c r="D18" i="2"/>
  <c r="S24" i="2"/>
  <c r="N19" i="2"/>
  <c r="C7" i="2"/>
  <c r="I25" i="2"/>
  <c r="S23" i="2"/>
  <c r="K13" i="2"/>
  <c r="K14" i="2"/>
  <c r="S25" i="2"/>
  <c r="C25" i="2"/>
  <c r="S15" i="2"/>
  <c r="R13" i="2"/>
  <c r="S7" i="2"/>
  <c r="S18" i="2"/>
  <c r="R7" i="2"/>
  <c r="E19" i="2"/>
  <c r="R17" i="2"/>
  <c r="F19" i="2"/>
  <c r="F7" i="2"/>
  <c r="F13" i="2"/>
  <c r="R20" i="2"/>
  <c r="G25" i="2"/>
  <c r="G9" i="2"/>
  <c r="G17" i="2"/>
  <c r="H14" i="2"/>
  <c r="I9" i="2"/>
  <c r="E14" i="2"/>
  <c r="H19" i="2"/>
  <c r="K7" i="2"/>
  <c r="J14" i="2"/>
  <c r="I17" i="2"/>
  <c r="I24" i="2"/>
  <c r="M19" i="2"/>
  <c r="L17" i="2"/>
  <c r="L25" i="2"/>
  <c r="D13" i="2"/>
  <c r="K24" i="2"/>
  <c r="M13" i="2"/>
  <c r="Q13" i="2"/>
  <c r="N7" i="2"/>
  <c r="Q7" i="2"/>
  <c r="Q18" i="2"/>
  <c r="N15" i="2"/>
  <c r="R9" i="2"/>
  <c r="Q23" i="2"/>
  <c r="R19" i="2"/>
  <c r="R15" i="2"/>
  <c r="R23" i="2"/>
  <c r="D10" i="2"/>
  <c r="S13" i="2"/>
  <c r="S20" i="2"/>
  <c r="D15" i="2"/>
  <c r="S10" i="2"/>
  <c r="T13" i="2"/>
  <c r="T14" i="2"/>
  <c r="D20" i="2"/>
  <c r="T20" i="2"/>
  <c r="F14" i="2"/>
  <c r="T15" i="2"/>
  <c r="T7" i="2"/>
  <c r="I19" i="2"/>
  <c r="T24" i="2"/>
  <c r="T23" i="2"/>
  <c r="C9" i="2"/>
  <c r="T10" i="2"/>
  <c r="C23" i="2"/>
  <c r="J15" i="2"/>
  <c r="T8" i="2"/>
  <c r="T9" i="2"/>
  <c r="T17" i="2"/>
  <c r="E15" i="2"/>
  <c r="T18" i="2"/>
  <c r="J8" i="2"/>
  <c r="C16" i="2"/>
  <c r="T16" i="2"/>
  <c r="E24" i="2"/>
  <c r="K8" i="2"/>
  <c r="F24" i="2"/>
  <c r="T25" i="2"/>
  <c r="T19" i="2"/>
  <c r="H20" i="2"/>
  <c r="H7" i="2"/>
  <c r="E9" i="2"/>
  <c r="G19" i="2"/>
  <c r="M7" i="2"/>
  <c r="J19" i="2"/>
  <c r="H16" i="2"/>
  <c r="G14" i="2"/>
  <c r="G8" i="2"/>
  <c r="L19" i="2"/>
  <c r="I7" i="2"/>
  <c r="K20" i="2"/>
  <c r="I15" i="2"/>
  <c r="M14" i="2"/>
  <c r="L15" i="2"/>
  <c r="L9" i="2"/>
  <c r="Q8" i="2"/>
  <c r="Q14" i="2"/>
  <c r="N10" i="2"/>
  <c r="M23" i="2"/>
  <c r="U16" i="2"/>
  <c r="K18" i="2"/>
  <c r="C14" i="2"/>
  <c r="R24" i="2"/>
  <c r="Q17" i="2"/>
  <c r="N16" i="2"/>
  <c r="R14" i="2"/>
  <c r="U17" i="2"/>
  <c r="R8" i="2"/>
  <c r="H18" i="2"/>
  <c r="Q24" i="2"/>
  <c r="U15" i="2"/>
  <c r="R18" i="2"/>
  <c r="U13" i="2"/>
  <c r="C19" i="2"/>
  <c r="U9" i="2"/>
  <c r="U19" i="2"/>
  <c r="S19" i="2"/>
  <c r="S16" i="2"/>
  <c r="U14" i="2"/>
  <c r="S8" i="2"/>
  <c r="U25" i="2"/>
  <c r="U18" i="2"/>
  <c r="U7" i="2"/>
  <c r="U24" i="2"/>
  <c r="U20" i="2"/>
  <c r="U8" i="2"/>
  <c r="U10" i="2"/>
  <c r="D24" i="2"/>
  <c r="E25" i="2"/>
  <c r="V10" i="2"/>
  <c r="U23" i="2"/>
  <c r="E10" i="2"/>
  <c r="I14" i="2"/>
  <c r="E18" i="2"/>
  <c r="F20" i="2"/>
  <c r="D7" i="2"/>
  <c r="F16" i="2"/>
  <c r="K16" i="2"/>
  <c r="G16" i="2"/>
  <c r="I23" i="2"/>
  <c r="D16" i="2"/>
  <c r="K10" i="2"/>
  <c r="G10" i="2"/>
  <c r="G24" i="2"/>
  <c r="H24" i="2"/>
  <c r="J16" i="2"/>
  <c r="K23" i="2"/>
  <c r="V9" i="2"/>
  <c r="S17" i="2"/>
  <c r="H10" i="2"/>
  <c r="L23" i="2"/>
  <c r="V17" i="2"/>
  <c r="N17" i="2"/>
  <c r="M16" i="2"/>
  <c r="R25" i="2"/>
  <c r="V14" i="2"/>
  <c r="V18" i="2"/>
  <c r="V23" i="2"/>
  <c r="S14" i="2"/>
  <c r="M18" i="2"/>
  <c r="V25" i="2"/>
  <c r="V16" i="2"/>
  <c r="R10" i="2"/>
  <c r="S9" i="2"/>
  <c r="V24" i="2"/>
  <c r="Q19" i="2"/>
  <c r="N9" i="2"/>
  <c r="J9" i="2"/>
  <c r="L10" i="2"/>
  <c r="Q9" i="2"/>
  <c r="V7" i="2"/>
  <c r="Q25" i="2"/>
  <c r="V13" i="2"/>
  <c r="Q15" i="2"/>
  <c r="V8" i="2"/>
  <c r="M9" i="2"/>
  <c r="J23" i="2"/>
  <c r="V20" i="2"/>
  <c r="L16" i="2"/>
  <c r="M20" i="2"/>
  <c r="R16" i="2"/>
  <c r="V19" i="2"/>
  <c r="V15" i="2"/>
</calcChain>
</file>

<file path=xl/sharedStrings.xml><?xml version="1.0" encoding="utf-8"?>
<sst xmlns="http://schemas.openxmlformats.org/spreadsheetml/2006/main" count="576" uniqueCount="122">
  <si>
    <t>Right click to show data transparency (not supported for all values)</t>
  </si>
  <si>
    <t>FY 2005</t>
  </si>
  <si>
    <t>Tata Consultancy Services Ltd (TCS IN) - Profitability</t>
  </si>
  <si>
    <t>In Millions of INR except Per Share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</si>
  <si>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</si>
  <si>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</si>
  <si>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</si>
  <si>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</si>
  <si>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</si>
  <si>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</si>
  <si>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</si>
  <si>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</si>
  <si>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</si>
  <si>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</si>
  <si>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</si>
  <si>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</si>
  <si>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</si>
  <si>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</si>
  <si>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</si>
  <si>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</si>
  <si>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</si>
  <si>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</si>
  <si>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</si>
  <si>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12 Months Ending</t>
  </si>
  <si>
    <t>03/31/2004</t>
  </si>
  <si>
    <t>03/31/2005</t>
  </si>
  <si>
    <t>03/31/2006</t>
  </si>
  <si>
    <t>03/31/2007</t>
  </si>
  <si>
    <t>03/31/2008</t>
  </si>
  <si>
    <t>03/31/2009</t>
  </si>
  <si>
    <t>03/31/2010</t>
  </si>
  <si>
    <t>03/31/2011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</si>
  <si>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</si>
  <si>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</si>
  <si>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</si>
  <si>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</si>
  <si>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</si>
  <si>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</si>
  <si>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</si>
  <si>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</si>
  <si>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</si>
  <si>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</si>
  <si>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</si>
  <si>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</si>
  <si>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</si>
  <si>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</si>
  <si>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</si>
  <si>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</si>
  <si>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</si>
  <si>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</si>
  <si>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</si>
  <si>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</si>
  <si>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</si>
  <si>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</si>
  <si>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</si>
  <si>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</si>
  <si>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</si>
  <si>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</si>
  <si>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</si>
  <si>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</si>
  <si>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</si>
  <si>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</si>
  <si>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</si>
  <si>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</si>
  <si>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</si>
  <si>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</si>
  <si>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</si>
  <si>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</si>
  <si>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</si>
  <si>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</si>
  <si>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</si>
  <si>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</si>
  <si>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</si>
  <si>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</si>
  <si>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</si>
  <si>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</si>
  <si>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</si>
  <si>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</si>
  <si>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Tata Consultancy Services Ltd (TCS IN) - Liquidity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</si>
  <si>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</si>
  <si>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</si>
  <si>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</si>
  <si>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</si>
  <si>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</si>
  <si>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</si>
  <si>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</si>
  <si>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</si>
  <si>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</si>
  <si>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</si>
  <si>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</si>
  <si>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</si>
  <si>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</si>
  <si>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</si>
  <si>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</si>
  <si>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</si>
  <si>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</si>
  <si>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</si>
  <si>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</si>
  <si>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</si>
  <si>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</si>
  <si>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</si>
  <si>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</si>
  <si>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</si>
  <si>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</si>
  <si>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</si>
  <si>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</si>
  <si>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</si>
  <si>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Line of Credit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</si>
  <si>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</si>
  <si>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</si>
  <si>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</si>
  <si>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</si>
  <si>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</si>
  <si>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Tata Steel Ltd (TATA IN) - Profitability</t>
  </si>
  <si>
    <t>Tata Steel Ltd (TATA IN) - Liquidity</t>
  </si>
  <si>
    <t>Total Commercial Paper Outstanding</t>
  </si>
  <si>
    <t>BS_TOT_COM_PAPER_ISSUED</t>
  </si>
  <si>
    <t>State Bank of India (SBIN IN) - Profitability</t>
  </si>
  <si>
    <t>PRETAX_MARGIN</t>
  </si>
  <si>
    <t>State Bank of India (SBIN IN) - Liquidity</t>
  </si>
  <si>
    <t>HDFC Bank Ltd (HDFCB IN) - Profitability</t>
  </si>
  <si>
    <t>HDFC Bank Ltd (HDFCB IN)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</si>
</sst>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171" fontId="1" fillId="34" borderId="2">
      <alignment horizontal="right"/>
    </xf>
  </cellStyleXfs>
  <cellXfs count="20">
    <xf numFmtId="0" fontId="0" fillId="0" borderId="0" xfId="0"/>
    <xf numFmtId="0" fontId="7" fillId="34" borderId="18" xfId="35" applyNumberFormat="1" applyFont="1" applyFill="1" applyBorder="1" applyAlignment="1" applyProtection="1"/>
    <xf numFmtId="171" fontId="1" fillId="34" borderId="2" xfId="55" applyNumberFormat="1" applyFont="1" applyFill="1" applyBorder="1" applyAlignment="1" applyProtection="1">
      <alignment horizontal="right"/>
    </xf>
    <xf numFmtId="0" fontId="3" fillId="34" borderId="18" xfId="36" applyNumberFormat="1" applyFont="1" applyFill="1" applyBorder="1" applyAlignment="1" applyProtection="1"/>
    <xf numFmtId="0" fontId="6" fillId="33" borderId="17" xfId="30" applyNumberFormat="1" applyFont="1" applyFill="1" applyBorder="1" applyAlignment="1" applyProtection="1">
      <alignment horizontal="right"/>
    </xf>
    <xf numFmtId="0" fontId="6" fillId="33" borderId="16" xfId="32" applyNumberFormat="1" applyFont="1" applyFill="1" applyBorder="1" applyAlignment="1" applyProtection="1">
      <alignment horizontal="right"/>
    </xf>
    <xf numFmtId="0" fontId="6" fillId="33" borderId="16" xfId="33" applyNumberFormat="1" applyFont="1" applyFill="1" applyBorder="1" applyAlignment="1" applyProtection="1">
      <alignment horizontal="left"/>
    </xf>
    <xf numFmtId="0" fontId="2" fillId="33" borderId="0" xfId="26" applyNumberFormat="1" applyFont="1" applyFill="1" applyBorder="1" applyAlignment="1" applyProtection="1"/>
    <xf numFmtId="0" fontId="5" fillId="34" borderId="0" xfId="31" applyFont="1" applyFill="1" applyAlignment="1">
      <alignment horizontal="center"/>
    </xf>
    <xf numFmtId="0" fontId="6" fillId="33" borderId="3" xfId="33" applyNumberFormat="1" applyFont="1" applyFill="1" applyBorder="1" applyAlignment="1" applyProtection="1">
      <alignment horizontal="left"/>
    </xf>
    <xf numFmtId="0" fontId="6" fillId="33" borderId="3" xfId="32" applyNumberFormat="1" applyFont="1" applyFill="1" applyBorder="1" applyAlignment="1" applyProtection="1">
      <alignment horizontal="right"/>
    </xf>
    <xf numFmtId="0" fontId="6" fillId="33" borderId="1" xfId="30" applyNumberFormat="1" applyFont="1" applyFill="1" applyBorder="1" applyAlignment="1" applyProtection="1">
      <alignment horizontal="right"/>
    </xf>
    <xf numFmtId="0" fontId="7" fillId="34" borderId="5" xfId="35" applyNumberFormat="1" applyFont="1" applyFill="1" applyBorder="1" applyAlignment="1" applyProtection="1"/>
    <xf numFmtId="0" fontId="9" fillId="35" borderId="4" xfId="34" applyFont="1" applyFill="1" applyBorder="1"/>
    <xf numFmtId="0" fontId="4" fillId="33" borderId="15" xfId="50" applyFont="1" applyFill="1" applyBorder="1" applyAlignment="1">
      <alignment horizontal="left" vertical="center" readingOrder="1"/>
    </xf>
    <xf numFmtId="0" fontId="6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4" fontId="1" fillId="34" borderId="2" xfId="53" applyNumberFormat="1" applyFont="1" applyFill="1" applyBorder="1" applyAlignment="1" applyProtection="1">
      <alignment horizontal="right"/>
    </xf>
    <xf numFmtId="3" fontId="7" fillId="34" borderId="2" xfId="54" applyNumberFormat="1" applyFont="1" applyFill="1" applyBorder="1" applyAlignment="1" applyProtection="1">
      <alignment horizontal="right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1_grouped" xfId="55" xr:uid="{8016C531-A8C7-4DC9-8308-528083B1534E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BDH|15265266256828470075</stp>
        <tr r="Q8" s="4"/>
      </tp>
      <tp t="s">
        <v>#N/A N/A</v>
        <stp/>
        <stp>BDH|14278349385323123630</stp>
        <tr r="I6" s="5"/>
      </tp>
      <tp t="s">
        <v>#N/A N/A</v>
        <stp/>
        <stp>BDH|16385365588117452084</stp>
        <tr r="T14" s="2"/>
      </tp>
      <tp t="s">
        <v>#N/A N/A</v>
        <stp/>
        <stp>BDH|10755412796707037013</stp>
        <tr r="N21" s="6"/>
      </tp>
      <tp t="s">
        <v>#N/A N/A</v>
        <stp/>
        <stp>BDH|17620845841929384812</stp>
        <tr r="M16" s="2"/>
      </tp>
      <tp t="s">
        <v>#N/A N/A</v>
        <stp/>
        <stp>BDH|14599070451053249809</stp>
        <tr r="J8" s="5"/>
      </tp>
      <tp t="s">
        <v>#N/A N/A</v>
        <stp/>
        <stp>BDH|11278272854929770561</stp>
        <tr r="K20" s="6"/>
      </tp>
      <tp t="s">
        <v>#N/A N/A</v>
        <stp/>
        <stp>BDH|11910883842832046531</stp>
        <tr r="C25" s="5"/>
      </tp>
      <tp t="s">
        <v>#N/A N/A</v>
        <stp/>
        <stp>BDH|14589644490971823099</stp>
        <tr r="C16" s="5"/>
      </tp>
      <tp t="s">
        <v>#N/A N/A</v>
        <stp/>
        <stp>BDH|17266647803593042853</stp>
        <tr r="U9" s="4"/>
      </tp>
      <tp t="s">
        <v>#N/A N/A</v>
        <stp/>
        <stp>BDH|11779025892402632016</stp>
        <tr r="N11" s="9"/>
      </tp>
      <tp t="s">
        <v>#N/A N/A</v>
        <stp/>
        <stp>BDH|14929647688722767226</stp>
        <tr r="L17" s="4"/>
      </tp>
      <tp t="s">
        <v>#N/A N/A</v>
        <stp/>
        <stp>BDH|13434426713519361566</stp>
        <tr r="L13" s="2"/>
      </tp>
      <tp t="s">
        <v>#N/A N/A</v>
        <stp/>
        <stp>BDH|12054875141323619705</stp>
        <tr r="H18" s="2"/>
      </tp>
      <tp t="s">
        <v>#N/A N/A</v>
        <stp/>
        <stp>BDH|11117508156073226860</stp>
        <tr r="M9" s="2"/>
      </tp>
      <tp t="s">
        <v>#N/A N/A</v>
        <stp/>
        <stp>BDH|11000162027091408965</stp>
        <tr r="T6" s="3"/>
      </tp>
      <tp t="s">
        <v>#N/A N/A</v>
        <stp/>
        <stp>BDH|12993895239536970526</stp>
        <tr r="S9" s="5"/>
      </tp>
      <tp t="s">
        <v>#N/A N/A</v>
        <stp/>
        <stp>BDH|16362225554538028376</stp>
        <tr r="S18" s="2"/>
      </tp>
      <tp t="s">
        <v>#N/A N/A</v>
        <stp/>
        <stp>BDH|15161588810968396388</stp>
        <tr r="J13" s="2"/>
      </tp>
      <tp t="s">
        <v>#N/A N/A</v>
        <stp/>
        <stp>BDH|17949540947689059583</stp>
        <tr r="P13" s="5"/>
      </tp>
      <tp t="s">
        <v>#N/A N/A</v>
        <stp/>
        <stp>BDH|10709886273677106289</stp>
        <tr r="U15" s="2"/>
      </tp>
      <tp t="s">
        <v>#N/A N/A</v>
        <stp/>
        <stp>BDH|18392963522360394918</stp>
        <tr r="M23" s="2"/>
      </tp>
      <tp t="s">
        <v>#N/A N/A</v>
        <stp/>
        <stp>BDH|10795405529859982524</stp>
        <tr r="H9" s="4"/>
      </tp>
      <tp t="s">
        <v>#N/A N/A</v>
        <stp/>
        <stp>BDH|14775304539639843739</stp>
        <tr r="G7" s="2"/>
      </tp>
      <tp t="s">
        <v>#N/A N/A</v>
        <stp/>
        <stp>BDH|14785331936168442630</stp>
        <tr r="G25" s="3"/>
      </tp>
      <tp t="s">
        <v>#N/A N/A</v>
        <stp/>
        <stp>BDH|10873259263316984821</stp>
        <tr r="I22" s="8"/>
      </tp>
      <tp t="s">
        <v>#N/A N/A</v>
        <stp/>
        <stp>BDH|13382045203270378933</stp>
        <tr r="I7" s="5"/>
      </tp>
      <tp t="s">
        <v>#N/A N/A</v>
        <stp/>
        <stp>BDH|14705815505934157261</stp>
        <tr r="J11" s="7"/>
      </tp>
      <tp t="s">
        <v>#N/A N/A</v>
        <stp/>
        <stp>BDH|13772129165817006945</stp>
        <tr r="K15" s="4"/>
      </tp>
      <tp t="s">
        <v>#N/A N/A</v>
        <stp/>
        <stp>BDH|10674831497953769823</stp>
        <tr r="J24" s="4"/>
      </tp>
      <tp t="s">
        <v>#N/A N/A</v>
        <stp/>
        <stp>BDH|10510384888838655941</stp>
        <tr r="F7" s="6"/>
      </tp>
      <tp t="s">
        <v>#N/A N/A</v>
        <stp/>
        <stp>BDH|12434424289257156390</stp>
        <tr r="P20" s="5"/>
      </tp>
      <tp t="s">
        <v>#N/A N/A</v>
        <stp/>
        <stp>BDH|13492634081887042009</stp>
        <tr r="M14" s="2"/>
      </tp>
      <tp t="s">
        <v>#N/A N/A</v>
        <stp/>
        <stp>BDH|12709665765530388817</stp>
        <tr r="U25" s="3"/>
      </tp>
      <tp t="s">
        <v>#N/A N/A</v>
        <stp/>
        <stp>BDH|17726370734908935542</stp>
        <tr r="I8" s="6"/>
      </tp>
      <tp t="s">
        <v>#N/A N/A</v>
        <stp/>
        <stp>BDH|12704489683186502200</stp>
        <tr r="G22" s="3"/>
      </tp>
      <tp t="s">
        <v>#N/A N/A</v>
        <stp/>
        <stp>BDH|12871706792495142320</stp>
        <tr r="E25" s="5"/>
      </tp>
      <tp t="s">
        <v>#N/A N/A</v>
        <stp/>
        <stp>BDH|16092561068948478726</stp>
        <tr r="T23" s="2"/>
      </tp>
      <tp t="s">
        <v>#N/A N/A</v>
        <stp/>
        <stp>BDH|17643897167735911695</stp>
        <tr r="C9" s="7"/>
      </tp>
      <tp t="s">
        <v>#N/A N/A</v>
        <stp/>
        <stp>BDH|13700095445698897583</stp>
        <tr r="U21" s="6"/>
      </tp>
      <tp t="s">
        <v>#N/A N/A</v>
        <stp/>
        <stp>BDH|12897195083297898614</stp>
        <tr r="P18" s="3"/>
      </tp>
      <tp t="s">
        <v>#N/A N/A</v>
        <stp/>
        <stp>BDH|17923977709263865744</stp>
        <tr r="T17" s="6"/>
      </tp>
      <tp t="s">
        <v>#N/A N/A</v>
        <stp/>
        <stp>BDH|17550947759870723122</stp>
        <tr r="U16" s="7"/>
      </tp>
      <tp t="s">
        <v>#N/A N/A</v>
        <stp/>
        <stp>BDH|11833726246841145900</stp>
        <tr r="R16" s="6"/>
      </tp>
      <tp t="s">
        <v>#N/A N/A</v>
        <stp/>
        <stp>BDH|16650206668491179921</stp>
        <tr r="Q28" s="5"/>
      </tp>
      <tp t="s">
        <v>#N/A N/A</v>
        <stp/>
        <stp>BDH|16623926272144372696</stp>
        <tr r="D14" s="3"/>
      </tp>
      <tp t="s">
        <v>#N/A N/A</v>
        <stp/>
        <stp>BDH|17630169220318720683</stp>
        <tr r="R15" s="7"/>
      </tp>
      <tp t="s">
        <v>#N/A N/A</v>
        <stp/>
        <stp>BDH|15149782967329652774</stp>
        <tr r="M6" s="3"/>
      </tp>
      <tp t="s">
        <v>#N/A N/A</v>
        <stp/>
        <stp>BDH|12097529063999914266</stp>
        <tr r="H9" s="7"/>
      </tp>
      <tp t="s">
        <v>#N/A N/A</v>
        <stp/>
        <stp>BDH|10734273787367991707</stp>
        <tr r="J15" s="2"/>
      </tp>
      <tp t="s">
        <v>#N/A N/A</v>
        <stp/>
        <stp>BDH|13021794895492965449</stp>
        <tr r="R14" s="4"/>
      </tp>
      <tp t="s">
        <v>#N/A N/A</v>
        <stp/>
        <stp>BDH|13615645487793062546</stp>
        <tr r="H24" s="4"/>
      </tp>
      <tp t="s">
        <v>#N/A N/A</v>
        <stp/>
        <stp>BDH|12648321863215666906</stp>
        <tr r="T15" s="4"/>
      </tp>
      <tp t="s">
        <v>#N/A N/A</v>
        <stp/>
        <stp>BDH|11336555873320075859</stp>
        <tr r="I14" s="6"/>
      </tp>
      <tp t="s">
        <v>#N/A N/A</v>
        <stp/>
        <stp>BDH|16694087173622433895</stp>
        <tr r="K17" s="4"/>
      </tp>
      <tp t="s">
        <v>#N/A N/A</v>
        <stp/>
        <stp>BDH|11012806617871174265</stp>
        <tr r="V25" s="2"/>
      </tp>
      <tp t="s">
        <v>#N/A N/A</v>
        <stp/>
        <stp>BDH|14423972737220303573</stp>
        <tr r="D9" s="4"/>
      </tp>
      <tp t="s">
        <v>#N/A N/A</v>
        <stp/>
        <stp>BDH|10225126393752290121</stp>
        <tr r="E12" s="6"/>
      </tp>
      <tp t="s">
        <v>#N/A N/A</v>
        <stp/>
        <stp>BDH|11005910554886299042</stp>
        <tr r="R15" s="4"/>
      </tp>
      <tp t="s">
        <v>#N/A N/A</v>
        <stp/>
        <stp>BDH|15504524762494040963</stp>
        <tr r="V21" s="3"/>
      </tp>
      <tp t="s">
        <v>#N/A N/A</v>
        <stp/>
        <stp>BDH|16962980778667316497</stp>
        <tr r="V14" s="5"/>
      </tp>
      <tp t="s">
        <v>#N/A N/A</v>
        <stp/>
        <stp>BDH|10385704277382772912</stp>
        <tr r="Q13" s="2"/>
      </tp>
      <tp t="s">
        <v>#N/A N/A</v>
        <stp/>
        <stp>BDH|15745949104840039758</stp>
        <tr r="H11" s="7"/>
      </tp>
      <tp t="s">
        <v>#N/A N/A</v>
        <stp/>
        <stp>BDH|14232163893403792420</stp>
        <tr r="E13" s="4"/>
      </tp>
      <tp t="s">
        <v>#N/A N/A</v>
        <stp/>
        <stp>BDH|18192569260432404219</stp>
        <tr r="P14" s="5"/>
      </tp>
      <tp t="s">
        <v>#N/A N/A</v>
        <stp/>
        <stp>BDH|12884363396721994246</stp>
        <tr r="O22" s="4"/>
      </tp>
      <tp t="s">
        <v>#N/A N/A</v>
        <stp/>
        <stp>BDH|18222123780338101240</stp>
        <tr r="T15" s="2"/>
      </tp>
      <tp t="s">
        <v>#N/A N/A</v>
        <stp/>
        <stp>BDH|16920872579833190136</stp>
        <tr r="O24" s="2"/>
      </tp>
      <tp t="s">
        <v>#N/A N/A</v>
        <stp/>
        <stp>BDH|15590160959389988379</stp>
        <tr r="Q14" s="5"/>
      </tp>
      <tp t="s">
        <v>#N/A N/A</v>
        <stp/>
        <stp>BDH|16144680588913240075</stp>
        <tr r="V7" s="2"/>
      </tp>
      <tp t="s">
        <v>#N/A N/A</v>
        <stp/>
        <stp>BDH|15925071330899854428</stp>
        <tr r="I18" s="2"/>
      </tp>
      <tp t="s">
        <v>#N/A N/A</v>
        <stp/>
        <stp>BDH|12736774021158004450</stp>
        <tr r="C14" s="4"/>
      </tp>
      <tp t="s">
        <v>#N/A N/A</v>
        <stp/>
        <stp>BDH|14859567215428878375</stp>
        <tr r="Q17" s="7"/>
      </tp>
      <tp t="s">
        <v>#N/A N/A</v>
        <stp/>
        <stp>BDH|11963356314828960064</stp>
        <tr r="O11" s="9"/>
      </tp>
      <tp t="s">
        <v>#N/A N/A</v>
        <stp/>
        <stp>BDH|10227966550882668552</stp>
        <tr r="P15" s="4"/>
      </tp>
      <tp t="s">
        <v>#N/A N/A</v>
        <stp/>
        <stp>BDH|15520445088184893661</stp>
        <tr r="S14" s="5"/>
      </tp>
      <tp t="s">
        <v>#N/A N/A</v>
        <stp/>
        <stp>BDH|17965259160071958928</stp>
        <tr r="P25" s="2"/>
      </tp>
      <tp t="s">
        <v>#N/A N/A</v>
        <stp/>
        <stp>BDH|12956906555363803636</stp>
        <tr r="L12" s="9"/>
      </tp>
      <tp t="s">
        <v>#N/A N/A</v>
        <stp/>
        <stp>BDH|15431932526052084772</stp>
        <tr r="G9" s="8"/>
      </tp>
      <tp t="s">
        <v>#N/A N/A</v>
        <stp/>
        <stp>BDH|10306321505590536879</stp>
        <tr r="I24" s="3"/>
      </tp>
      <tp t="s">
        <v>#N/A N/A</v>
        <stp/>
        <stp>BDH|12189508205665342910</stp>
        <tr r="C17" s="7"/>
      </tp>
      <tp t="s">
        <v>#N/A N/A</v>
        <stp/>
        <stp>BDH|13566922665481362685</stp>
        <tr r="O17" s="2"/>
      </tp>
      <tp t="s">
        <v>#N/A N/A</v>
        <stp/>
        <stp>BDH|10914365281663673316</stp>
        <tr r="C18" s="2"/>
      </tp>
      <tp t="s">
        <v>#N/A N/A</v>
        <stp/>
        <stp>BDH|11727137709618028346</stp>
        <tr r="C10" s="4"/>
      </tp>
      <tp t="s">
        <v>#N/A N/A</v>
        <stp/>
        <stp>BDH|12317569535147106893</stp>
        <tr r="D28" s="5"/>
      </tp>
      <tp t="s">
        <v>#N/A N/A</v>
        <stp/>
        <stp>BDH|11719458731838211595</stp>
        <tr r="C12" s="9"/>
      </tp>
      <tp t="s">
        <v>#N/A N/A</v>
        <stp/>
        <stp>BDH|13493909749560168546</stp>
        <tr r="V9" s="6"/>
      </tp>
      <tp t="s">
        <v>#N/A N/A</v>
        <stp/>
        <stp>BDH|10192306888425619542</stp>
        <tr r="J13" s="7"/>
      </tp>
      <tp t="s">
        <v>#N/A N/A</v>
        <stp/>
        <stp>BDH|15359222672029983213</stp>
        <tr r="G17" s="4"/>
      </tp>
      <tp t="s">
        <v>#N/A N/A</v>
        <stp/>
        <stp>BDH|16813767290080368367</stp>
        <tr r="O25" s="2"/>
      </tp>
      <tp t="s">
        <v>#N/A N/A</v>
        <stp/>
        <stp>BDH|14912527390865403648</stp>
        <tr r="E8" s="9"/>
      </tp>
      <tp t="s">
        <v>#N/A N/A</v>
        <stp/>
        <stp>BDH|16778196930396149942</stp>
        <tr r="G26" s="3"/>
      </tp>
      <tp t="s">
        <v>#N/A N/A</v>
        <stp/>
        <stp>BDH|16848899399275669944</stp>
        <tr r="L7" s="2"/>
      </tp>
      <tp t="s">
        <v>#N/A N/A</v>
        <stp/>
        <stp>BDH|12917008265799201636</stp>
        <tr r="S8" s="7"/>
      </tp>
      <tp t="s">
        <v>#N/A N/A</v>
        <stp/>
        <stp>BDH|14700587393892210131</stp>
        <tr r="G14" s="8"/>
      </tp>
      <tp t="s">
        <v>#N/A N/A</v>
        <stp/>
        <stp>BDH|13373539559519794130</stp>
        <tr r="F16" s="4"/>
      </tp>
      <tp t="s">
        <v>#N/A N/A</v>
        <stp/>
        <stp>BDH|18352901491275994669</stp>
        <tr r="L17" s="8"/>
      </tp>
      <tp t="s">
        <v>#N/A N/A</v>
        <stp/>
        <stp>BDH|16058894108065864059</stp>
        <tr r="E8" s="7"/>
      </tp>
      <tp t="s">
        <v>#N/A N/A</v>
        <stp/>
        <stp>BDH|14719192406299010746</stp>
        <tr r="N22" s="3"/>
      </tp>
      <tp t="s">
        <v>#N/A N/A</v>
        <stp/>
        <stp>BDH|11238669078968606367</stp>
        <tr r="H9" s="5"/>
      </tp>
      <tp t="s">
        <v>#N/A N/A</v>
        <stp/>
        <stp>BDH|13927619714167404871</stp>
        <tr r="J17" s="3"/>
      </tp>
      <tp t="s">
        <v>#N/A N/A</v>
        <stp/>
        <stp>BDH|16122289443492546901</stp>
        <tr r="R12" s="6"/>
      </tp>
      <tp t="s">
        <v>#N/A N/A</v>
        <stp/>
        <stp>BDH|17628322826349893454</stp>
        <tr r="P9" s="5"/>
      </tp>
      <tp t="s">
        <v>#N/A N/A</v>
        <stp/>
        <stp>BDH|11132891581479555329</stp>
        <tr r="U23" s="2"/>
      </tp>
      <tp t="s">
        <v>#N/A N/A</v>
        <stp/>
        <stp>BDH|15614880263573195325</stp>
        <tr r="E7" s="9"/>
      </tp>
      <tp t="s">
        <v>#N/A N/A</v>
        <stp/>
        <stp>BDH|17825380278739581132</stp>
        <tr r="K16" s="8"/>
      </tp>
      <tp t="s">
        <v>#N/A N/A</v>
        <stp/>
        <stp>BDH|14616926015682741586</stp>
        <tr r="J20" s="6"/>
      </tp>
      <tp t="s">
        <v>#N/A N/A</v>
        <stp/>
        <stp>BDH|11181735900018459588</stp>
        <tr r="P7" s="3"/>
      </tp>
      <tp t="s">
        <v>#N/A N/A</v>
        <stp/>
        <stp>BDH|11865028986313625148</stp>
        <tr r="J10" s="3"/>
      </tp>
      <tp t="s">
        <v>#N/A N/A</v>
        <stp/>
        <stp>BDH|11705882885193630927</stp>
        <tr r="H20" s="3"/>
      </tp>
      <tp t="s">
        <v>#N/A N/A</v>
        <stp/>
        <stp>BDH|17868626609482408891</stp>
        <tr r="P21" s="5"/>
      </tp>
      <tp t="s">
        <v>#N/A N/A</v>
        <stp/>
        <stp>BDH|13773848117435359764</stp>
        <tr r="I8" s="7"/>
      </tp>
      <tp t="s">
        <v>#N/A N/A</v>
        <stp/>
        <stp>BDH|15104155522199489739</stp>
        <tr r="G7" s="5"/>
      </tp>
      <tp t="s">
        <v>#N/A N/A</v>
        <stp/>
        <stp>BDH|11894943668610242663</stp>
        <tr r="T18" s="2"/>
      </tp>
      <tp t="s">
        <v>#N/A N/A</v>
        <stp/>
        <stp>BDH|18112194608172178314</stp>
        <tr r="S8" s="3"/>
      </tp>
      <tp t="s">
        <v>#N/A N/A</v>
        <stp/>
        <stp>BDH|14971783430261837992</stp>
        <tr r="P17" s="8"/>
      </tp>
      <tp t="s">
        <v>#N/A N/A</v>
        <stp/>
        <stp>BDH|16458987877056051680</stp>
        <tr r="P8" s="9"/>
      </tp>
      <tp t="s">
        <v>#N/A N/A</v>
        <stp/>
        <stp>BDH|10689547360768753369</stp>
        <tr r="T16" s="7"/>
      </tp>
      <tp t="s">
        <v>#N/A N/A</v>
        <stp/>
        <stp>BDH|12026994135226130684</stp>
        <tr r="V17" s="4"/>
      </tp>
      <tp t="s">
        <v>#N/A N/A</v>
        <stp/>
        <stp>BDH|11378775984285333366</stp>
        <tr r="H16" s="8"/>
      </tp>
      <tp t="s">
        <v>#N/A N/A</v>
        <stp/>
        <stp>BDH|17697709755965651811</stp>
        <tr r="M11" s="7"/>
      </tp>
      <tp t="s">
        <v>#N/A N/A</v>
        <stp/>
        <stp>BDH|18210840641009380505</stp>
        <tr r="G14" s="6"/>
      </tp>
      <tp t="s">
        <v>#N/A N/A</v>
        <stp/>
        <stp>BDH|13992070534040402892</stp>
        <tr r="G8" s="2"/>
      </tp>
      <tp t="s">
        <v>#N/A N/A</v>
        <stp/>
        <stp>BDH|10465906142092476756</stp>
        <tr r="R17" s="8"/>
      </tp>
      <tp t="s">
        <v>#N/A N/A</v>
        <stp/>
        <stp>BDH|10407822154361554402</stp>
        <tr r="H15" s="6"/>
      </tp>
      <tp t="s">
        <v>#N/A N/A</v>
        <stp/>
        <stp>BDH|17784729172587913889</stp>
        <tr r="D8" s="2"/>
      </tp>
      <tp t="s">
        <v>#N/A N/A</v>
        <stp/>
        <stp>BDH|13082171353097495860</stp>
        <tr r="U24" s="4"/>
      </tp>
      <tp t="s">
        <v>#N/A N/A</v>
        <stp/>
        <stp>BDH|12784089129311418945</stp>
        <tr r="K17" s="2"/>
      </tp>
      <tp t="s">
        <v>#N/A N/A</v>
        <stp/>
        <stp>BDH|15803993018872816784</stp>
        <tr r="L8" s="9"/>
      </tp>
      <tp t="s">
        <v>#N/A N/A</v>
        <stp/>
        <stp>BDH|11153771807508157698</stp>
        <tr r="K8" s="4"/>
      </tp>
      <tp t="s">
        <v>#N/A N/A</v>
        <stp/>
        <stp>BDH|15482081952131662904</stp>
        <tr r="V17" s="7"/>
      </tp>
      <tp t="s">
        <v>#N/A N/A</v>
        <stp/>
        <stp>BDH|15501089766178121322</stp>
        <tr r="K12" s="7"/>
      </tp>
      <tp t="s">
        <v>#N/A N/A</v>
        <stp/>
        <stp>BDH|17946476714493355911</stp>
        <tr r="S8" s="8"/>
      </tp>
      <tp t="s">
        <v>#N/A N/A</v>
        <stp/>
        <stp>BDH|11359256780463875061</stp>
        <tr r="K13" s="9"/>
      </tp>
      <tp t="s">
        <v>#N/A N/A</v>
        <stp/>
        <stp>BDH|14873579492982423212</stp>
        <tr r="P21" s="6"/>
      </tp>
      <tp t="s">
        <v>#N/A N/A</v>
        <stp/>
        <stp>BDH|16754674211031871810</stp>
        <tr r="D8" s="8"/>
      </tp>
      <tp t="s">
        <v>#N/A N/A</v>
        <stp/>
        <stp>BDH|16193848184536275884</stp>
        <tr r="M7" s="9"/>
      </tp>
      <tp t="s">
        <v>#N/A N/A</v>
        <stp/>
        <stp>BDH|14083435670627117881</stp>
        <tr r="K9" s="4"/>
      </tp>
      <tp t="s">
        <v>#N/A N/A</v>
        <stp/>
        <stp>BDH|10175320598167612570</stp>
        <tr r="F14" s="4"/>
      </tp>
      <tp t="s">
        <v>#N/A N/A</v>
        <stp/>
        <stp>BDH|12857930924929292871</stp>
        <tr r="J7" s="8"/>
      </tp>
      <tp t="s">
        <v>#N/A N/A</v>
        <stp/>
        <stp>BDH|16390276916445910868</stp>
        <tr r="K15" s="9"/>
      </tp>
      <tp t="s">
        <v>#N/A N/A</v>
        <stp/>
        <stp>BDH|10172015142274689898</stp>
        <tr r="F14" s="2"/>
      </tp>
      <tp t="s">
        <v>#N/A N/A</v>
        <stp/>
        <stp>BDH|17153491024091327826</stp>
        <tr r="N13" s="5"/>
      </tp>
      <tp t="s">
        <v>#N/A N/A</v>
        <stp/>
        <stp>BDH|17063963969739070922</stp>
        <tr r="C24" s="2"/>
      </tp>
      <tp t="s">
        <v>#N/A N/A</v>
        <stp/>
        <stp>BDH|16981349427766240957</stp>
        <tr r="S7" s="9"/>
      </tp>
      <tp t="s">
        <v>#N/A N/A</v>
        <stp/>
        <stp>BDH|10944536588612895767</stp>
        <tr r="E8" s="4"/>
      </tp>
      <tp t="s">
        <v>#N/A N/A</v>
        <stp/>
        <stp>BDH|14271285370439228047</stp>
        <tr r="P8" s="2"/>
      </tp>
      <tp t="s">
        <v>#N/A N/A</v>
        <stp/>
        <stp>BDH|11976113404080858883</stp>
        <tr r="N17" s="8"/>
      </tp>
      <tp t="s">
        <v>#N/A N/A</v>
        <stp/>
        <stp>BDH|18008191453487085351</stp>
        <tr r="D20" s="6"/>
      </tp>
      <tp t="s">
        <v>#N/A N/A</v>
        <stp/>
        <stp>BDH|17712704489376842690</stp>
        <tr r="N8" s="5"/>
      </tp>
      <tp t="s">
        <v>#N/A N/A</v>
        <stp/>
        <stp>BDH|12857646992761804493</stp>
        <tr r="M15" s="6"/>
      </tp>
      <tp t="s">
        <v>#N/A N/A</v>
        <stp/>
        <stp>BDH|13982931753134593327</stp>
        <tr r="I7" s="3"/>
      </tp>
      <tp t="s">
        <v>#N/A N/A</v>
        <stp/>
        <stp>BDH|12815946835032628210</stp>
        <tr r="U10" s="2"/>
      </tp>
      <tp t="s">
        <v>#N/A N/A</v>
        <stp/>
        <stp>BDH|12447918144014072200</stp>
        <tr r="T22" s="8"/>
      </tp>
      <tp t="s">
        <v>#N/A N/A</v>
        <stp/>
        <stp>BDH|16571775062197209939</stp>
        <tr r="I16" s="7"/>
      </tp>
      <tp t="s">
        <v>#N/A N/A</v>
        <stp/>
        <stp>BDH|15626289893737447089</stp>
        <tr r="V26" s="3"/>
      </tp>
      <tp t="s">
        <v>#N/A N/A</v>
        <stp/>
        <stp>BDH|17504656492408606957</stp>
        <tr r="V14" s="4"/>
      </tp>
      <tp t="s">
        <v>#N/A N/A</v>
        <stp/>
        <stp>BDH|10132550633386376949</stp>
        <tr r="K14" s="2"/>
      </tp>
      <tp t="s">
        <v>#N/A N/A</v>
        <stp/>
        <stp>BDH|12226092748927181823</stp>
        <tr r="H16" s="3"/>
      </tp>
      <tp t="s">
        <v>#N/A N/A</v>
        <stp/>
        <stp>BDH|17075731593933184311</stp>
        <tr r="L15" s="7"/>
      </tp>
      <tp t="s">
        <v>#N/A N/A</v>
        <stp/>
        <stp>BDH|15611317688667870071</stp>
        <tr r="C10" s="3"/>
      </tp>
      <tp t="s">
        <v>#N/A N/A</v>
        <stp/>
        <stp>BDH|10556515451658200149</stp>
        <tr r="C12" s="5"/>
      </tp>
      <tp t="s">
        <v>#N/A N/A</v>
        <stp/>
        <stp>BDH|17470519981122718100</stp>
        <tr r="D8" s="3"/>
      </tp>
      <tp t="s">
        <v>#N/A N/A</v>
        <stp/>
        <stp>BDH|12320974143002624422</stp>
        <tr r="S11" s="9"/>
      </tp>
      <tp t="s">
        <v>#N/A N/A</v>
        <stp/>
        <stp>BDH|16714876610276218011</stp>
        <tr r="R11" s="9"/>
      </tp>
      <tp t="s">
        <v>#N/A N/A</v>
        <stp/>
        <stp>BDH|15887276954419179298</stp>
        <tr r="Q11" s="9"/>
      </tp>
      <tp t="s">
        <v>#N/A N/A</v>
        <stp/>
        <stp>BDH|18214501346956399658</stp>
        <tr r="Q15" s="7"/>
      </tp>
      <tp t="s">
        <v>#N/A N/A</v>
        <stp/>
        <stp>BDH|14766414346278694545</stp>
        <tr r="I17" s="4"/>
      </tp>
      <tp t="s">
        <v>#N/A N/A</v>
        <stp/>
        <stp>BDH|11206438269572299885</stp>
        <tr r="E13" s="7"/>
      </tp>
      <tp t="s">
        <v>#N/A N/A</v>
        <stp/>
        <stp>BDH|15994713615728835200</stp>
        <tr r="K13" s="4"/>
      </tp>
      <tp t="s">
        <v>#N/A N/A</v>
        <stp/>
        <stp>BDH|12423452019337487984</stp>
        <tr r="H9" s="9"/>
      </tp>
      <tp t="s">
        <v>#N/A N/A</v>
        <stp/>
        <stp>BDH|10279842005076055770</stp>
        <tr r="K20" s="2"/>
      </tp>
      <tp t="s">
        <v>#N/A N/A</v>
        <stp/>
        <stp>BDH|11956461806024935840</stp>
        <tr r="U13" s="3"/>
      </tp>
      <tp t="s">
        <v>#N/A N/A</v>
        <stp/>
        <stp>BDH|12550907216877718431</stp>
        <tr r="V7" s="3"/>
      </tp>
      <tp t="s">
        <v>#N/A N/A</v>
        <stp/>
        <stp>BDH|16353511392286591525</stp>
        <tr r="D17" s="5"/>
      </tp>
      <tp t="s">
        <v>#N/A N/A</v>
        <stp/>
        <stp>BDH|17790256982442606613</stp>
        <tr r="P15" s="9"/>
      </tp>
      <tp t="s">
        <v>#N/A N/A</v>
        <stp/>
        <stp>BDH|10716160152379562415</stp>
        <tr r="O20" s="6"/>
      </tp>
      <tp t="s">
        <v>#N/A N/A</v>
        <stp/>
        <stp>BDH|14518460898354836446</stp>
        <tr r="T17" s="9"/>
      </tp>
      <tp t="s">
        <v>#N/A N/A</v>
        <stp/>
        <stp>BDH|12452833910653406145</stp>
        <tr r="P18" s="2"/>
      </tp>
      <tp t="s">
        <v>#N/A N/A</v>
        <stp/>
        <stp>BDH|18431387169507318314</stp>
        <tr r="K9" s="6"/>
      </tp>
      <tp t="s">
        <v>#N/A N/A</v>
        <stp/>
        <stp>BDH|12290801190793411902</stp>
        <tr r="K11" s="7"/>
      </tp>
      <tp t="s">
        <v>#N/A N/A</v>
        <stp/>
        <stp>BDH|13502677662382504837</stp>
        <tr r="K8" s="2"/>
      </tp>
      <tp t="s">
        <v>#N/A N/A</v>
        <stp/>
        <stp>BDH|18200620924443763657</stp>
        <tr r="D14" s="5"/>
      </tp>
      <tp t="s">
        <v>#N/A N/A</v>
        <stp/>
        <stp>BDH|17785750310590388881</stp>
        <tr r="D10" s="4"/>
      </tp>
      <tp t="s">
        <v>#N/A N/A</v>
        <stp/>
        <stp>BDH|17012849171387832656</stp>
        <tr r="J20" s="8"/>
      </tp>
      <tp t="s">
        <v>#N/A N/A</v>
        <stp/>
        <stp>BDH|14849287082345225283</stp>
        <tr r="Q7" s="9"/>
      </tp>
      <tp t="s">
        <v>#N/A N/A</v>
        <stp/>
        <stp>BDH|13349571294654942213</stp>
        <tr r="E7" s="3"/>
      </tp>
      <tp t="s">
        <v>#N/A N/A</v>
        <stp/>
        <stp>BDH|16023922553322923138</stp>
        <tr r="N25" s="3"/>
      </tp>
      <tp t="s">
        <v>#N/A N/A</v>
        <stp/>
        <stp>BDH|14896891154647728794</stp>
        <tr r="J12" s="3"/>
      </tp>
      <tp t="s">
        <v>#N/A N/A</v>
        <stp/>
        <stp>BDH|15541191411044000866</stp>
        <tr r="J16" s="9"/>
      </tp>
      <tp t="s">
        <v>#N/A N/A</v>
        <stp/>
        <stp>BDH|16867076007048743747</stp>
        <tr r="J25" s="5"/>
      </tp>
      <tp t="s">
        <v>#N/A N/A</v>
        <stp/>
        <stp>BDH|13239162196700859213</stp>
        <tr r="T13" s="4"/>
      </tp>
      <tp t="s">
        <v>#N/A N/A</v>
        <stp/>
        <stp>BDH|10935048313800600837</stp>
        <tr r="I15" s="6"/>
      </tp>
      <tp t="s">
        <v>#N/A N/A</v>
        <stp/>
        <stp>BDH|18070555556810829113</stp>
        <tr r="G10" s="5"/>
      </tp>
      <tp t="s">
        <v>#N/A N/A</v>
        <stp/>
        <stp>BDH|12863594854938786389</stp>
        <tr r="S7" s="7"/>
      </tp>
      <tp t="s">
        <v>#N/A N/A</v>
        <stp/>
        <stp>BDH|10729924300934790488</stp>
        <tr r="F8" s="5"/>
      </tp>
      <tp t="s">
        <v>#N/A N/A</v>
        <stp/>
        <stp>BDH|14026524450294905912</stp>
        <tr r="E23" s="2"/>
      </tp>
      <tp t="s">
        <v>#N/A N/A</v>
        <stp/>
        <stp>BDH|18402078653893482794</stp>
        <tr r="V20" s="3"/>
      </tp>
      <tp t="s">
        <v>#N/A N/A</v>
        <stp/>
        <stp>BDH|16572173992113573483</stp>
        <tr r="L15" s="9"/>
      </tp>
      <tp t="s">
        <v>#N/A N/A</v>
        <stp/>
        <stp>BDH|15582883028024062289</stp>
        <tr r="C13" s="4"/>
      </tp>
      <tp t="s">
        <v>#N/A N/A</v>
        <stp/>
        <stp>BDH|18322325616524125792</stp>
        <tr r="R9" s="6"/>
      </tp>
      <tp t="s">
        <v>#N/A N/A</v>
        <stp/>
        <stp>BDH|11536357546736965901</stp>
        <tr r="L8" s="5"/>
      </tp>
      <tp t="s">
        <v>#N/A N/A</v>
        <stp/>
        <stp>BDH|13664495595577654024</stp>
        <tr r="H13" s="9"/>
      </tp>
      <tp t="s">
        <v>#N/A N/A</v>
        <stp/>
        <stp>BDH|17958113604820903844</stp>
        <tr r="F9" s="2"/>
      </tp>
      <tp t="s">
        <v>#N/A N/A</v>
        <stp/>
        <stp>BDH|18259802976468069152</stp>
        <tr r="P14" s="3"/>
      </tp>
      <tp t="s">
        <v>#N/A N/A</v>
        <stp/>
        <stp>BDH|15767738489435488184</stp>
        <tr r="N28" s="5"/>
      </tp>
      <tp t="s">
        <v>#N/A N/A</v>
        <stp/>
        <stp>BDH|16854659349592495809</stp>
        <tr r="D10" s="5"/>
      </tp>
      <tp t="s">
        <v>#N/A N/A</v>
        <stp/>
        <stp>BDH|12357584291937803720</stp>
        <tr r="J9" s="3"/>
      </tp>
      <tp t="s">
        <v>#N/A N/A</v>
        <stp/>
        <stp>BDH|18156411817980343341</stp>
        <tr r="U10" s="5"/>
      </tp>
      <tp t="s">
        <v>#N/A N/A</v>
        <stp/>
        <stp>BDH|14945506130564028899</stp>
        <tr r="N13" s="4"/>
      </tp>
      <tp t="s">
        <v>#N/A N/A</v>
        <stp/>
        <stp>BDH|15631865005196360562</stp>
        <tr r="M12" s="7"/>
      </tp>
      <tp t="s">
        <v>#N/A N/A</v>
        <stp/>
        <stp>BDH|15708686767673262892</stp>
        <tr r="U25" s="2"/>
      </tp>
      <tp t="s">
        <v>#N/A N/A</v>
        <stp/>
        <stp>BDH|14151868335797906695</stp>
        <tr r="M9" s="7"/>
      </tp>
      <tp t="s">
        <v>#N/A N/A</v>
        <stp/>
        <stp>BDH|15239236861178157733</stp>
        <tr r="R7" s="9"/>
      </tp>
      <tp t="s">
        <v>#N/A N/A</v>
        <stp/>
        <stp>BDH|11308867167353519252</stp>
        <tr r="H10" s="4"/>
      </tp>
      <tp t="s">
        <v>#N/A N/A</v>
        <stp/>
        <stp>BDH|15078875000565421611</stp>
        <tr r="T26" s="3"/>
      </tp>
      <tp t="s">
        <v>#N/A N/A</v>
        <stp/>
        <stp>BDH|15435162252876307960</stp>
        <tr r="T12" s="7"/>
      </tp>
      <tp t="s">
        <v>#N/A N/A</v>
        <stp/>
        <stp>BDH|11546584277309929469</stp>
        <tr r="K12" s="6"/>
      </tp>
      <tp t="s">
        <v>#N/A N/A</v>
        <stp/>
        <stp>BDH|16087848522676482470</stp>
        <tr r="H14" s="3"/>
      </tp>
      <tp t="s">
        <v>#N/A N/A</v>
        <stp/>
        <stp>BDH|12077230789483853575</stp>
        <tr r="Q16" s="3"/>
      </tp>
      <tp t="s">
        <v>#N/A N/A</v>
        <stp/>
        <stp>BDH|14696582388893742446</stp>
        <tr r="F20" s="3"/>
      </tp>
      <tp t="s">
        <v>#N/A N/A</v>
        <stp/>
        <stp>BDH|16658348789981781299</stp>
        <tr r="N10" s="5"/>
      </tp>
      <tp t="s">
        <v>#N/A N/A</v>
        <stp/>
        <stp>BDH|13063463705788385141</stp>
        <tr r="R16" s="2"/>
      </tp>
      <tp t="s">
        <v>#N/A N/A</v>
        <stp/>
        <stp>BDH|12202179863278551371</stp>
        <tr r="D15" s="6"/>
      </tp>
      <tp t="s">
        <v>#N/A N/A</v>
        <stp/>
        <stp>BDH|11346392717854070994</stp>
        <tr r="D13" s="6"/>
      </tp>
      <tp t="s">
        <v>#N/A N/A</v>
        <stp/>
        <stp>BDH|16388669728544867813</stp>
        <tr r="I21" s="8"/>
      </tp>
      <tp t="s">
        <v>#N/A N/A</v>
        <stp/>
        <stp>BDH|16797561116798094437</stp>
        <tr r="K15" s="8"/>
      </tp>
      <tp t="s">
        <v>#N/A N/A</v>
        <stp/>
        <stp>BDH|12209201431304453937</stp>
        <tr r="K21" s="8"/>
      </tp>
      <tp t="s">
        <v>#N/A N/A</v>
        <stp/>
        <stp>BDH|14781975605221417265</stp>
        <tr r="M22" s="6"/>
      </tp>
      <tp t="s">
        <v>#N/A N/A</v>
        <stp/>
        <stp>BDH|12318161053201748969</stp>
        <tr r="G13" s="4"/>
      </tp>
      <tp t="s">
        <v>#N/A N/A</v>
        <stp/>
        <stp>BDH|17422842936826579440</stp>
        <tr r="L21" s="5"/>
      </tp>
      <tp t="s">
        <v>#N/A N/A</v>
        <stp/>
        <stp>BDH|12072680154478842734</stp>
        <tr r="C22" s="3"/>
      </tp>
      <tp t="s">
        <v>#N/A N/A</v>
        <stp/>
        <stp>BDH|18039015340764424622</stp>
        <tr r="T21" s="6"/>
      </tp>
      <tp t="s">
        <v>#N/A N/A</v>
        <stp/>
        <stp>BDH|13834939442803914376</stp>
        <tr r="V24" s="4"/>
      </tp>
      <tp t="s">
        <v>#N/A N/A</v>
        <stp/>
        <stp>BDH|12014173411308813494</stp>
        <tr r="R20" s="5"/>
      </tp>
      <tp t="s">
        <v>#N/A N/A</v>
        <stp/>
        <stp>BDH|14121273294156595715</stp>
        <tr r="T21" s="8"/>
      </tp>
      <tp t="s">
        <v>#N/A N/A</v>
        <stp/>
        <stp>BDH|15344401384497867091</stp>
        <tr r="K7" s="3"/>
      </tp>
      <tp t="s">
        <v>#N/A N/A</v>
        <stp/>
        <stp>BDH|12795843864684012619</stp>
        <tr r="U22" s="5"/>
      </tp>
      <tp t="s">
        <v>#N/A N/A</v>
        <stp/>
        <stp>BDH|18203764162554814379</stp>
        <tr r="H17" s="3"/>
      </tp>
      <tp t="s">
        <v>#N/A N/A</v>
        <stp/>
        <stp>BDH|15586821636396146698</stp>
        <tr r="E7" s="4"/>
      </tp>
      <tp t="s">
        <v>#N/A N/A</v>
        <stp/>
        <stp>BDH|12606905026936963114</stp>
        <tr r="D22" s="4"/>
      </tp>
      <tp t="s">
        <v>#N/A N/A</v>
        <stp/>
        <stp>BDH|13217175091132591790</stp>
        <tr r="G13" s="3"/>
      </tp>
      <tp t="s">
        <v>#N/A N/A</v>
        <stp/>
        <stp>BDH|11151154412869946644</stp>
        <tr r="K21" s="5"/>
      </tp>
      <tp t="s">
        <v>#N/A N/A</v>
        <stp/>
        <stp>BDH|13509034590223927745</stp>
        <tr r="L20" s="2"/>
      </tp>
      <tp t="s">
        <v>#N/A N/A</v>
        <stp/>
        <stp>BDH|11113452365225328897</stp>
        <tr r="N7" s="5"/>
      </tp>
      <tp t="s">
        <v>#N/A N/A</v>
        <stp/>
        <stp>BDH|16804468155029120005</stp>
        <tr r="O20" s="2"/>
      </tp>
      <tp t="s">
        <v>#N/A N/A</v>
        <stp/>
        <stp>BDH|17610239175245300994</stp>
        <tr r="M21" s="3"/>
      </tp>
      <tp t="s">
        <v>#N/A N/A</v>
        <stp/>
        <stp>BDH|17295725593282086594</stp>
        <tr r="C7" s="2"/>
      </tp>
      <tp t="s">
        <v>#N/A N/A</v>
        <stp/>
        <stp>BDH|16903876666313166531</stp>
        <tr r="E24" s="4"/>
      </tp>
      <tp t="s">
        <v>#N/A N/A</v>
        <stp/>
        <stp>BDH|18415695715258733952</stp>
        <tr r="V17" s="5"/>
      </tp>
      <tp t="s">
        <v>#N/A N/A</v>
        <stp/>
        <stp>BDH|16517595625418133758</stp>
        <tr r="P16" s="6"/>
      </tp>
      <tp t="s">
        <v>#N/A N/A</v>
        <stp/>
        <stp>BDH|15266838937151276197</stp>
        <tr r="R8" s="7"/>
      </tp>
      <tp t="s">
        <v>#N/A N/A</v>
        <stp/>
        <stp>BDH|10561866101423887570</stp>
        <tr r="R14" s="5"/>
      </tp>
      <tp t="s">
        <v>#N/A N/A</v>
        <stp/>
        <stp>BDH|16632137643478975525</stp>
        <tr r="O14" s="2"/>
      </tp>
      <tp t="s">
        <v>#N/A N/A</v>
        <stp/>
        <stp>BDH|13642859909521609407</stp>
        <tr r="N13" s="8"/>
      </tp>
      <tp t="s">
        <v>#N/A N/A</v>
        <stp/>
        <stp>BDH|16011099332502471937</stp>
        <tr r="T10" s="5"/>
      </tp>
      <tp t="s">
        <v>#N/A N/A</v>
        <stp/>
        <stp>BDH|12505529190295322585</stp>
        <tr r="R16" s="5"/>
      </tp>
      <tp t="s">
        <v>#N/A N/A</v>
        <stp/>
        <stp>BDH|14537826388693376903</stp>
        <tr r="H8" s="6"/>
      </tp>
      <tp t="s">
        <v>#N/A N/A</v>
        <stp/>
        <stp>BDH|13876248208929127690</stp>
        <tr r="R25" s="2"/>
      </tp>
      <tp t="s">
        <v>#N/A N/A</v>
        <stp/>
        <stp>BDH|14282295176497344810</stp>
        <tr r="D25" s="2"/>
      </tp>
      <tp t="s">
        <v>#N/A N/A</v>
        <stp/>
        <stp>BDH|13791093536477278940</stp>
        <tr r="P19" s="4"/>
      </tp>
      <tp t="s">
        <v>#N/A N/A</v>
        <stp/>
        <stp>BDH|15848177422918029031</stp>
        <tr r="M14" s="3"/>
      </tp>
      <tp t="s">
        <v>#N/A N/A</v>
        <stp/>
        <stp>BDH|13807068417229565520</stp>
        <tr r="O9" s="9"/>
      </tp>
      <tp t="s">
        <v>#N/A N/A</v>
        <stp/>
        <stp>BDH|12985130828316424873</stp>
        <tr r="P9" s="3"/>
      </tp>
      <tp t="s">
        <v>#N/A N/A</v>
        <stp/>
        <stp>BDH|16258141531903167871</stp>
        <tr r="U14" s="4"/>
      </tp>
      <tp t="s">
        <v>#N/A N/A</v>
        <stp/>
        <stp>BDH|16021156182571000169</stp>
        <tr r="J22" s="5"/>
      </tp>
      <tp t="s">
        <v>#N/A N/A</v>
        <stp/>
        <stp>BDH|17061734861600675951</stp>
        <tr r="E12" s="5"/>
      </tp>
      <tp t="s">
        <v>#N/A N/A</v>
        <stp/>
        <stp>BDH|17164547695631697567</stp>
        <tr r="D18" s="3"/>
      </tp>
      <tp t="s">
        <v>#N/A N/A</v>
        <stp/>
        <stp>BDH|16543218191682449013</stp>
        <tr r="V15" s="7"/>
      </tp>
      <tp t="s">
        <v>#N/A N/A</v>
        <stp/>
        <stp>BDH|10112901930330312523</stp>
        <tr r="R17" s="2"/>
      </tp>
      <tp t="s">
        <v>#N/A N/A</v>
        <stp/>
        <stp>BDH|15157228557149530418</stp>
        <tr r="U24" s="2"/>
      </tp>
      <tp t="s">
        <v>#N/A N/A</v>
        <stp/>
        <stp>BDH|12439550066277498902</stp>
        <tr r="P10" s="2"/>
      </tp>
      <tp t="s">
        <v>#N/A N/A</v>
        <stp/>
        <stp>BDH|14321912886688511227</stp>
        <tr r="O25" s="3"/>
      </tp>
      <tp t="s">
        <v>#N/A N/A</v>
        <stp/>
        <stp>BDH|13104359360891267852</stp>
        <tr r="E21" s="3"/>
      </tp>
      <tp t="s">
        <v>#N/A N/A</v>
        <stp/>
        <stp>BDH|17048938611461810180</stp>
        <tr r="P20" s="8"/>
      </tp>
      <tp t="s">
        <v>#N/A N/A</v>
        <stp/>
        <stp>BDH|13771989352704947461</stp>
        <tr r="K11" s="9"/>
      </tp>
      <tp t="s">
        <v>#N/A N/A</v>
        <stp/>
        <stp>BDH|14766550037054205954</stp>
        <tr r="S24" s="2"/>
      </tp>
      <tp t="s">
        <v>#N/A N/A</v>
        <stp/>
        <stp>BDH|16084581668829402363</stp>
        <tr r="R9" s="7"/>
      </tp>
      <tp t="s">
        <v>#N/A N/A</v>
        <stp/>
        <stp>BDH|16615070384677453633</stp>
        <tr r="R24" s="2"/>
      </tp>
      <tp t="s">
        <v>#N/A N/A</v>
        <stp/>
        <stp>BDH|10735939134317427215</stp>
        <tr r="C24" s="4"/>
      </tp>
      <tp t="s">
        <v>#N/A N/A</v>
        <stp/>
        <stp>BDH|12439690848958636764</stp>
        <tr r="P7" s="7"/>
      </tp>
      <tp t="s">
        <v>#N/A N/A</v>
        <stp/>
        <stp>BDH|11003511877154712846</stp>
        <tr r="J24" s="2"/>
      </tp>
      <tp t="s">
        <v>#N/A N/A</v>
        <stp/>
        <stp>BDH|10210463596490681218</stp>
        <tr r="N24" s="2"/>
      </tp>
      <tp t="s">
        <v>#N/A N/A</v>
        <stp/>
        <stp>BDH|14247916200216737409</stp>
        <tr r="I9" s="3"/>
      </tp>
      <tp t="s">
        <v>#N/A N/A</v>
        <stp/>
        <stp>BDH|18158456931003032313</stp>
        <tr r="F21" s="3"/>
      </tp>
      <tp t="s">
        <v>#N/A N/A</v>
        <stp/>
        <stp>BDH|15381760865083351847</stp>
        <tr r="P13" s="3"/>
      </tp>
      <tp t="s">
        <v>#N/A N/A</v>
        <stp/>
        <stp>BDH|14289052866185039867</stp>
        <tr r="F12" s="6"/>
      </tp>
      <tp t="s">
        <v>#N/A N/A</v>
        <stp/>
        <stp>BDH|13425100146721209875</stp>
        <tr r="R20" s="6"/>
      </tp>
      <tp t="s">
        <v>#N/A N/A</v>
        <stp/>
        <stp>BDH|15817754678633143933</stp>
        <tr r="J8" s="3"/>
      </tp>
      <tp t="s">
        <v>#N/A N/A</v>
        <stp/>
        <stp>BDH|17504401823366094800</stp>
        <tr r="F20" s="2"/>
      </tp>
      <tp t="s">
        <v>#N/A N/A</v>
        <stp/>
        <stp>BDH|12856072006229985465</stp>
        <tr r="E8" s="3"/>
      </tp>
      <tp t="s">
        <v>#N/A N/A</v>
        <stp/>
        <stp>BDH|17970334570519509568</stp>
        <tr r="U9" s="2"/>
      </tp>
      <tp t="s">
        <v>#N/A N/A</v>
        <stp/>
        <stp>BDH|18081849450849531395</stp>
        <tr r="C20" s="6"/>
      </tp>
      <tp t="s">
        <v>#N/A N/A</v>
        <stp/>
        <stp>BDH|16700475568129913299</stp>
        <tr r="G20" s="2"/>
      </tp>
      <tp t="s">
        <v>#N/A N/A</v>
        <stp/>
        <stp>BDH|10273501428650167835</stp>
        <tr r="H9" s="6"/>
      </tp>
      <tp t="s">
        <v>#N/A N/A</v>
        <stp/>
        <stp>BDH|11045292527418732617</stp>
        <tr r="H8" s="2"/>
      </tp>
      <tp t="s">
        <v>#N/A N/A</v>
        <stp/>
        <stp>BDH|10300257222178524791</stp>
        <tr r="S15" s="2"/>
      </tp>
      <tp t="s">
        <v>#N/A N/A</v>
        <stp/>
        <stp>BDH|11740375727137442886</stp>
        <tr r="F26" s="5"/>
      </tp>
      <tp t="s">
        <v>#N/A N/A</v>
        <stp/>
        <stp>BDH|13109678782544789699</stp>
        <tr r="S12" s="9"/>
      </tp>
      <tp t="s">
        <v>#N/A N/A</v>
        <stp/>
        <stp>BDH|15980668536118263764</stp>
        <tr r="C18" s="5"/>
      </tp>
      <tp t="s">
        <v>#N/A N/A</v>
        <stp/>
        <stp>BDH|12729187430687366813</stp>
        <tr r="R14" s="6"/>
      </tp>
      <tp t="s">
        <v>#N/A N/A</v>
        <stp/>
        <stp>BDH|16690823353386832209</stp>
        <tr r="O10" s="2"/>
      </tp>
      <tp t="s">
        <v>#N/A N/A</v>
        <stp/>
        <stp>BDH|12646540683052853270</stp>
        <tr r="M20" s="6"/>
      </tp>
      <tp t="s">
        <v>#N/A N/A</v>
        <stp/>
        <stp>BDH|11794832613415572133</stp>
        <tr r="Q17" s="5"/>
      </tp>
      <tp t="s">
        <v>#N/A N/A</v>
        <stp/>
        <stp>BDH|10081347090790704620</stp>
        <tr r="R20" s="8"/>
      </tp>
      <tp t="s">
        <v>#N/A N/A</v>
        <stp/>
        <stp>BDH|11181311493330236712</stp>
        <tr r="N7" s="4"/>
      </tp>
      <tp t="s">
        <v>#N/A N/A</v>
        <stp/>
        <stp>BDH|16586176684766650505</stp>
        <tr r="S20" s="6"/>
      </tp>
      <tp t="s">
        <v>#N/A N/A</v>
        <stp/>
        <stp>BDH|15669922684538893085</stp>
        <tr r="E20" s="2"/>
      </tp>
      <tp t="s">
        <v>#N/A N/A</v>
        <stp/>
        <stp>BDH|14946420303125885900</stp>
        <tr r="T9" s="2"/>
      </tp>
      <tp t="s">
        <v>#N/A N/A</v>
        <stp/>
        <stp>BDH|13020783888476489675</stp>
        <tr r="M15" s="4"/>
      </tp>
      <tp t="s">
        <v>#N/A N/A</v>
        <stp/>
        <stp>BDH|11304807076685773718</stp>
        <tr r="U9" s="7"/>
      </tp>
      <tp t="s">
        <v>#N/A N/A</v>
        <stp/>
        <stp>BDH|12201764562978499717</stp>
        <tr r="M15" s="8"/>
      </tp>
      <tp t="s">
        <v>#N/A N/A</v>
        <stp/>
        <stp>BDH|17056436694305546314</stp>
        <tr r="E12" s="7"/>
      </tp>
      <tp t="s">
        <v>#N/A N/A</v>
        <stp/>
        <stp>BDH|16427972040494991398</stp>
        <tr r="H8" s="5"/>
      </tp>
      <tp t="s">
        <v>#N/A N/A</v>
        <stp/>
        <stp>BDH|14288036090570144123</stp>
        <tr r="J24" s="3"/>
      </tp>
      <tp t="s">
        <v>#N/A N/A</v>
        <stp/>
        <stp>BDH|18429546767687384069</stp>
        <tr r="J18" s="5"/>
      </tp>
      <tp t="s">
        <v>#N/A N/A</v>
        <stp/>
        <stp>BDH|10812895901176006221</stp>
        <tr r="E15" s="9"/>
      </tp>
      <tp t="s">
        <v>#N/A N/A</v>
        <stp/>
        <stp>BDH|12621811283526488856</stp>
        <tr r="K24" s="4"/>
      </tp>
      <tp t="s">
        <v>#N/A N/A</v>
        <stp/>
        <stp>BDH|16228114351348224658</stp>
        <tr r="V7" s="5"/>
      </tp>
      <tp t="s">
        <v>#N/A N/A</v>
        <stp/>
        <stp>BDH|16127943263451521469</stp>
        <tr r="I16" s="3"/>
      </tp>
      <tp t="s">
        <v>#N/A N/A</v>
        <stp/>
        <stp>BDH|17581026965154003972</stp>
        <tr r="F18" s="5"/>
      </tp>
      <tp t="s">
        <v>#N/A N/A</v>
        <stp/>
        <stp>BDH|15425695803117338887</stp>
        <tr r="D17" s="2"/>
      </tp>
      <tp t="s">
        <v>#N/A N/A</v>
        <stp/>
        <stp>BDH|16690563771170141859</stp>
        <tr r="C15" s="9"/>
      </tp>
      <tp t="s">
        <v>#N/A N/A</v>
        <stp/>
        <stp>BDH|13328136514789219628</stp>
        <tr r="U20" s="2"/>
      </tp>
      <tp t="s">
        <v>#N/A N/A</v>
        <stp/>
        <stp>BDH|15185264713342132814</stp>
        <tr r="M16" s="3"/>
      </tp>
      <tp t="s">
        <v>#N/A N/A</v>
        <stp/>
        <stp>BDH|15087246000689014206</stp>
        <tr r="I16" s="4"/>
      </tp>
      <tp t="s">
        <v>#N/A N/A</v>
        <stp/>
        <stp>BDH|11801412342788887570</stp>
        <tr r="I17" s="3"/>
      </tp>
      <tp t="s">
        <v>#N/A N/A</v>
        <stp/>
        <stp>BDH|14308957102591725071</stp>
        <tr r="R14" s="2"/>
      </tp>
      <tp t="s">
        <v>#N/A N/A</v>
        <stp/>
        <stp>BDH|14160406821497726936</stp>
        <tr r="G16" s="8"/>
      </tp>
      <tp t="s">
        <v>#N/A N/A</v>
        <stp/>
        <stp>BDH|12117454056638738717</stp>
        <tr r="N17" s="6"/>
      </tp>
      <tp t="s">
        <v>#N/A N/A</v>
        <stp/>
        <stp>BDH|17491451593076132043</stp>
        <tr r="N16" s="9"/>
      </tp>
      <tp t="s">
        <v>#N/A N/A</v>
        <stp/>
        <stp>BDH|18302470322836216437</stp>
        <tr r="I14" s="3"/>
      </tp>
      <tp t="s">
        <v>#N/A N/A</v>
        <stp/>
        <stp>BDH|12904601871387746881</stp>
        <tr r="L9" s="7"/>
      </tp>
      <tp t="s">
        <v>#N/A N/A</v>
        <stp/>
        <stp>BDH|13318261191294494066</stp>
        <tr r="H21" s="6"/>
      </tp>
      <tp t="s">
        <v>#N/A N/A</v>
        <stp/>
        <stp>BDH|13283480418718569215</stp>
        <tr r="C14" s="2"/>
      </tp>
      <tp t="s">
        <v>#N/A N/A</v>
        <stp/>
        <stp>BDH|16011932739407461784</stp>
        <tr r="K22" s="4"/>
      </tp>
      <tp t="s">
        <v>#N/A N/A</v>
        <stp/>
        <stp>BDH|12119003013979364681</stp>
        <tr r="U8" s="5"/>
      </tp>
      <tp t="s">
        <v>#N/A N/A</v>
        <stp/>
        <stp>BDH|16575793162519169267</stp>
        <tr r="J26" s="5"/>
      </tp>
      <tp t="s">
        <v>#N/A N/A</v>
        <stp/>
        <stp>BDH|13900287357950676880</stp>
        <tr r="S17" s="2"/>
      </tp>
      <tp t="s">
        <v>#N/A N/A</v>
        <stp/>
        <stp>BDH|13609468063008993529</stp>
        <tr r="I16" s="5"/>
      </tp>
      <tp t="s">
        <v>#N/A N/A</v>
        <stp/>
        <stp>BDH|15920151664467646961</stp>
        <tr r="O16" s="2"/>
      </tp>
      <tp t="s">
        <v>#N/A N/A</v>
        <stp/>
        <stp>BDH|15364687508407331887</stp>
        <tr r="G14" s="2"/>
      </tp>
      <tp t="s">
        <v>#N/A N/A</v>
        <stp/>
        <stp>BDH|10111835818321757468</stp>
        <tr r="T9" s="6"/>
      </tp>
      <tp t="s">
        <v>#N/A N/A</v>
        <stp/>
        <stp>BDH|10507551319230019838</stp>
        <tr r="M25" s="3"/>
      </tp>
      <tp t="s">
        <v>#N/A N/A</v>
        <stp/>
        <stp>BDH|15350863593061473982</stp>
        <tr r="V6" s="5"/>
      </tp>
      <tp t="s">
        <v>#N/A N/A</v>
        <stp/>
        <stp>BDH|12858020656433444824</stp>
        <tr r="Q9" s="6"/>
      </tp>
      <tp t="s">
        <v>#N/A N/A</v>
        <stp/>
        <stp>BDH|13682251519469603512</stp>
        <tr r="F13" s="3"/>
      </tp>
      <tp t="s">
        <v>#N/A N/A</v>
        <stp/>
        <stp>BDH|10159898350956689731</stp>
        <tr r="I7" s="6"/>
      </tp>
      <tp t="s">
        <v>#N/A N/A</v>
        <stp/>
        <stp>BDH|14713482982952783671</stp>
        <tr r="R16" s="4"/>
      </tp>
      <tp t="s">
        <v>#N/A N/A</v>
        <stp/>
        <stp>BDH|11672162636649903624</stp>
        <tr r="K15" s="2"/>
      </tp>
      <tp t="s">
        <v>#N/A N/A</v>
        <stp/>
        <stp>BDH|14261828244137011398</stp>
        <tr r="L23" s="4"/>
      </tp>
      <tp t="s">
        <v>#N/A N/A</v>
        <stp/>
        <stp>BDH|12720398034366753816</stp>
        <tr r="U17" s="3"/>
      </tp>
      <tp t="s">
        <v>#N/A N/A</v>
        <stp/>
        <stp>BDH|13067937726797112385</stp>
        <tr r="E16" s="5"/>
      </tp>
      <tp t="s">
        <v>#N/A N/A</v>
        <stp/>
        <stp>BDH|13774511528801604948</stp>
        <tr r="G20" s="5"/>
      </tp>
      <tp t="s">
        <v>#N/A N/A</v>
        <stp/>
        <stp>BDH|18158590701085142444</stp>
        <tr r="U22" s="3"/>
      </tp>
      <tp t="s">
        <v>#N/A N/A</v>
        <stp/>
        <stp>BDH|10351239858453730807</stp>
        <tr r="D24" s="2"/>
      </tp>
      <tp t="s">
        <v>#N/A N/A</v>
        <stp/>
        <stp>BDH|10061978835795482390</stp>
        <tr r="P11" s="7"/>
      </tp>
      <tp t="s">
        <v>#N/A N/A</v>
        <stp/>
        <stp>BDH|15798469721067618896</stp>
        <tr r="J22" s="3"/>
      </tp>
      <tp t="s">
        <v>#N/A N/A</v>
        <stp/>
        <stp>BDH|14245514483892878779</stp>
        <tr r="J7" s="4"/>
      </tp>
      <tp t="s">
        <v>#N/A N/A</v>
        <stp/>
        <stp>BDH|14684506889680474549</stp>
        <tr r="C21" s="6"/>
      </tp>
      <tp t="s">
        <v>#N/A N/A</v>
        <stp/>
        <stp>BDH|14029188326083112816</stp>
        <tr r="C9" s="8"/>
      </tp>
      <tp t="s">
        <v>#N/A N/A</v>
        <stp/>
        <stp>BDH|14620593955131273964</stp>
        <tr r="O14" s="8"/>
      </tp>
      <tp t="s">
        <v>#N/A N/A</v>
        <stp/>
        <stp>BDH|16836006194073222005</stp>
        <tr r="G23" s="2"/>
      </tp>
      <tp t="s">
        <v>#N/A N/A</v>
        <stp/>
        <stp>BDH|10309490790706776731</stp>
        <tr r="I14" s="2"/>
      </tp>
      <tp t="s">
        <v>#N/A N/A</v>
        <stp/>
        <stp>BDH|12281945118510114619</stp>
        <tr r="O13" s="7"/>
      </tp>
      <tp t="s">
        <v>#N/A N/A</v>
        <stp/>
        <stp>BDH|15840639278721559870</stp>
        <tr r="R13" s="5"/>
      </tp>
      <tp t="s">
        <v>#N/A N/A</v>
        <stp/>
        <stp>BDH|10491602614589400353</stp>
        <tr r="D11" s="7"/>
      </tp>
      <tp t="s">
        <v>#N/A N/A</v>
        <stp/>
        <stp>BDH|12668997088037343955</stp>
        <tr r="P16" s="5"/>
      </tp>
      <tp t="s">
        <v>#N/A N/A</v>
        <stp/>
        <stp>BDH|12555941277907108676</stp>
        <tr r="J7" s="6"/>
      </tp>
      <tp t="s">
        <v>#N/A N/A</v>
        <stp/>
        <stp>BDH|15979498280576002200</stp>
        <tr r="L19" s="4"/>
      </tp>
      <tp t="s">
        <v>#N/A N/A</v>
        <stp/>
        <stp>BDH|13500831228404845062</stp>
        <tr r="L21" s="6"/>
      </tp>
      <tp t="s">
        <v>#N/A N/A</v>
        <stp/>
        <stp>BDH|10760603129289982045</stp>
        <tr r="S8" s="4"/>
      </tp>
      <tp t="s">
        <v>#N/A N/A</v>
        <stp/>
        <stp>BDH|16832399042629583558</stp>
        <tr r="U20" s="5"/>
      </tp>
      <tp t="s">
        <v>#N/A N/A</v>
        <stp/>
        <stp>BDH|13360975688098874762</stp>
        <tr r="L18" s="4"/>
      </tp>
      <tp t="s">
        <v>#N/A N/A</v>
        <stp/>
        <stp>BDH|11386324515888408621</stp>
        <tr r="T7" s="8"/>
      </tp>
      <tp t="s">
        <v>#N/A N/A</v>
        <stp/>
        <stp>BDH|12901330783901768592</stp>
        <tr r="F13" s="5"/>
      </tp>
      <tp t="s">
        <v>#N/A N/A</v>
        <stp/>
        <stp>BDH|12704623087544797522</stp>
        <tr r="J21" s="3"/>
      </tp>
      <tp t="s">
        <v>#N/A N/A</v>
        <stp/>
        <stp>BDH|18264687007876298587</stp>
        <tr r="T21" s="5"/>
      </tp>
      <tp t="s">
        <v>#N/A N/A</v>
        <stp/>
        <stp>BDH|12188673535498439215</stp>
        <tr r="H7" s="6"/>
      </tp>
      <tp t="s">
        <v>#N/A N/A</v>
        <stp/>
        <stp>BDH|18136735034864700577</stp>
        <tr r="K8" s="5"/>
      </tp>
      <tp t="s">
        <v>#N/A N/A</v>
        <stp/>
        <stp>BDH|10255216686473199426</stp>
        <tr r="I20" s="5"/>
      </tp>
      <tp t="s">
        <v>#N/A N/A</v>
        <stp/>
        <stp>BDH|12088995412394451397</stp>
        <tr r="K24" s="2"/>
      </tp>
      <tp t="s">
        <v>#N/A N/A</v>
        <stp/>
        <stp>BDH|10659223536219303576</stp>
        <tr r="S22" s="8"/>
      </tp>
      <tp t="s">
        <v>#N/A N/A</v>
        <stp/>
        <stp>BDH|15803654662469936101</stp>
        <tr r="K25" s="3"/>
      </tp>
      <tp t="s">
        <v>#N/A N/A</v>
        <stp/>
        <stp>BDH|11370433180029645902</stp>
        <tr r="T13" s="6"/>
      </tp>
      <tp t="s">
        <v>#N/A N/A</v>
        <stp/>
        <stp>BDH|13200834873301770031</stp>
        <tr r="D15" s="4"/>
      </tp>
      <tp t="s">
        <v>#N/A N/A</v>
        <stp/>
        <stp>BDH|11309717125378687189</stp>
        <tr r="R17" s="3"/>
      </tp>
      <tp t="s">
        <v>#N/A N/A</v>
        <stp/>
        <stp>BDH|11828107284492539706</stp>
        <tr r="E15" s="4"/>
      </tp>
      <tp t="s">
        <v>#N/A N/A</v>
        <stp/>
        <stp>BDH|16785070004818504384</stp>
        <tr r="I25" s="2"/>
      </tp>
      <tp t="s">
        <v>#N/A N/A</v>
        <stp/>
        <stp>BDH|17878311363497539871</stp>
        <tr r="E9" s="7"/>
      </tp>
      <tp t="s">
        <v>#N/A N/A</v>
        <stp/>
        <stp>BDH|14114851815881318186</stp>
        <tr r="K15" s="6"/>
      </tp>
      <tp t="s">
        <v>#N/A N/A</v>
        <stp/>
        <stp>BDH|18079066344831012085</stp>
        <tr r="Q14" s="6"/>
      </tp>
      <tp t="s">
        <v>#N/A N/A</v>
        <stp/>
        <stp>BDH|16865183966595462984</stp>
        <tr r="F17" s="7"/>
      </tp>
      <tp t="s">
        <v>#N/A N/A</v>
        <stp/>
        <stp>BDH|12042897947057515415</stp>
        <tr r="F14" s="5"/>
      </tp>
      <tp t="s">
        <v>#N/A N/A</v>
        <stp/>
        <stp>BDH|13904135510479719776</stp>
        <tr r="R12" s="7"/>
      </tp>
      <tp t="s">
        <v>#N/A N/A</v>
        <stp/>
        <stp>BDH|11430241770288906134</stp>
        <tr r="O12" s="3"/>
      </tp>
      <tp t="s">
        <v>#N/A N/A</v>
        <stp/>
        <stp>BDH|10317027503045603898</stp>
        <tr r="T9" s="9"/>
      </tp>
      <tp t="s">
        <v>#N/A N/A</v>
        <stp/>
        <stp>BDH|11068887628822915444</stp>
        <tr r="N12" s="7"/>
      </tp>
      <tp t="s">
        <v>#N/A N/A</v>
        <stp/>
        <stp>BDH|13149155745398583396</stp>
        <tr r="V13" s="5"/>
      </tp>
      <tp t="s">
        <v>#N/A N/A</v>
        <stp/>
        <stp>BDH|16541567527805969914</stp>
        <tr r="R13" s="3"/>
      </tp>
      <tp t="s">
        <v>#N/A N/A</v>
        <stp/>
        <stp>BDH|15608249727019028192</stp>
        <tr r="V25" s="5"/>
      </tp>
      <tp t="s">
        <v>#N/A N/A</v>
        <stp/>
        <stp>BDH|17680947042121582698</stp>
        <tr r="F14" s="6"/>
      </tp>
      <tp t="s">
        <v>#N/A N/A</v>
        <stp/>
        <stp>BDH|17944787893131959575</stp>
        <tr r="T10" s="2"/>
      </tp>
      <tp t="s">
        <v>#N/A N/A</v>
        <stp/>
        <stp>BDH|16806601098181583599</stp>
        <tr r="E10" s="5"/>
      </tp>
      <tp t="s">
        <v>#N/A N/A</v>
        <stp/>
        <stp>BDH|17470849707207811502</stp>
        <tr r="S24" s="5"/>
      </tp>
      <tp t="s">
        <v>#N/A N/A</v>
        <stp/>
        <stp>BDH|10637611979778647475</stp>
        <tr r="R10" s="5"/>
      </tp>
      <tp t="s">
        <v>#N/A N/A</v>
        <stp/>
        <stp>BDH|10673030268002419962</stp>
        <tr r="O26" s="5"/>
      </tp>
      <tp t="s">
        <v>#N/A N/A</v>
        <stp/>
        <stp>BDH|15749046370898458790</stp>
        <tr r="F14" s="8"/>
      </tp>
      <tp t="s">
        <v>#N/A N/A</v>
        <stp/>
        <stp>BDH|14314911349605659133</stp>
        <tr r="F24" s="4"/>
      </tp>
      <tp t="s">
        <v>#N/A N/A</v>
        <stp/>
        <stp>BDH|14995765172880534967</stp>
        <tr r="P8" s="5"/>
      </tp>
      <tp t="s">
        <v>#N/A N/A</v>
        <stp/>
        <stp>BDH|12708730222599957317</stp>
        <tr r="Q12" s="6"/>
      </tp>
      <tp t="s">
        <v>#N/A N/A</v>
        <stp/>
        <stp>BDH|15566637357052623996</stp>
        <tr r="C22" s="5"/>
      </tp>
      <tp t="s">
        <v>#N/A N/A</v>
        <stp/>
        <stp>BDH|14922566539445492537</stp>
        <tr r="S25" s="2"/>
      </tp>
      <tp t="s">
        <v>#N/A N/A</v>
        <stp/>
        <stp>BDH|10297115153723916588</stp>
        <tr r="Q22" s="4"/>
      </tp>
      <tp t="s">
        <v>#N/A N/A</v>
        <stp/>
        <stp>BDH|10134794539640749675</stp>
        <tr r="P7" s="4"/>
      </tp>
      <tp t="s">
        <v>#N/A N/A</v>
        <stp/>
        <stp>BDH|18317926044040509717</stp>
        <tr r="P16" s="4"/>
      </tp>
      <tp t="s">
        <v>#N/A N/A</v>
        <stp/>
        <stp>BDH|12249129596319207159</stp>
        <tr r="E14" s="5"/>
      </tp>
      <tp t="s">
        <v>#N/A N/A</v>
        <stp/>
        <stp>BDH|11893598011095602274</stp>
        <tr r="D18" s="5"/>
      </tp>
      <tp t="s">
        <v>#N/A N/A</v>
        <stp/>
        <stp>BDH|13056414522774322311</stp>
        <tr r="D8" s="6"/>
      </tp>
      <tp t="s">
        <v>#N/A N/A</v>
        <stp/>
        <stp>BDH|17941589863786263006</stp>
        <tr r="Q13" s="6"/>
      </tp>
      <tp t="s">
        <v>#N/A N/A</v>
        <stp/>
        <stp>BDH|11203652375660286204</stp>
        <tr r="E11" s="7"/>
      </tp>
      <tp t="s">
        <v>#N/A N/A</v>
        <stp/>
        <stp>BDH|17910517233162883130</stp>
        <tr r="R21" s="6"/>
      </tp>
      <tp t="s">
        <v>#N/A N/A</v>
        <stp/>
        <stp>BDH|14454917482873232458</stp>
        <tr r="P16" s="7"/>
      </tp>
      <tp t="s">
        <v>#N/A N/A</v>
        <stp/>
        <stp>BDH|11126820614018569222</stp>
        <tr r="J24" s="5"/>
      </tp>
      <tp t="s">
        <v>#N/A N/A</v>
        <stp/>
        <stp>BDH|10012164781468690326</stp>
        <tr r="K7" s="4"/>
      </tp>
      <tp t="s">
        <v>#N/A N/A</v>
        <stp/>
        <stp>BDH|16771162530210136635</stp>
        <tr r="R12" s="3"/>
      </tp>
      <tp t="s">
        <v>#N/A N/A</v>
        <stp/>
        <stp>BDH|14985194343183218028</stp>
        <tr r="D15" s="9"/>
      </tp>
      <tp t="s">
        <v>#N/A N/A</v>
        <stp/>
        <stp>BDH|11015589649733133126</stp>
        <tr r="G16" s="9"/>
      </tp>
      <tp t="s">
        <v>#N/A N/A</v>
        <stp/>
        <stp>BDH|14795823712009003655</stp>
        <tr r="K8" s="6"/>
      </tp>
      <tp t="s">
        <v>#N/A N/A</v>
        <stp/>
        <stp>BDH|14494652253723362637</stp>
        <tr r="C17" s="2"/>
      </tp>
      <tp t="s">
        <v>#N/A N/A</v>
        <stp/>
        <stp>BDH|10602547430541631560</stp>
        <tr r="E6" s="3"/>
      </tp>
      <tp t="s">
        <v>#N/A N/A</v>
        <stp/>
        <stp>BDH|13548306143974567219</stp>
        <tr r="N15" s="8"/>
      </tp>
      <tp t="s">
        <v>#N/A N/A</v>
        <stp/>
        <stp>BDH|15612873907867614858</stp>
        <tr r="F12" s="9"/>
      </tp>
      <tp t="s">
        <v>#N/A N/A</v>
        <stp/>
        <stp>BDH|15935950685275967354</stp>
        <tr r="U26" s="3"/>
      </tp>
      <tp t="s">
        <v>#N/A N/A</v>
        <stp/>
        <stp>BDH|10201238702890164074</stp>
        <tr r="O18" s="5"/>
      </tp>
      <tp t="s">
        <v>#N/A N/A</v>
        <stp/>
        <stp>BDH|12291098448171518531</stp>
        <tr r="Q20" s="3"/>
      </tp>
      <tp t="s">
        <v>#N/A N/A</v>
        <stp/>
        <stp>BDH|16776612139783246281</stp>
        <tr r="M13" s="2"/>
      </tp>
      <tp t="s">
        <v>#N/A N/A</v>
        <stp/>
        <stp>BDH|11111000518150919248</stp>
        <tr r="H22" s="6"/>
      </tp>
      <tp t="s">
        <v>#N/A N/A</v>
        <stp/>
        <stp>BDH|18068054333281088826</stp>
        <tr r="F21" s="5"/>
      </tp>
      <tp t="s">
        <v>#N/A N/A</v>
        <stp/>
        <stp>BDH|12010741820860078502</stp>
        <tr r="M22" s="4"/>
      </tp>
      <tp t="s">
        <v>#N/A N/A</v>
        <stp/>
        <stp>BDH|10013927580186250541</stp>
        <tr r="U21" s="5"/>
      </tp>
      <tp t="s">
        <v>#N/A N/A</v>
        <stp/>
        <stp>BDH|16829930809715675803</stp>
        <tr r="R15" s="9"/>
      </tp>
      <tp t="s">
        <v>#N/A N/A</v>
        <stp/>
        <stp>BDH|14758673470387704032</stp>
        <tr r="G7" s="7"/>
      </tp>
      <tp t="s">
        <v>#N/A N/A</v>
        <stp/>
        <stp>BDH|15672081784378956776</stp>
        <tr r="J6" s="5"/>
      </tp>
      <tp t="s">
        <v>#N/A N/A</v>
        <stp/>
        <stp>BDH|14900024379513614206</stp>
        <tr r="M17" s="5"/>
      </tp>
      <tp t="s">
        <v>#N/A N/A</v>
        <stp/>
        <stp>BDH|18266958557115086343</stp>
        <tr r="K17" s="7"/>
      </tp>
      <tp t="s">
        <v>#N/A N/A</v>
        <stp/>
        <stp>BDH|14022890079701650824</stp>
        <tr r="M8" s="2"/>
      </tp>
      <tp t="s">
        <v>#N/A N/A</v>
        <stp/>
        <stp>BDH|17365903364228193217</stp>
        <tr r="S16" s="3"/>
      </tp>
      <tp t="s">
        <v>#N/A N/A</v>
        <stp/>
        <stp>BDH|16827954266412985955</stp>
        <tr r="T8" s="9"/>
      </tp>
      <tp t="s">
        <v>#N/A N/A</v>
        <stp/>
        <stp>BDH|17088658945363564428</stp>
        <tr r="S14" s="8"/>
      </tp>
      <tp t="s">
        <v>#N/A N/A</v>
        <stp/>
        <stp>BDH|12177955085813411228</stp>
        <tr r="N20" s="8"/>
      </tp>
      <tp t="s">
        <v>#N/A N/A</v>
        <stp/>
        <stp>BDH|13000991553248500581</stp>
        <tr r="S22" s="4"/>
      </tp>
      <tp t="s">
        <v>#N/A N/A</v>
        <stp/>
        <stp>BDH|10192346234502086065</stp>
        <tr r="N12" s="9"/>
      </tp>
      <tp t="s">
        <v>#N/A N/A</v>
        <stp/>
        <stp>BDH|12589204892993353836</stp>
        <tr r="I7" s="2"/>
      </tp>
      <tp t="s">
        <v>#N/A N/A</v>
        <stp/>
        <stp>BDH|13148200611025306741</stp>
        <tr r="G22" s="4"/>
      </tp>
      <tp t="s">
        <v>#N/A N/A</v>
        <stp/>
        <stp>BDH|14834814524008877424</stp>
        <tr r="I13" s="5"/>
      </tp>
      <tp t="s">
        <v>#N/A N/A</v>
        <stp/>
        <stp>BDH|11439530205544496201</stp>
        <tr r="D20" s="8"/>
      </tp>
      <tp t="s">
        <v>#N/A N/A</v>
        <stp/>
        <stp>BDH|13978709609897754117</stp>
        <tr r="T24" s="3"/>
      </tp>
      <tp t="s">
        <v>#N/A N/A</v>
        <stp/>
        <stp>BDH|15316122001415140388</stp>
        <tr r="T17" s="3"/>
      </tp>
      <tp t="s">
        <v>#N/A N/A</v>
        <stp/>
        <stp>BDH|16245587834522794007</stp>
        <tr r="V23" s="2"/>
      </tp>
      <tp t="s">
        <v>#N/A N/A</v>
        <stp/>
        <stp>BDH|11115030750951936723</stp>
        <tr r="D17" s="4"/>
      </tp>
      <tp t="s">
        <v>#N/A N/A</v>
        <stp/>
        <stp>BDH|17858170176647151419</stp>
        <tr r="T28" s="5"/>
      </tp>
      <tp t="s">
        <v>#N/A N/A</v>
        <stp/>
        <stp>BDH|10984791307371653480</stp>
        <tr r="L20" s="6"/>
      </tp>
      <tp t="s">
        <v>#N/A N/A</v>
        <stp/>
        <stp>BDH|13687733271459849855</stp>
        <tr r="I10" s="3"/>
      </tp>
      <tp t="s">
        <v>#N/A N/A</v>
        <stp/>
        <stp>BDH|15536198135372959793</stp>
        <tr r="U12" s="3"/>
      </tp>
      <tp t="s">
        <v>#N/A N/A</v>
        <stp/>
        <stp>BDH|12755560941341098092</stp>
        <tr r="S9" s="2"/>
      </tp>
      <tp t="s">
        <v>#N/A N/A</v>
        <stp/>
        <stp>BDH|15209236142184859524</stp>
        <tr r="P9" s="9"/>
      </tp>
      <tp t="s">
        <v>#N/A N/A</v>
        <stp/>
        <stp>BDH|16036653779615275074</stp>
        <tr r="K17" s="9"/>
      </tp>
      <tp t="s">
        <v>#N/A N/A</v>
        <stp/>
        <stp>BDH|16588229860723716389</stp>
        <tr r="P22" s="6"/>
      </tp>
      <tp t="s">
        <v>#N/A N/A</v>
        <stp/>
        <stp>BDH|10198420277336476780</stp>
        <tr r="F10" s="5"/>
      </tp>
      <tp t="s">
        <v>#N/A N/A</v>
        <stp/>
        <stp>BDH|16127588706657691618</stp>
        <tr r="E20" s="3"/>
      </tp>
      <tp t="s">
        <v>#N/A N/A</v>
        <stp/>
        <stp>BDH|16646344538955517179</stp>
        <tr r="O6" s="3"/>
      </tp>
      <tp t="s">
        <v>#N/A N/A</v>
        <stp/>
        <stp>BDH|16817252827477408366</stp>
        <tr r="M13" s="9"/>
      </tp>
      <tp t="s">
        <v>#N/A N/A</v>
        <stp/>
        <stp>BDH|16129720548386215110</stp>
        <tr r="V24" s="3"/>
      </tp>
      <tp t="s">
        <v>#N/A N/A</v>
        <stp/>
        <stp>BDH|17826625467926123349</stp>
        <tr r="S17" s="5"/>
      </tp>
      <tp t="s">
        <v>#N/A N/A</v>
        <stp/>
        <stp>BDH|14909509094299768311</stp>
        <tr r="R23" s="2"/>
      </tp>
      <tp t="s">
        <v>#N/A N/A</v>
        <stp/>
        <stp>BDH|17652161739684479367</stp>
        <tr r="G8" s="5"/>
      </tp>
      <tp t="s">
        <v>#N/A N/A</v>
        <stp/>
        <stp>BDH|16477554824325903670</stp>
        <tr r="T22" s="5"/>
      </tp>
      <tp t="s">
        <v>#N/A N/A</v>
        <stp/>
        <stp>BDH|10298439337866907354</stp>
        <tr r="L21" s="3"/>
      </tp>
      <tp t="s">
        <v>#N/A N/A</v>
        <stp/>
        <stp>BDH|14908715848394820121</stp>
        <tr r="O15" s="8"/>
      </tp>
      <tp t="s">
        <v>#N/A N/A</v>
        <stp/>
        <stp>BDH|14188616417433317290</stp>
        <tr r="M17" s="2"/>
      </tp>
      <tp t="s">
        <v>#N/A N/A</v>
        <stp/>
        <stp>BDH|14552032566937972742</stp>
        <tr r="H14" s="5"/>
      </tp>
      <tp t="s">
        <v>#N/A N/A</v>
        <stp/>
        <stp>BDH|13205198384460762857</stp>
        <tr r="O21" s="3"/>
      </tp>
      <tp t="s">
        <v>#N/A N/A</v>
        <stp/>
        <stp>BDH|10345165396593914972</stp>
        <tr r="I7" s="9"/>
      </tp>
      <tp t="s">
        <v>#N/A N/A</v>
        <stp/>
        <stp>BDH|10235119212967808547</stp>
        <tr r="R9" s="9"/>
      </tp>
      <tp t="s">
        <v>#N/A N/A</v>
        <stp/>
        <stp>BDH|13150528810114603188</stp>
        <tr r="J14" s="6"/>
      </tp>
      <tp t="s">
        <v>#N/A N/A</v>
        <stp/>
        <stp>BDH|15599191355352534102</stp>
        <tr r="P23" s="4"/>
      </tp>
      <tp t="s">
        <v>#N/A N/A</v>
        <stp/>
        <stp>BDH|14036746937251640399</stp>
        <tr r="I8" s="8"/>
      </tp>
      <tp t="s">
        <v>#N/A N/A</v>
        <stp/>
        <stp>BDH|12859459734411493612</stp>
        <tr r="D13" s="5"/>
      </tp>
      <tp t="s">
        <v>#N/A N/A</v>
        <stp/>
        <stp>BDH|11452482071349572940</stp>
        <tr r="K8" s="8"/>
      </tp>
      <tp t="s">
        <v>#N/A N/A</v>
        <stp/>
        <stp>BDH|15645505638108619941</stp>
        <tr r="J9" s="6"/>
      </tp>
      <tp t="s">
        <v>#N/A N/A</v>
        <stp/>
        <stp>BDH|12948609294557099815</stp>
        <tr r="C17" s="8"/>
      </tp>
      <tp t="s">
        <v>#N/A N/A</v>
        <stp/>
        <stp>BDH|15703341698735533816</stp>
        <tr r="N18" s="4"/>
      </tp>
      <tp t="s">
        <v>#N/A N/A</v>
        <stp/>
        <stp>BDH|13248377278765171033</stp>
        <tr r="O20" s="3"/>
      </tp>
      <tp t="s">
        <v>#N/A N/A</v>
        <stp/>
        <stp>BDH|14606502649197410042</stp>
        <tr r="K25" s="5"/>
      </tp>
      <tp t="s">
        <v>#N/A N/A</v>
        <stp/>
        <stp>BDH|10254743631183900511</stp>
        <tr r="D13" s="4"/>
      </tp>
      <tp t="s">
        <v>#N/A N/A</v>
        <stp/>
        <stp>BDH|15201426800307764487</stp>
        <tr r="V8" s="2"/>
      </tp>
      <tp t="s">
        <v>#N/A N/A</v>
        <stp/>
        <stp>BDH|15710161845484996629</stp>
        <tr r="K7" s="9"/>
      </tp>
      <tp t="s">
        <v>#N/A N/A</v>
        <stp/>
        <stp>BDH|13622713118672689579</stp>
        <tr r="S21" s="6"/>
      </tp>
      <tp t="s">
        <v>#N/A N/A</v>
        <stp/>
        <stp>BDH|17730992996251999503</stp>
        <tr r="F9" s="8"/>
      </tp>
      <tp t="s">
        <v>#N/A N/A</v>
        <stp/>
        <stp>BDH|17115355375488387830</stp>
        <tr r="J17" s="7"/>
      </tp>
      <tp t="s">
        <v>#N/A N/A</v>
        <stp/>
        <stp>BDH|14605371055047377663</stp>
        <tr r="K12" s="3"/>
      </tp>
      <tp t="s">
        <v>#N/A N/A</v>
        <stp/>
        <stp>BDH|11782052581753367900</stp>
        <tr r="C8" s="2"/>
      </tp>
      <tp t="s">
        <v>#N/A N/A</v>
        <stp/>
        <stp>BDH|13233435536761583627</stp>
        <tr r="J20" s="2"/>
      </tp>
      <tp t="s">
        <v>#N/A N/A</v>
        <stp/>
        <stp>BDH|16045243587568237713</stp>
        <tr r="M13" s="3"/>
      </tp>
      <tp t="s">
        <v>#N/A N/A</v>
        <stp/>
        <stp>BDH|15980742278512794427</stp>
        <tr r="C9" s="4"/>
      </tp>
      <tp t="s">
        <v>#N/A N/A</v>
        <stp/>
        <stp>BDH|17495959593147378312</stp>
        <tr r="M20" s="5"/>
      </tp>
      <tp t="s">
        <v>#N/A N/A</v>
        <stp/>
        <stp>BDH|13620970586539667828</stp>
        <tr r="U13" s="4"/>
      </tp>
      <tp t="s">
        <v>#N/A N/A</v>
        <stp/>
        <stp>BDH|16627836274393454965</stp>
        <tr r="I8" s="5"/>
      </tp>
      <tp t="s">
        <v>#N/A N/A</v>
        <stp/>
        <stp>BDH|15095821082412142432</stp>
        <tr r="M7" s="6"/>
      </tp>
      <tp t="s">
        <v>#N/A N/A</v>
        <stp/>
        <stp>BDH|14790905988302822452</stp>
        <tr r="R13" s="9"/>
      </tp>
      <tp t="s">
        <v>#N/A N/A</v>
        <stp/>
        <stp>BDH|16631616041733147450</stp>
        <tr r="E8" s="5"/>
      </tp>
      <tp t="s">
        <v>#N/A N/A</v>
        <stp/>
        <stp>BDH|16523740528398941852</stp>
        <tr r="I13" s="8"/>
      </tp>
      <tp t="s">
        <v>#N/A N/A</v>
        <stp/>
        <stp>BDH|12175603198129549794</stp>
        <tr r="K16" s="4"/>
      </tp>
      <tp t="s">
        <v>#N/A N/A</v>
        <stp/>
        <stp>BDH|12746612382796086901</stp>
        <tr r="E17" s="4"/>
      </tp>
      <tp t="s">
        <v>#N/A N/A</v>
        <stp/>
        <stp>BDH|18312470081831163601</stp>
        <tr r="M16" s="6"/>
      </tp>
      <tp t="s">
        <v>#N/A N/A</v>
        <stp/>
        <stp>BDH|17504722163151990497</stp>
        <tr r="M28" s="5"/>
      </tp>
      <tp t="s">
        <v>#N/A N/A</v>
        <stp/>
        <stp>BDH|12150350646705431323</stp>
        <tr r="D9" s="3"/>
      </tp>
      <tp t="s">
        <v>#N/A N/A</v>
        <stp/>
        <stp>BDH|12442099770585069399</stp>
        <tr r="C8" s="6"/>
      </tp>
      <tp t="s">
        <v>#N/A N/A</v>
        <stp/>
        <stp>BDH|18119825335290546076</stp>
        <tr r="N13" s="6"/>
      </tp>
      <tp t="s">
        <v>#N/A N/A</v>
        <stp/>
        <stp>BDH|17519571655272487641</stp>
        <tr r="L25" s="5"/>
      </tp>
      <tp t="s">
        <v>#N/A N/A</v>
        <stp/>
        <stp>BDH|10883629545688980916</stp>
        <tr r="C12" s="7"/>
      </tp>
      <tp t="s">
        <v>#N/A N/A</v>
        <stp/>
        <stp>BDH|18371196478964709928</stp>
        <tr r="G22" s="6"/>
      </tp>
      <tp t="s">
        <v>#N/A N/A</v>
        <stp/>
        <stp>BDH|15012463408727968506</stp>
        <tr r="I17" s="8"/>
      </tp>
      <tp t="s">
        <v>#N/A N/A</v>
        <stp/>
        <stp>BDH|17593656554285163235</stp>
        <tr r="V8" s="4"/>
      </tp>
      <tp t="s">
        <v>#N/A N/A</v>
        <stp/>
        <stp>BDH|11307342851157300334</stp>
        <tr r="C14" s="3"/>
      </tp>
      <tp t="s">
        <v>#N/A N/A</v>
        <stp/>
        <stp>BDH|10231080240542253519</stp>
        <tr r="J21" s="8"/>
      </tp>
      <tp t="s">
        <v>#N/A N/A</v>
        <stp/>
        <stp>BDH|15313142069043773205</stp>
        <tr r="I10" s="5"/>
      </tp>
      <tp t="s">
        <v>#N/A N/A</v>
        <stp/>
        <stp>BDH|17291288647591303374</stp>
        <tr r="V8" s="3"/>
      </tp>
      <tp t="s">
        <v>#N/A N/A</v>
        <stp/>
        <stp>BDH|10500656088789235435</stp>
        <tr r="J13" s="5"/>
      </tp>
      <tp t="s">
        <v>#N/A N/A</v>
        <stp/>
        <stp>BDH|17425185431370422610</stp>
        <tr r="O16" s="7"/>
      </tp>
      <tp t="s">
        <v>#N/A N/A</v>
        <stp/>
        <stp>BDH|16021586968296901010</stp>
        <tr r="O8" s="8"/>
      </tp>
      <tp t="s">
        <v>#N/A N/A</v>
        <stp/>
        <stp>BDH|10945039502025300607</stp>
        <tr r="N16" s="6"/>
      </tp>
      <tp t="s">
        <v>#N/A N/A</v>
        <stp/>
        <stp>BDH|11455077525926541688</stp>
        <tr r="M17" s="3"/>
      </tp>
      <tp t="s">
        <v>#N/A N/A</v>
        <stp/>
        <stp>BDH|10775631515876986233</stp>
        <tr r="P21" s="8"/>
      </tp>
      <tp t="s">
        <v>#N/A N/A</v>
        <stp/>
        <stp>BDH|14632840831184910809</stp>
        <tr r="Q17" s="6"/>
      </tp>
      <tp t="s">
        <v>#N/A N/A</v>
        <stp/>
        <stp>BDH|18269835341307366098</stp>
        <tr r="S12" s="6"/>
      </tp>
      <tp t="s">
        <v>#N/A N/A</v>
        <stp/>
        <stp>BDH|17805639057621192671</stp>
        <tr r="T16" s="3"/>
      </tp>
      <tp t="s">
        <v>#N/A N/A</v>
        <stp/>
        <stp>BDH|13457286627342080263</stp>
        <tr r="R17" s="9"/>
      </tp>
      <tp t="s">
        <v>#N/A N/A</v>
        <stp/>
        <stp>BDH|13422639113114055390</stp>
        <tr r="O16" s="3"/>
      </tp>
      <tp t="s">
        <v>#N/A N/A</v>
        <stp/>
        <stp>BDH|13971317837208765856</stp>
        <tr r="E7" s="8"/>
      </tp>
      <tp t="s">
        <v>#N/A N/A</v>
        <stp/>
        <stp>BDH|10536552665891057194</stp>
        <tr r="I13" s="9"/>
      </tp>
      <tp t="s">
        <v>#N/A N/A</v>
        <stp/>
        <stp>BDH|12147745126932818676</stp>
        <tr r="K7" s="5"/>
      </tp>
      <tp t="s">
        <v>#N/A N/A</v>
        <stp/>
        <stp>BDH|16805478805955171478</stp>
        <tr r="N17" s="2"/>
      </tp>
      <tp t="s">
        <v>#N/A N/A</v>
        <stp/>
        <stp>BDH|10404216270961836711</stp>
        <tr r="D12" s="9"/>
      </tp>
      <tp t="s">
        <v>#N/A N/A</v>
        <stp/>
        <stp>BDH|13068690049635781781</stp>
        <tr r="T9" s="8"/>
      </tp>
      <tp t="s">
        <v>#N/A N/A</v>
        <stp/>
        <stp>BDH|15568255901712726688</stp>
        <tr r="U22" s="6"/>
      </tp>
      <tp t="s">
        <v>#N/A N/A</v>
        <stp/>
        <stp>BDH|15410491142440968681</stp>
        <tr r="R17" s="7"/>
      </tp>
      <tp t="s">
        <v>#N/A N/A</v>
        <stp/>
        <stp>BDH|18434834055544470284</stp>
        <tr r="M8" s="3"/>
      </tp>
      <tp t="s">
        <v>#N/A N/A</v>
        <stp/>
        <stp>BDH|10251691849055112729</stp>
        <tr r="F15" s="4"/>
      </tp>
      <tp t="s">
        <v>#N/A N/A</v>
        <stp/>
        <stp>BDH|17785006330263382757</stp>
        <tr r="F7" s="7"/>
      </tp>
      <tp t="s">
        <v>#N/A N/A</v>
        <stp/>
        <stp>BDH|13395164530536636729</stp>
        <tr r="J15" s="6"/>
      </tp>
      <tp t="s">
        <v>#N/A N/A</v>
        <stp/>
        <stp>BDH|10995754030827812351</stp>
        <tr r="M9" s="9"/>
      </tp>
      <tp t="s">
        <v>#N/A N/A</v>
        <stp/>
        <stp>BDH|12370580970712365292</stp>
        <tr r="K20" s="3"/>
      </tp>
      <tp t="s">
        <v>#N/A N/A</v>
        <stp/>
        <stp>BDH|17430819014017497959</stp>
        <tr r="R10" s="4"/>
      </tp>
      <tp t="s">
        <v>#N/A N/A</v>
        <stp/>
        <stp>BDH|11677759968454877435</stp>
        <tr r="E22" s="6"/>
      </tp>
      <tp t="s">
        <v>#N/A N/A</v>
        <stp/>
        <stp>BDH|13540623865257512476</stp>
        <tr r="I12" s="5"/>
      </tp>
      <tp t="s">
        <v>#N/A N/A</v>
        <stp/>
        <stp>BDH|17847653298828490012</stp>
        <tr r="K22" s="8"/>
      </tp>
      <tp t="s">
        <v>#N/A N/A</v>
        <stp/>
        <stp>BDH|10872542469815258641</stp>
        <tr r="M16" s="8"/>
      </tp>
      <tp t="s">
        <v>#N/A N/A</v>
        <stp/>
        <stp>BDH|15614318142167519535</stp>
        <tr r="G11" s="7"/>
      </tp>
      <tp t="s">
        <v>#N/A N/A</v>
        <stp/>
        <stp>BDH|16447183260851734080</stp>
        <tr r="I11" s="9"/>
      </tp>
      <tp t="s">
        <v>#N/A N/A</v>
        <stp/>
        <stp>BDH|16566413861161643503</stp>
        <tr r="P9" s="2"/>
      </tp>
      <tp t="s">
        <v>#N/A N/A</v>
        <stp/>
        <stp>BDH|11681496070166551499</stp>
        <tr r="K25" s="2"/>
      </tp>
      <tp t="s">
        <v>#N/A N/A</v>
        <stp/>
        <stp>BDH|17466137285089310726</stp>
        <tr r="D7" s="4"/>
      </tp>
      <tp t="s">
        <v>#N/A N/A</v>
        <stp/>
        <stp>BDH|16985954821975631880</stp>
        <tr r="C16" s="9"/>
      </tp>
      <tp t="s">
        <v>#N/A N/A</v>
        <stp/>
        <stp>BDH|14572257963002772268</stp>
        <tr r="O16" s="9"/>
      </tp>
      <tp t="s">
        <v>#N/A N/A</v>
        <stp/>
        <stp>BDH|10416138726951788244</stp>
        <tr r="E18" s="3"/>
      </tp>
      <tp t="s">
        <v>#N/A N/A</v>
        <stp/>
        <stp>BDH|11282352870457426210</stp>
        <tr r="K16" s="9"/>
      </tp>
      <tp t="s">
        <v>#N/A N/A</v>
        <stp/>
        <stp>BDH|12225392978311137702</stp>
        <tr r="V10" s="4"/>
      </tp>
      <tp t="s">
        <v>#N/A N/A</v>
        <stp/>
        <stp>BDH|13328158323321538159</stp>
        <tr r="F22" s="3"/>
      </tp>
      <tp t="s">
        <v>#N/A N/A</v>
        <stp/>
        <stp>BDH|17706286139086106024</stp>
        <tr r="E16" s="9"/>
      </tp>
      <tp t="s">
        <v>#N/A N/A</v>
        <stp/>
        <stp>BDH|17224466943577375017</stp>
        <tr r="M13" s="6"/>
      </tp>
      <tp t="s">
        <v>#N/A N/A</v>
        <stp/>
        <stp>BDH|16435302050070309025</stp>
        <tr r="M10" s="5"/>
      </tp>
      <tp t="s">
        <v>#N/A N/A</v>
        <stp/>
        <stp>BDH|12270260052150230511</stp>
        <tr r="D18" s="2"/>
      </tp>
      <tp t="s">
        <v>#N/A N/A</v>
        <stp/>
        <stp>BDH|13432004462301408467</stp>
        <tr r="C19" s="2"/>
      </tp>
      <tp t="s">
        <v>#N/A N/A</v>
        <stp/>
        <stp>BDH|14689808282867327339</stp>
        <tr r="T12" s="3"/>
      </tp>
      <tp t="s">
        <v>#N/A N/A</v>
        <stp/>
        <stp>BDH|11562022333685060730</stp>
        <tr r="L7" s="3"/>
      </tp>
      <tp t="s">
        <v>#N/A N/A</v>
        <stp/>
        <stp>BDH|11084438791934562810</stp>
        <tr r="V7" s="7"/>
      </tp>
      <tp t="s">
        <v>#N/A N/A</v>
        <stp/>
        <stp>BDH|11227011873174389259</stp>
        <tr r="U15" s="4"/>
      </tp>
      <tp t="s">
        <v>#N/A N/A</v>
        <stp/>
        <stp>BDH|17106279263190618358</stp>
        <tr r="T11" s="7"/>
      </tp>
      <tp t="s">
        <v>#N/A N/A</v>
        <stp/>
        <stp>BDH|11647335732243013213</stp>
        <tr r="S24" s="4"/>
      </tp>
      <tp t="s">
        <v>#N/A N/A</v>
        <stp/>
        <stp>BDH|16765631373101221635</stp>
        <tr r="C8" s="8"/>
      </tp>
      <tp t="s">
        <v>#N/A N/A</v>
        <stp/>
        <stp>BDH|12352348926470277359</stp>
        <tr r="R25" s="5"/>
      </tp>
      <tp t="s">
        <v>#N/A N/A</v>
        <stp/>
        <stp>BDH|11524225757142643405</stp>
        <tr r="V14" s="3"/>
      </tp>
      <tp t="s">
        <v>#N/A N/A</v>
        <stp/>
        <stp>BDH|13461413869324221579</stp>
        <tr r="T24" s="5"/>
      </tp>
      <tp t="s">
        <v>#N/A N/A</v>
        <stp/>
        <stp>BDH|16472310491948987445</stp>
        <tr r="D7" s="9"/>
      </tp>
      <tp t="s">
        <v>#N/A N/A</v>
        <stp/>
        <stp>BDH|15811788857991671684</stp>
        <tr r="L7" s="9"/>
      </tp>
      <tp t="s">
        <v>#N/A N/A</v>
        <stp/>
        <stp>BDH|14525473251005378096</stp>
        <tr r="D7" s="2"/>
      </tp>
      <tp t="s">
        <v>#N/A N/A</v>
        <stp/>
        <stp>BDH|18318953740020723580</stp>
        <tr r="F9" s="4"/>
      </tp>
      <tp t="s">
        <v>#N/A N/A</v>
        <stp/>
        <stp>BDH|11190865394798898827</stp>
        <tr r="R16" s="8"/>
      </tp>
      <tp t="s">
        <v>#N/A N/A</v>
        <stp/>
        <stp>BDH|11864531331211494662</stp>
        <tr r="E16" s="6"/>
      </tp>
      <tp t="s">
        <v>#N/A N/A</v>
        <stp/>
        <stp>BDH|16960251422067659101</stp>
        <tr r="C11" s="9"/>
      </tp>
      <tp t="s">
        <v>#N/A N/A</v>
        <stp/>
        <stp>BDH|15868426552540838481</stp>
        <tr r="G7" s="4"/>
      </tp>
      <tp t="s">
        <v>#N/A N/A</v>
        <stp/>
        <stp>BDH|13459662470035196782</stp>
        <tr r="S13" s="9"/>
      </tp>
      <tp t="s">
        <v>#N/A N/A</v>
        <stp/>
        <stp>BDH|16269702808675243431</stp>
        <tr r="S13" s="4"/>
      </tp>
      <tp t="s">
        <v>#N/A N/A</v>
        <stp/>
        <stp>BDH|16752291758653955243</stp>
        <tr r="J16" s="4"/>
      </tp>
      <tp t="s">
        <v>#N/A N/A</v>
        <stp/>
        <stp>BDH|16362481466922546621</stp>
        <tr r="Q19" s="2"/>
      </tp>
      <tp t="s">
        <v>#N/A N/A</v>
        <stp/>
        <stp>BDH|15002705258903364410</stp>
        <tr r="H13" s="7"/>
      </tp>
      <tp t="s">
        <v>#N/A N/A</v>
        <stp/>
        <stp>BDH|13347798804645518114</stp>
        <tr r="M7" s="5"/>
      </tp>
      <tp t="s">
        <v>#N/A N/A</v>
        <stp/>
        <stp>BDH|16499592447820151718</stp>
        <tr r="T26" s="5"/>
      </tp>
      <tp t="s">
        <v>#N/A N/A</v>
        <stp/>
        <stp>BDH|16820972291350525612</stp>
        <tr r="O16" s="4"/>
      </tp>
      <tp t="s">
        <v>#N/A N/A</v>
        <stp/>
        <stp>BDH|15533064326304829372</stp>
        <tr r="Q9" s="2"/>
      </tp>
      <tp t="s">
        <v>#N/A N/A</v>
        <stp/>
        <stp>BDH|10657760752381890376</stp>
        <tr r="C17" s="9"/>
      </tp>
      <tp t="s">
        <v>#N/A N/A</v>
        <stp/>
        <stp>BDH|17452748239385644627</stp>
        <tr r="D20" s="3"/>
      </tp>
      <tp t="s">
        <v>#N/A N/A</v>
        <stp/>
        <stp>BDH|14509388014855069346</stp>
        <tr r="K24" s="5"/>
      </tp>
      <tp t="s">
        <v>#N/A N/A</v>
        <stp/>
        <stp>BDH|14102649032177383690</stp>
        <tr r="F20" s="6"/>
      </tp>
      <tp t="s">
        <v>#N/A N/A</v>
        <stp/>
        <stp>BDH|15879344243396105428</stp>
        <tr r="J13" s="6"/>
      </tp>
      <tp t="s">
        <v>#N/A N/A</v>
        <stp/>
        <stp>BDH|13328881483445314678</stp>
        <tr r="Q21" s="8"/>
      </tp>
      <tp t="s">
        <v>#N/A N/A</v>
        <stp/>
        <stp>BDH|10148743303440202785</stp>
        <tr r="R10" s="3"/>
      </tp>
      <tp t="s">
        <v>#N/A N/A</v>
        <stp/>
        <stp>BDH|12008068332878825907</stp>
        <tr r="L18" s="3"/>
      </tp>
      <tp t="s">
        <v>#N/A N/A</v>
        <stp/>
        <stp>BDH|17324400919941098359</stp>
        <tr r="G16" s="5"/>
      </tp>
      <tp t="s">
        <v>#N/A N/A</v>
        <stp/>
        <stp>BDH|10671139804031729092</stp>
        <tr r="J18" s="3"/>
      </tp>
      <tp t="s">
        <v>#N/A N/A</v>
        <stp/>
        <stp>BDH|10641704659801280322</stp>
        <tr r="C11" s="7"/>
      </tp>
      <tp t="s">
        <v>#N/A N/A</v>
        <stp/>
        <stp>BDH|16991406740524598229</stp>
        <tr r="M14" s="5"/>
      </tp>
      <tp t="s">
        <v>#N/A N/A</v>
        <stp/>
        <stp>BDH|18331856178833435444</stp>
        <tr r="D17" s="9"/>
      </tp>
      <tp t="s">
        <v>#N/A N/A</v>
        <stp/>
        <stp>BDH|13781215431203078063</stp>
        <tr r="H14" s="6"/>
      </tp>
      <tp t="s">
        <v>#N/A N/A</v>
        <stp/>
        <stp>BDH|11000155156211584574</stp>
        <tr r="N7" s="8"/>
      </tp>
      <tp t="s">
        <v>#N/A N/A</v>
        <stp/>
        <stp>BDH|14032077824503452469</stp>
        <tr r="N7" s="7"/>
      </tp>
      <tp t="s">
        <v>#N/A N/A</v>
        <stp/>
        <stp>BDH|12181671329543981478</stp>
        <tr r="O16" s="5"/>
      </tp>
      <tp t="s">
        <v>#N/A N/A</v>
        <stp/>
        <stp>BDH|11525661647825610736</stp>
        <tr r="K13" s="6"/>
      </tp>
      <tp t="s">
        <v>#N/A N/A</v>
        <stp/>
        <stp>BDH|14811591111044773564</stp>
        <tr r="T16" s="4"/>
      </tp>
      <tp t="s">
        <v>#N/A N/A</v>
        <stp/>
        <stp>BDH|16430188389088128659</stp>
        <tr r="V15" s="4"/>
      </tp>
      <tp t="s">
        <v>#N/A N/A</v>
        <stp/>
        <stp>BDH|10415414976566296413</stp>
        <tr r="I13" s="6"/>
      </tp>
      <tp t="s">
        <v>#N/A N/A</v>
        <stp/>
        <stp>BDH|13434109041100407712</stp>
        <tr r="G19" s="2"/>
      </tp>
      <tp t="s">
        <v>#N/A N/A</v>
        <stp/>
        <stp>BDH|10666815233563151955</stp>
        <tr r="H22" s="5"/>
      </tp>
      <tp t="s">
        <v>#N/A N/A</v>
        <stp/>
        <stp>BDH|10542621478436910664</stp>
        <tr r="Q13" s="5"/>
      </tp>
      <tp t="s">
        <v>#N/A N/A</v>
        <stp/>
        <stp>BDH|17271891332939894429</stp>
        <tr r="C13" s="3"/>
      </tp>
      <tp t="s">
        <v>#N/A N/A</v>
        <stp/>
        <stp>BDH|15635821074533689851</stp>
        <tr r="Q9" s="4"/>
      </tp>
      <tp t="s">
        <v>#N/A N/A</v>
        <stp/>
        <stp>BDH|12403117992299517218</stp>
        <tr r="I20" s="3"/>
      </tp>
      <tp t="s">
        <v>#N/A N/A</v>
        <stp/>
        <stp>BDH|16497052642784675770</stp>
        <tr r="G20" s="3"/>
      </tp>
      <tp t="s">
        <v>#N/A N/A</v>
        <stp/>
        <stp>BDH|12224855092135340749</stp>
        <tr r="J15" s="8"/>
      </tp>
      <tp t="s">
        <v>#N/A N/A</v>
        <stp/>
        <stp>BDH|13543886158187219858</stp>
        <tr r="R11" s="7"/>
      </tp>
      <tp t="s">
        <v>#N/A N/A</v>
        <stp/>
        <stp>BDH|17235494097528827369</stp>
        <tr r="N26" s="5"/>
      </tp>
      <tp t="s">
        <v>#N/A N/A</v>
        <stp/>
        <stp>BDH|10649948500851051909</stp>
        <tr r="O8" s="3"/>
      </tp>
      <tp t="s">
        <v>#N/A N/A</v>
        <stp/>
        <stp>BDH|11777432775573585064</stp>
        <tr r="O15" s="7"/>
      </tp>
      <tp t="s">
        <v>#N/A N/A</v>
        <stp/>
        <stp>BDH|15611557945107528217</stp>
        <tr r="U21" s="3"/>
      </tp>
      <tp t="s">
        <v>#N/A N/A</v>
        <stp/>
        <stp>BDH|11902995285845198465</stp>
        <tr r="H16" s="7"/>
      </tp>
      <tp t="s">
        <v>#N/A N/A</v>
        <stp/>
        <stp>BDH|11192867273589166604</stp>
        <tr r="K13" s="8"/>
      </tp>
      <tp t="s">
        <v>#N/A N/A</v>
        <stp/>
        <stp>BDH|12619454371079192962</stp>
        <tr r="O15" s="4"/>
      </tp>
      <tp t="s">
        <v>#N/A N/A</v>
        <stp/>
        <stp>BDH|13249278750936804394</stp>
        <tr r="U15" s="7"/>
      </tp>
      <tp t="s">
        <v>#N/A N/A</v>
        <stp/>
        <stp>BDH|11365404176095775662</stp>
        <tr r="J9" s="8"/>
      </tp>
      <tp t="s">
        <v>#N/A N/A</v>
        <stp/>
        <stp>BDH|14766072734866514059</stp>
        <tr r="N24" s="3"/>
      </tp>
      <tp t="s">
        <v>#N/A N/A</v>
        <stp/>
        <stp>BDH|14385635461253229646</stp>
        <tr r="O8" s="2"/>
      </tp>
      <tp t="s">
        <v>#N/A N/A</v>
        <stp/>
        <stp>BDH|10600703233802599772</stp>
        <tr r="S14" s="2"/>
      </tp>
      <tp t="s">
        <v>#N/A N/A</v>
        <stp/>
        <stp>BDH|14368572398010947926</stp>
        <tr r="I9" s="7"/>
      </tp>
      <tp t="s">
        <v>#N/A N/A</v>
        <stp/>
        <stp>BDH|12549181125644913464</stp>
        <tr r="I8" s="4"/>
      </tp>
      <tp t="s">
        <v>#N/A N/A</v>
        <stp/>
        <stp>BDH|12193409765259753841</stp>
        <tr r="M12" s="8"/>
      </tp>
      <tp t="s">
        <v>#N/A N/A</v>
        <stp/>
        <stp>BDH|11202698130132555787</stp>
        <tr r="R22" s="4"/>
      </tp>
      <tp t="s">
        <v>#N/A N/A</v>
        <stp/>
        <stp>BDH|13971467723244391090</stp>
        <tr r="N17" s="7"/>
      </tp>
      <tp t="s">
        <v>#N/A N/A</v>
        <stp/>
        <stp>BDH|14096411880560278950</stp>
        <tr r="O17" s="8"/>
      </tp>
      <tp t="s">
        <v>#N/A N/A</v>
        <stp/>
        <stp>BDH|14063252011895767353</stp>
        <tr r="R14" s="3"/>
      </tp>
      <tp t="s">
        <v>#N/A N/A</v>
        <stp/>
        <stp>BDH|13192100176616455259</stp>
        <tr r="V10" s="3"/>
      </tp>
      <tp t="s">
        <v>#N/A N/A</v>
        <stp/>
        <stp>BDH|13631120334411742115</stp>
        <tr r="O28" s="5"/>
      </tp>
      <tp t="s">
        <v>#N/A N/A</v>
        <stp/>
        <stp>BDH|14599197962101340347</stp>
        <tr r="G24" s="3"/>
      </tp>
      <tp t="s">
        <v>#N/A N/A</v>
        <stp/>
        <stp>BDH|11388629039540271533</stp>
        <tr r="J16" s="2"/>
      </tp>
      <tp t="s">
        <v>#N/A N/A</v>
        <stp/>
        <stp>BDH|18276373869739122541</stp>
        <tr r="F16" s="3"/>
      </tp>
      <tp t="s">
        <v>#N/A N/A</v>
        <stp/>
        <stp>BDH|11407557959749133903</stp>
        <tr r="F9" s="3"/>
      </tp>
      <tp t="s">
        <v>#N/A N/A</v>
        <stp/>
        <stp>BDH|15162223908404602246</stp>
        <tr r="C28" s="5"/>
      </tp>
      <tp t="s">
        <v>#N/A N/A</v>
        <stp/>
        <stp>BDH|13414993522078303154</stp>
        <tr r="F8" s="6"/>
      </tp>
      <tp t="s">
        <v>#N/A N/A</v>
        <stp/>
        <stp>BDH|14458111265665175799</stp>
        <tr r="L16" s="2"/>
      </tp>
      <tp t="s">
        <v>#N/A N/A</v>
        <stp/>
        <stp>BDH|17275597187413703838</stp>
        <tr r="S7" s="8"/>
      </tp>
      <tp t="s">
        <v>#N/A N/A</v>
        <stp/>
        <stp>BDH|15652654156050415791</stp>
        <tr r="F17" s="8"/>
      </tp>
      <tp t="s">
        <v>#N/A N/A</v>
        <stp/>
        <stp>BDH|15347119839472748477</stp>
        <tr r="O25" s="5"/>
      </tp>
      <tp t="s">
        <v>#N/A N/A</v>
        <stp/>
        <stp>BDH|17016685736952616130</stp>
        <tr r="P10" s="3"/>
      </tp>
      <tp t="s">
        <v>#N/A N/A</v>
        <stp/>
        <stp>BDH|14208616329630415150</stp>
        <tr r="N7" s="2"/>
      </tp>
      <tp t="s">
        <v>#N/A N/A</v>
        <stp/>
        <stp>BDH|14895271203407760013</stp>
        <tr r="O24" s="5"/>
      </tp>
      <tp t="s">
        <v>#N/A N/A</v>
        <stp/>
        <stp>BDH|10601341463230963423</stp>
        <tr r="P22" s="3"/>
      </tp>
      <tp t="s">
        <v>#N/A N/A</v>
        <stp/>
        <stp>BDH|15404137759258513812</stp>
        <tr r="N16" s="3"/>
      </tp>
      <tp t="s">
        <v>#N/A N/A</v>
        <stp/>
        <stp>BDH|14394687411872839080</stp>
        <tr r="O14" s="3"/>
      </tp>
      <tp t="s">
        <v>#N/A N/A</v>
        <stp/>
        <stp>BDH|10317783621562607662</stp>
        <tr r="F7" s="8"/>
      </tp>
      <tp t="s">
        <v>#N/A N/A</v>
        <stp/>
        <stp>BDH|15385356681936990936</stp>
        <tr r="H20" s="5"/>
      </tp>
      <tp t="s">
        <v>#N/A N/A</v>
        <stp/>
        <stp>BDH|17285789181191339850</stp>
        <tr r="N15" s="4"/>
      </tp>
      <tp t="s">
        <v>#N/A N/A</v>
        <stp/>
        <stp>BDH|14871045834461336767</stp>
        <tr r="L26" s="5"/>
      </tp>
      <tp t="s">
        <v>#N/A N/A</v>
        <stp/>
        <stp>BDH|15653447864594824235</stp>
        <tr r="U14" s="5"/>
      </tp>
      <tp t="s">
        <v>#N/A N/A</v>
        <stp/>
        <stp>BDH|10906537871606575529</stp>
        <tr r="C13" s="8"/>
      </tp>
      <tp t="s">
        <v>#N/A N/A</v>
        <stp/>
        <stp>BDH|16081412928444274575</stp>
        <tr r="J10" s="2"/>
      </tp>
      <tp t="s">
        <v>#N/A N/A</v>
        <stp/>
        <stp>BDH|13426849452957774891</stp>
        <tr r="T16" s="9"/>
      </tp>
      <tp t="s">
        <v>#N/A N/A</v>
        <stp/>
        <stp>BDH|12918026668834832145</stp>
        <tr r="E18" s="2"/>
      </tp>
      <tp t="s">
        <v>#N/A N/A</v>
        <stp/>
        <stp>BDH|16305310353427852668</stp>
        <tr r="M22" s="3"/>
      </tp>
      <tp t="s">
        <v>#N/A N/A</v>
        <stp/>
        <stp>BDH|14573466317461240196</stp>
        <tr r="D22" s="6"/>
      </tp>
      <tp t="s">
        <v>#N/A N/A</v>
        <stp/>
        <stp>BDH|12877802976955863980</stp>
        <tr r="P17" s="9"/>
      </tp>
      <tp t="s">
        <v>#N/A N/A</v>
        <stp/>
        <stp>BDH|11806058174171607617</stp>
        <tr r="F7" s="2"/>
      </tp>
      <tp t="s">
        <v>#N/A N/A</v>
        <stp/>
        <stp>BDH|18235698941162110957</stp>
        <tr r="E16" s="7"/>
      </tp>
      <tp t="s">
        <v>#N/A N/A</v>
        <stp/>
        <stp>BDH|15503099458542227382</stp>
        <tr r="Q9" s="7"/>
      </tp>
      <tp t="s">
        <v>#N/A N/A</v>
        <stp/>
        <stp>BDH|17643857126554222895</stp>
        <tr r="D6" s="3"/>
      </tp>
      <tp t="s">
        <v>#N/A N/A</v>
        <stp/>
        <stp>BDH|17585839949793776960</stp>
        <tr r="Q20" s="5"/>
      </tp>
      <tp t="s">
        <v>#N/A N/A</v>
        <stp/>
        <stp>BDH|12332272513716860610</stp>
        <tr r="D13" s="7"/>
      </tp>
      <tp t="s">
        <v>#N/A N/A</v>
        <stp/>
        <stp>BDH|10180189546724141004</stp>
        <tr r="K19" s="4"/>
      </tp>
      <tp t="s">
        <v>#N/A N/A</v>
        <stp/>
        <stp>BDH|11412925514879164622</stp>
        <tr r="E14" s="8"/>
      </tp>
      <tp t="s">
        <v>#N/A N/A</v>
        <stp/>
        <stp>BDH|15690122329338845841</stp>
        <tr r="H14" s="8"/>
      </tp>
      <tp t="s">
        <v>#N/A N/A</v>
        <stp/>
        <stp>BDH|13055198025640439694</stp>
        <tr r="D16" s="3"/>
      </tp>
      <tp t="s">
        <v>#N/A N/A</v>
        <stp/>
        <stp>BDH|12081175021643789405</stp>
        <tr r="C26" s="5"/>
      </tp>
      <tp t="s">
        <v>#N/A N/A</v>
        <stp/>
        <stp>BDH|12358455291171308855</stp>
        <tr r="C7" s="3"/>
      </tp>
      <tp t="s">
        <v>#N/A N/A</v>
        <stp/>
        <stp>BDH|15654025531283552308</stp>
        <tr r="C6" s="3"/>
      </tp>
      <tp t="s">
        <v>#N/A N/A</v>
        <stp/>
        <stp>BDH|17361606255575775711</stp>
        <tr r="M21" s="6"/>
      </tp>
      <tp t="s">
        <v>#N/A N/A</v>
        <stp/>
        <stp>BDH|17578935872668117756</stp>
        <tr r="I22" s="4"/>
      </tp>
      <tp t="s">
        <v>#N/A N/A</v>
        <stp/>
        <stp>BDH|10801797302492384333</stp>
        <tr r="K21" s="6"/>
      </tp>
      <tp t="s">
        <v>#N/A N/A</v>
        <stp/>
        <stp>BDH|13314687013280215298</stp>
        <tr r="H22" s="4"/>
      </tp>
      <tp t="s">
        <v>#N/A N/A</v>
        <stp/>
        <stp>BDH|17248885979836099817</stp>
        <tr r="E23" s="4"/>
      </tp>
      <tp t="s">
        <v>#N/A N/A</v>
        <stp/>
        <stp>BDH|11472536836854254519</stp>
        <tr r="C13" s="2"/>
      </tp>
      <tp t="s">
        <v>#N/A N/A</v>
        <stp/>
        <stp>BDH|12188619895543594856</stp>
        <tr r="P16" s="3"/>
      </tp>
      <tp t="s">
        <v>#N/A N/A</v>
        <stp/>
        <stp>BDH|12630037450252023303</stp>
        <tr r="Q25" s="5"/>
      </tp>
      <tp t="s">
        <v>#N/A N/A</v>
        <stp/>
        <stp>BDH|12391765218995090789</stp>
        <tr r="H17" s="2"/>
      </tp>
      <tp t="s">
        <v>#N/A N/A</v>
        <stp/>
        <stp>BDH|10402688878551342633</stp>
        <tr r="D7" s="6"/>
      </tp>
      <tp t="s">
        <v>#N/A N/A</v>
        <stp/>
        <stp>BDH|12835352059453134114</stp>
        <tr r="J17" s="9"/>
      </tp>
      <tp t="s">
        <v>#N/A N/A</v>
        <stp/>
        <stp>BDH|11076174649751317397</stp>
        <tr r="K6" s="3"/>
      </tp>
      <tp t="s">
        <v>#N/A N/A</v>
        <stp/>
        <stp>BDH|14181832031840373942</stp>
        <tr r="S19" s="2"/>
      </tp>
      <tp t="s">
        <v>#N/A N/A</v>
        <stp/>
        <stp>BDH|15666237946133022674</stp>
        <tr r="E22" s="3"/>
      </tp>
      <tp t="s">
        <v>#N/A N/A</v>
        <stp/>
        <stp>BDH|16204354342955044225</stp>
        <tr r="E28" s="5"/>
      </tp>
      <tp t="s">
        <v>#N/A N/A</v>
        <stp/>
        <stp>BDH|12228440503351268105</stp>
        <tr r="N19" s="2"/>
      </tp>
      <tp t="s">
        <v>#N/A N/A</v>
        <stp/>
        <stp>BDH|14533479264606505648</stp>
        <tr r="U17" s="6"/>
      </tp>
      <tp t="s">
        <v>#N/A N/A</v>
        <stp/>
        <stp>BDH|11446565004385148719</stp>
        <tr r="D22" s="5"/>
      </tp>
      <tp t="s">
        <v>#N/A N/A</v>
        <stp/>
        <stp>BDH|13445638537172197279</stp>
        <tr r="S15" s="7"/>
      </tp>
      <tp t="s">
        <v>#N/A N/A</v>
        <stp/>
        <stp>BDH|12424688362532107693</stp>
        <tr r="F8" s="8"/>
      </tp>
      <tp t="s">
        <v>#N/A N/A</v>
        <stp/>
        <stp>BDH|11500038254994132651</stp>
        <tr r="E15" s="6"/>
      </tp>
      <tp t="s">
        <v>#N/A N/A</v>
        <stp/>
        <stp>BDH|16884493015876102332</stp>
        <tr r="Q14" s="4"/>
      </tp>
      <tp t="s">
        <v>#N/A N/A</v>
        <stp/>
        <stp>BDH|13452451679466976077</stp>
        <tr r="Q6" s="5"/>
      </tp>
      <tp t="s">
        <v>#N/A N/A</v>
        <stp/>
        <stp>BDH|17767846795300735088</stp>
        <tr r="E18" s="5"/>
      </tp>
      <tp t="s">
        <v>#N/A N/A</v>
        <stp/>
        <stp>BDH|17903839519330970830</stp>
        <tr r="T7" s="6"/>
      </tp>
      <tp t="s">
        <v>#N/A N/A</v>
        <stp/>
        <stp>BDH|10918757811225449503</stp>
        <tr r="J8" s="6"/>
      </tp>
      <tp t="s">
        <v>#N/A N/A</v>
        <stp/>
        <stp>BDH|10972431507252135054</stp>
        <tr r="K20" s="8"/>
      </tp>
      <tp t="s">
        <v>#N/A N/A</v>
        <stp/>
        <stp>BDH|12855060925375161330</stp>
        <tr r="I20" s="6"/>
      </tp>
      <tp t="s">
        <v>#N/A N/A</v>
        <stp/>
        <stp>BDH|13762692834468113826</stp>
        <tr r="N15" s="7"/>
      </tp>
      <tp t="s">
        <v>#N/A N/A</v>
        <stp/>
        <stp>BDH|14630484656155445654</stp>
        <tr r="O9" s="6"/>
      </tp>
      <tp t="s">
        <v>#N/A N/A</v>
        <stp/>
        <stp>BDH|14664950091903889132</stp>
        <tr r="J7" s="7"/>
      </tp>
      <tp t="s">
        <v>#N/A N/A</v>
        <stp/>
        <stp>BDH|18268754407368923112</stp>
        <tr r="N15" s="9"/>
      </tp>
      <tp t="s">
        <v>#N/A N/A</v>
        <stp/>
        <stp>BDH|17009267382663854845</stp>
        <tr r="P6" s="5"/>
      </tp>
      <tp t="s">
        <v>#N/A N/A</v>
        <stp/>
        <stp>BDH|11037454359056335072</stp>
        <tr r="F24" s="3"/>
      </tp>
      <tp t="s">
        <v>#N/A N/A</v>
        <stp/>
        <stp>BDH|11225087954745203747</stp>
        <tr r="N9" s="8"/>
      </tp>
      <tp t="s">
        <v>#N/A N/A</v>
        <stp/>
        <stp>BDH|18411687089092472295</stp>
        <tr r="V11" s="7"/>
      </tp>
      <tp t="s">
        <v>#N/A N/A</v>
        <stp/>
        <stp>BDH|10379598356172460437</stp>
        <tr r="O10" s="5"/>
      </tp>
      <tp t="s">
        <v>#N/A N/A</v>
        <stp/>
        <stp>BDH|11450464920300083196</stp>
        <tr r="M12" s="3"/>
      </tp>
      <tp t="s">
        <v>#N/A N/A</v>
        <stp/>
        <stp>BDH|14200448661048490880</stp>
        <tr r="J13" s="9"/>
      </tp>
      <tp t="s">
        <v>#N/A N/A</v>
        <stp/>
        <stp>BDH|14735869604242780897</stp>
        <tr r="R7" s="2"/>
      </tp>
      <tp t="s">
        <v>#N/A N/A</v>
        <stp/>
        <stp>BDH|11487485396413996986</stp>
        <tr r="M24" s="4"/>
      </tp>
      <tp t="s">
        <v>#N/A N/A</v>
        <stp/>
        <stp>BDH|16983463340075182549</stp>
        <tr r="G9" s="6"/>
      </tp>
      <tp t="s">
        <v>#N/A N/A</v>
        <stp/>
        <stp>BDH|13208387233907322204</stp>
        <tr r="K7" s="2"/>
      </tp>
      <tp t="s">
        <v>#N/A N/A</v>
        <stp/>
        <stp>BDH|11521381740988622815</stp>
        <tr r="U10" s="4"/>
      </tp>
      <tp t="s">
        <v>#N/A N/A</v>
        <stp/>
        <stp>BDH|16989126750191388524</stp>
        <tr r="I13" s="2"/>
      </tp>
      <tp t="s">
        <v>#N/A N/A</v>
        <stp/>
        <stp>BDH|17133787437587224265</stp>
        <tr r="M14" s="4"/>
      </tp>
      <tp t="s">
        <v>#N/A N/A</v>
        <stp/>
        <stp>BDH|16383163763675213295</stp>
        <tr r="I14" s="8"/>
      </tp>
      <tp t="s">
        <v>#N/A N/A</v>
        <stp/>
        <stp>BDH|16309508740159820866</stp>
        <tr r="M8" s="7"/>
      </tp>
      <tp t="s">
        <v>#N/A N/A</v>
        <stp/>
        <stp>BDH|12116206045285024788</stp>
        <tr r="G10" s="3"/>
      </tp>
      <tp t="s">
        <v>#N/A N/A</v>
        <stp/>
        <stp>BDH|13792409135762957071</stp>
        <tr r="U13" s="2"/>
      </tp>
      <tp t="s">
        <v>#N/A N/A</v>
        <stp/>
        <stp>BDH|12529080235101601627</stp>
        <tr r="I15" s="8"/>
      </tp>
      <tp t="s">
        <v>#N/A N/A</v>
        <stp/>
        <stp>BDH|15086780168765877774</stp>
        <tr r="G23" s="4"/>
      </tp>
      <tp t="s">
        <v>#N/A N/A</v>
        <stp/>
        <stp>BDH|16496636638942213722</stp>
        <tr r="N16" s="8"/>
      </tp>
      <tp t="s">
        <v>#N/A N/A</v>
        <stp/>
        <stp>BDH|10823042712446971198</stp>
        <tr r="E15" s="2"/>
      </tp>
      <tp t="s">
        <v>#N/A N/A</v>
        <stp/>
        <stp>BDH|10519607839630080321</stp>
        <tr r="N13" s="3"/>
      </tp>
      <tp t="s">
        <v>#N/A N/A</v>
        <stp/>
        <stp>BDH|14048409000865798390</stp>
        <tr r="I16" s="9"/>
      </tp>
      <tp t="s">
        <v>#N/A N/A</v>
        <stp/>
        <stp>BDH|10649031825315720190</stp>
        <tr r="O13" s="6"/>
      </tp>
      <tp t="s">
        <v>#N/A N/A</v>
        <stp/>
        <stp>BDH|13912508748217539251</stp>
        <tr r="U19" s="4"/>
      </tp>
      <tp t="s">
        <v>#N/A N/A</v>
        <stp/>
        <stp>BDH|14511619424913919488</stp>
        <tr r="V22" s="3"/>
      </tp>
      <tp t="s">
        <v>#N/A N/A</v>
        <stp/>
        <stp>BDH|13932289802340662642</stp>
        <tr r="Q24" s="4"/>
      </tp>
      <tp t="s">
        <v>#N/A N/A</v>
        <stp/>
        <stp>BDH|13244736396322300851</stp>
        <tr r="O16" s="8"/>
      </tp>
      <tp t="s">
        <v>#N/A N/A</v>
        <stp/>
        <stp>BDH|16943208948524344327</stp>
        <tr r="E9" s="2"/>
      </tp>
      <tp t="s">
        <v>#N/A N/A</v>
        <stp/>
        <stp>BDH|15127871522819581119</stp>
        <tr r="Q8" s="2"/>
      </tp>
      <tp t="s">
        <v>#N/A N/A</v>
        <stp/>
        <stp>BDH|11910812197806622198</stp>
        <tr r="L22" s="4"/>
      </tp>
      <tp t="s">
        <v>#N/A N/A</v>
        <stp/>
        <stp>BDH|17594117189469941049</stp>
        <tr r="K17" s="6"/>
      </tp>
      <tp t="s">
        <v>#N/A N/A</v>
        <stp/>
        <stp>BDH|15385294478700727766</stp>
        <tr r="K7" s="7"/>
      </tp>
      <tp t="s">
        <v>#N/A N/A</v>
        <stp/>
        <stp>BDH|17313560080425134878</stp>
        <tr r="Q18" s="2"/>
      </tp>
      <tp t="s">
        <v>#N/A N/A</v>
        <stp/>
        <stp>BDH|13540700358097664184</stp>
        <tr r="R9" s="2"/>
      </tp>
      <tp t="s">
        <v>#N/A N/A</v>
        <stp/>
        <stp>BDH|12808281490459672749</stp>
        <tr r="Q24" s="5"/>
      </tp>
      <tp t="s">
        <v>#N/A N/A</v>
        <stp/>
        <stp>BDH|15713740568894971707</stp>
        <tr r="F15" s="7"/>
      </tp>
      <tp t="s">
        <v>#N/A N/A</v>
        <stp/>
        <stp>BDH|11400529186703517870</stp>
        <tr r="M17" s="9"/>
      </tp>
      <tp t="s">
        <v>#N/A N/A</v>
        <stp/>
        <stp>BDH|17572426434545008265</stp>
        <tr r="R20" s="2"/>
      </tp>
      <tp t="s">
        <v>#N/A N/A</v>
        <stp/>
        <stp>BDH|14574907099023033097</stp>
        <tr r="Q12" s="3"/>
      </tp>
      <tp t="s">
        <v>#N/A N/A</v>
        <stp/>
        <stp>BDH|11066037083078070652</stp>
        <tr r="N13" s="9"/>
      </tp>
      <tp t="s">
        <v>#N/A N/A</v>
        <stp/>
        <stp>BDH|17870675312824037394</stp>
        <tr r="H13" s="6"/>
      </tp>
      <tp t="s">
        <v>#N/A N/A</v>
        <stp/>
        <stp>BDH|13870143557997994766</stp>
        <tr r="K10" s="2"/>
      </tp>
      <tp t="s">
        <v>#N/A N/A</v>
        <stp/>
        <stp>BDH|14390444363034288524</stp>
        <tr r="O26" s="3"/>
      </tp>
      <tp t="s">
        <v>#N/A N/A</v>
        <stp/>
        <stp>BDH|10687791455820899568</stp>
        <tr r="H8" s="7"/>
      </tp>
      <tp t="s">
        <v>#N/A N/A</v>
        <stp/>
        <stp>BDH|11992788546531236410</stp>
        <tr r="L23" s="2"/>
      </tp>
      <tp t="s">
        <v>#N/A N/A</v>
        <stp/>
        <stp>BDH|12592300004277298148</stp>
        <tr r="P13" s="8"/>
      </tp>
      <tp t="s">
        <v>#N/A N/A</v>
        <stp/>
        <stp>BDH|16129818481011266040</stp>
        <tr r="S13" s="2"/>
      </tp>
      <tp t="s">
        <v>#N/A N/A</v>
        <stp/>
        <stp>BDH|13351144712006478265</stp>
        <tr r="I7" s="8"/>
      </tp>
      <tp t="s">
        <v>#N/A N/A</v>
        <stp/>
        <stp>BDH|11108565561931064419</stp>
        <tr r="P12" s="9"/>
      </tp>
      <tp t="s">
        <v>#N/A N/A</v>
        <stp/>
        <stp>BDH|15125355817774109451</stp>
        <tr r="I25" s="3"/>
      </tp>
      <tp t="s">
        <v>#N/A N/A</v>
        <stp/>
        <stp>BDH|14053292597680944805</stp>
        <tr r="I16" s="8"/>
      </tp>
      <tp t="s">
        <v>#N/A N/A</v>
        <stp/>
        <stp>BDH|14270776670413352016</stp>
        <tr r="E13" s="6"/>
      </tp>
      <tp t="s">
        <v>#N/A N/A</v>
        <stp/>
        <stp>BDH|15686331666151584616</stp>
        <tr r="F17" s="6"/>
      </tp>
      <tp t="s">
        <v>#N/A N/A</v>
        <stp/>
        <stp>BDH|11962078268544487455</stp>
        <tr r="T19" s="4"/>
      </tp>
      <tp t="s">
        <v>#N/A N/A</v>
        <stp/>
        <stp>BDH|18184858552693592154</stp>
        <tr r="M15" s="2"/>
      </tp>
      <tp t="s">
        <v>#N/A N/A</v>
        <stp/>
        <stp>BDH|11740714115144085453</stp>
        <tr r="C21" s="8"/>
      </tp>
      <tp t="s">
        <v>#N/A N/A</v>
        <stp/>
        <stp>BDH|14711609322277356000</stp>
        <tr r="R16" s="9"/>
      </tp>
      <tp t="s">
        <v>#N/A N/A</v>
        <stp/>
        <stp>BDH|12575695999083730940</stp>
        <tr r="K6" s="5"/>
      </tp>
      <tp t="s">
        <v>#N/A N/A</v>
        <stp/>
        <stp>BDH|12463533210062615374</stp>
        <tr r="H7" s="8"/>
      </tp>
      <tp t="s">
        <v>#N/A N/A</v>
        <stp/>
        <stp>BDH|13701005552083464274</stp>
        <tr r="N8" s="9"/>
      </tp>
      <tp t="s">
        <v>#N/A N/A</v>
        <stp/>
        <stp>BDH|13715444796610621957</stp>
        <tr r="M15" s="7"/>
      </tp>
      <tp t="s">
        <v>#N/A N/A</v>
        <stp/>
        <stp>BDH|13889863261013152974</stp>
        <tr r="C24" s="5"/>
      </tp>
      <tp t="s">
        <v>#N/A N/A</v>
        <stp/>
        <stp>BDH|12013415261440090797</stp>
        <tr r="F9" s="9"/>
      </tp>
      <tp t="s">
        <v>#N/A N/A</v>
        <stp/>
        <stp>BDH|11825430658973358492</stp>
        <tr r="L14" s="2"/>
      </tp>
      <tp t="s">
        <v>#N/A N/A</v>
        <stp/>
        <stp>BDH|18234337579792130911</stp>
        <tr r="E26" s="5"/>
      </tp>
      <tp t="s">
        <v>#N/A N/A</v>
        <stp/>
        <stp>BDH|12467036741462729391</stp>
        <tr r="N17" s="4"/>
      </tp>
      <tp t="s">
        <v>#N/A N/A</v>
        <stp/>
        <stp>BDH|17359306348102981592</stp>
        <tr r="L7" s="5"/>
      </tp>
      <tp t="s">
        <v>#N/A N/A</v>
        <stp/>
        <stp>BDH|17564572973034846632</stp>
        <tr r="C22" s="4"/>
      </tp>
      <tp t="s">
        <v>#N/A N/A</v>
        <stp/>
        <stp>BDH|16137480056356273675</stp>
        <tr r="U14" s="3"/>
      </tp>
      <tp t="s">
        <v>#N/A N/A</v>
        <stp/>
        <stp>BDH|11637385621436381119</stp>
        <tr r="Q23" s="2"/>
      </tp>
      <tp t="s">
        <v>#N/A N/A</v>
        <stp/>
        <stp>BDH|16624785504712557423</stp>
        <tr r="M10" s="4"/>
      </tp>
      <tp t="s">
        <v>#N/A N/A</v>
        <stp/>
        <stp>BDH|10887211034711987790</stp>
        <tr r="P18" s="4"/>
      </tp>
      <tp t="s">
        <v>#N/A N/A</v>
        <stp/>
        <stp>BDH|13390587026267155407</stp>
        <tr r="P16" s="8"/>
      </tp>
      <tp t="s">
        <v>#N/A N/A</v>
        <stp/>
        <stp>BDH|11409393736655217359</stp>
        <tr r="M8" s="4"/>
      </tp>
      <tp t="s">
        <v>#N/A N/A</v>
        <stp/>
        <stp>BDH|11281685032634311779</stp>
        <tr r="O9" s="3"/>
      </tp>
      <tp t="s">
        <v>#N/A N/A</v>
        <stp/>
        <stp>BDH|15386174798448230219</stp>
        <tr r="K24" s="3"/>
      </tp>
      <tp t="s">
        <v>#N/A N/A</v>
        <stp/>
        <stp>BDH|10302464069864091132</stp>
        <tr r="L14" s="4"/>
      </tp>
      <tp t="s">
        <v>#N/A N/A</v>
        <stp/>
        <stp>BDH|10322957663458850022</stp>
        <tr r="K14" s="6"/>
      </tp>
      <tp t="s">
        <v>#N/A N/A</v>
        <stp/>
        <stp>BDH|16844742792887129815</stp>
        <tr r="J9" s="9"/>
      </tp>
      <tp t="s">
        <v>#N/A N/A</v>
        <stp/>
        <stp>BDH|17699053130667877458</stp>
        <tr r="Q10" s="5"/>
      </tp>
      <tp t="s">
        <v>#N/A N/A</v>
        <stp/>
        <stp>BDH|13292539864670212793</stp>
        <tr r="S9" s="4"/>
      </tp>
      <tp t="s">
        <v>#N/A N/A</v>
        <stp/>
        <stp>BDH|11178525637251778222</stp>
        <tr r="F11" s="7"/>
      </tp>
      <tp t="s">
        <v>#N/A N/A</v>
        <stp/>
        <stp>BDH|15918992581370366032</stp>
        <tr r="E17" s="3"/>
      </tp>
      <tp t="s">
        <v>#N/A N/A</v>
        <stp/>
        <stp>BDH|10191254843783667111</stp>
        <tr r="G25" s="2"/>
      </tp>
      <tp t="s">
        <v>#N/A N/A</v>
        <stp/>
        <stp>BDH|15890118859794491149</stp>
        <tr r="R8" s="6"/>
      </tp>
      <tp t="s">
        <v>#N/A N/A</v>
        <stp/>
        <stp>BDH|16764739507380664560</stp>
        <tr r="J21" s="6"/>
      </tp>
      <tp t="s">
        <v>#N/A N/A</v>
        <stp/>
        <stp>BDH|11014649679307753396</stp>
        <tr r="F7" s="9"/>
      </tp>
      <tp t="s">
        <v>#N/A N/A</v>
        <stp/>
        <stp>BDH|14447125104639919889</stp>
        <tr r="J20" s="3"/>
      </tp>
      <tp t="s">
        <v>#N/A N/A</v>
        <stp/>
        <stp>BDH|15624783227944207086</stp>
        <tr r="J13" s="3"/>
      </tp>
      <tp t="s">
        <v>#N/A N/A</v>
        <stp/>
        <stp>BDH|15832242159811532737</stp>
        <tr r="P14" s="6"/>
      </tp>
      <tp t="s">
        <v>#N/A N/A</v>
        <stp/>
        <stp>BDH|17717238185349504078</stp>
        <tr r="H6" s="3"/>
      </tp>
      <tp t="s">
        <v>#N/A N/A</v>
        <stp/>
        <stp>BDH|11300527398579232084</stp>
        <tr r="P7" s="9"/>
      </tp>
      <tp t="s">
        <v>#N/A N/A</v>
        <stp/>
        <stp>BDH|10549962167723579823</stp>
        <tr r="D7" s="5"/>
      </tp>
      <tp t="s">
        <v>#N/A N/A</v>
        <stp/>
        <stp>BDH|14917304501352952127</stp>
        <tr r="D15" s="2"/>
      </tp>
      <tp t="s">
        <v>#N/A N/A</v>
        <stp/>
        <stp>BDH|12489067052391406261</stp>
        <tr r="H8" s="9"/>
      </tp>
      <tp t="s">
        <v>#N/A N/A</v>
        <stp/>
        <stp>BDH|15638909543804579829</stp>
        <tr r="K9" s="7"/>
      </tp>
      <tp t="s">
        <v>#N/A N/A</v>
        <stp/>
        <stp>BDH|18175294266370405881</stp>
        <tr r="R18" s="5"/>
      </tp>
      <tp t="s">
        <v>#N/A N/A</v>
        <stp/>
        <stp>BDH|18283480876108790797</stp>
        <tr r="R25" s="3"/>
      </tp>
      <tp t="s">
        <v>#N/A N/A</v>
        <stp/>
        <stp>BDH|16959345636637667589</stp>
        <tr r="K23" s="2"/>
      </tp>
      <tp t="s">
        <v>#N/A N/A</v>
        <stp/>
        <stp>BDH|14751281829213789347</stp>
        <tr r="V9" s="5"/>
      </tp>
      <tp t="s">
        <v>#N/A N/A</v>
        <stp/>
        <stp>BDH|16627354618880823063</stp>
        <tr r="T12" s="9"/>
      </tp>
      <tp t="s">
        <v>#N/A N/A</v>
        <stp/>
        <stp>BDH|13369521006903669147</stp>
        <tr r="E17" s="2"/>
      </tp>
      <tp t="s">
        <v>#N/A N/A</v>
        <stp/>
        <stp>BDH|10526069867454127603</stp>
        <tr r="M12" s="9"/>
      </tp>
      <tp t="s">
        <v>#N/A N/A</v>
        <stp/>
        <stp>BDH|10433708393773762956</stp>
        <tr r="L19" s="2"/>
      </tp>
      <tp t="s">
        <v>#N/A N/A</v>
        <stp/>
        <stp>BDH|12207107747835489647</stp>
        <tr r="C23" s="2"/>
      </tp>
      <tp t="s">
        <v>#N/A N/A</v>
        <stp/>
        <stp>BDH|17721329047390181464</stp>
        <tr r="R24" s="3"/>
      </tp>
      <tp t="s">
        <v>#N/A N/A</v>
        <stp/>
        <stp>BDH|10255604936363912298</stp>
        <tr r="R13" s="7"/>
      </tp>
      <tp t="s">
        <v>#N/A N/A</v>
        <stp/>
        <stp>BDH|11830139039663557432</stp>
        <tr r="K10" s="3"/>
      </tp>
      <tp t="s">
        <v>#N/A N/A</v>
        <stp/>
        <stp>BDH|13421608757744566023</stp>
        <tr r="E9" s="4"/>
      </tp>
      <tp t="s">
        <v>#N/A N/A</v>
        <stp/>
        <stp>BDH|11979409579197257169</stp>
        <tr r="I8" s="2"/>
      </tp>
      <tp t="s">
        <v>#N/A N/A</v>
        <stp/>
        <stp>BDH|15347434701187756224</stp>
        <tr r="O8" s="9"/>
      </tp>
      <tp t="s">
        <v>#N/A N/A</v>
        <stp/>
        <stp>BDH|16473136868127120298</stp>
        <tr r="G16" s="3"/>
      </tp>
      <tp t="s">
        <v>#N/A N/A</v>
        <stp/>
        <stp>BDH|17327484235930040495</stp>
        <tr r="S20" s="8"/>
      </tp>
      <tp t="s">
        <v>#N/A N/A</v>
        <stp/>
        <stp>BDH|16296782788945343865</stp>
        <tr r="M18" s="4"/>
      </tp>
      <tp t="s">
        <v>#N/A N/A</v>
        <stp/>
        <stp>BDH|14680159450116222262</stp>
        <tr r="T15" s="7"/>
      </tp>
      <tp t="s">
        <v>#N/A N/A</v>
        <stp/>
        <stp>BDH|13840540958914480372</stp>
        <tr r="D13" s="9"/>
      </tp>
      <tp t="s">
        <v>#N/A N/A</v>
        <stp/>
        <stp>BDH|10022369214417693132</stp>
        <tr r="P17" s="6"/>
      </tp>
      <tp t="s">
        <v>#N/A N/A</v>
        <stp/>
        <stp>BDH|15096630368475572483</stp>
        <tr r="G7" s="8"/>
      </tp>
      <tp t="s">
        <v>#N/A N/A</v>
        <stp/>
        <stp>BDH|12581214570553361017</stp>
        <tr r="L16" s="6"/>
      </tp>
      <tp t="s">
        <v>#N/A N/A</v>
        <stp/>
        <stp>BDH|10198048169551828324</stp>
        <tr r="L9" s="5"/>
      </tp>
      <tp t="s">
        <v>#N/A N/A</v>
        <stp/>
        <stp>BDH|13342580099359248267</stp>
        <tr r="S21" s="3"/>
      </tp>
      <tp t="s">
        <v>#N/A N/A</v>
        <stp/>
        <stp>BDH|10077080117327987208</stp>
        <tr r="R10" s="2"/>
      </tp>
      <tp t="s">
        <v>#N/A N/A</v>
        <stp/>
        <stp>BDH|16997490542652878033</stp>
        <tr r="E22" s="4"/>
      </tp>
      <tp t="s">
        <v>#N/A N/A</v>
        <stp/>
        <stp>BDH|11158617859565352339</stp>
        <tr r="J9" s="5"/>
      </tp>
      <tp t="s">
        <v>#N/A N/A</v>
        <stp/>
        <stp>BDH|17820803525509097040</stp>
        <tr r="N7" s="6"/>
      </tp>
      <tp t="s">
        <v>#N/A N/A</v>
        <stp/>
        <stp>BDH|15715630625781934417</stp>
        <tr r="M18" s="2"/>
      </tp>
      <tp t="s">
        <v>#N/A N/A</v>
        <stp/>
        <stp>BDH|10176324721350367582</stp>
        <tr r="T15" s="6"/>
      </tp>
      <tp t="s">
        <v>#N/A N/A</v>
        <stp/>
        <stp>BDH|13501036706095116297</stp>
        <tr r="T7" s="5"/>
      </tp>
      <tp t="s">
        <v>#N/A N/A</v>
        <stp/>
        <stp>BDH|14940416937195547222</stp>
        <tr r="F22" s="5"/>
      </tp>
      <tp t="s">
        <v>#N/A N/A</v>
        <stp/>
        <stp>BDH|14854654658922624182</stp>
        <tr r="F16" s="7"/>
      </tp>
      <tp t="s">
        <v>#N/A N/A</v>
        <stp/>
        <stp>BDH|10896354916151061707</stp>
        <tr r="N6" s="5"/>
      </tp>
      <tp t="s">
        <v>#N/A N/A</v>
        <stp/>
        <stp>BDH|15675653942936970536</stp>
        <tr r="J16" s="8"/>
      </tp>
      <tp t="s">
        <v>#N/A N/A</v>
        <stp/>
        <stp>BDH|12872745269086804167</stp>
        <tr r="F23" s="4"/>
      </tp>
      <tp t="s">
        <v>#N/A N/A</v>
        <stp/>
        <stp>BDH|17319010491988149284</stp>
        <tr r="J7" s="2"/>
      </tp>
      <tp t="s">
        <v>#N/A N/A</v>
        <stp/>
        <stp>BDH|17545538206603311594</stp>
        <tr r="L16" s="3"/>
      </tp>
      <tp t="s">
        <v>#N/A N/A</v>
        <stp/>
        <stp>BDH|11194858367163180887</stp>
        <tr r="D13" s="3"/>
      </tp>
      <tp t="s">
        <v>#N/A N/A</v>
        <stp/>
        <stp>BDH|10985065466223461174</stp>
        <tr r="O24" s="3"/>
      </tp>
      <tp t="s">
        <v>#N/A N/A</v>
        <stp/>
        <stp>BDH|13136076410876828043</stp>
        <tr r="V16" s="6"/>
      </tp>
      <tp t="s">
        <v>#N/A N/A</v>
        <stp/>
        <stp>BDH|13633543518347733476</stp>
        <tr r="E16" s="8"/>
      </tp>
      <tp t="s">
        <v>#N/A N/A</v>
        <stp/>
        <stp>BDH|11997565877634669349</stp>
        <tr r="V14" s="2"/>
      </tp>
      <tp t="s">
        <v>#N/A N/A</v>
        <stp/>
        <stp>BDH|10094147372234838635</stp>
        <tr r="M23" s="4"/>
      </tp>
      <tp t="s">
        <v>#N/A N/A</v>
        <stp/>
        <stp>BDH|13011365488475786942</stp>
        <tr r="J13" s="8"/>
      </tp>
      <tp t="s">
        <v>#N/A N/A</v>
        <stp/>
        <stp>BDH|13397002637131115582</stp>
        <tr r="P17" s="4"/>
      </tp>
      <tp t="s">
        <v>#N/A N/A</v>
        <stp/>
        <stp>BDH|16288389696530587844</stp>
        <tr r="K12" s="9"/>
      </tp>
      <tp t="s">
        <v>#N/A N/A</v>
        <stp/>
        <stp>BDH|15987686272623658383</stp>
        <tr r="P13" s="4"/>
      </tp>
      <tp t="s">
        <v>#N/A N/A</v>
        <stp/>
        <stp>BDH|14879171913610149002</stp>
        <tr r="G18" s="5"/>
      </tp>
      <tp t="s">
        <v>#N/A N/A</v>
        <stp/>
        <stp>BDH|12132498716165053627</stp>
        <tr r="R12" s="8"/>
      </tp>
      <tp t="s">
        <v>#N/A N/A</v>
        <stp/>
        <stp>BDH|17007017430368952847</stp>
        <tr r="R9" s="8"/>
      </tp>
      <tp t="s">
        <v>#N/A N/A</v>
        <stp/>
        <stp>BDH|14389690923350044466</stp>
        <tr r="J15" s="7"/>
      </tp>
      <tp t="s">
        <v>#N/A N/A</v>
        <stp/>
        <stp>BDH|17923666678916074482</stp>
        <tr r="E26" s="3"/>
      </tp>
      <tp t="s">
        <v>#N/A N/A</v>
        <stp/>
        <stp>BDH|13140173635070814549</stp>
        <tr r="L17" s="5"/>
      </tp>
      <tp t="s">
        <v>#N/A N/A</v>
        <stp/>
        <stp>BDH|17372658434974818257</stp>
        <tr r="R13" s="4"/>
      </tp>
      <tp t="s">
        <v>#N/A N/A</v>
        <stp/>
        <stp>BDH|11236647300600025389</stp>
        <tr r="G17" s="7"/>
      </tp>
      <tp t="s">
        <v>#N/A N/A</v>
        <stp/>
        <stp>BDH|16932401087487386931</stp>
        <tr r="L20" s="8"/>
      </tp>
      <tp t="s">
        <v>#N/A N/A</v>
        <stp/>
        <stp>BDH|15132271128584899589</stp>
        <tr r="C12" s="3"/>
      </tp>
      <tp t="s">
        <v>#N/A N/A</v>
        <stp/>
        <stp>BDH|12396869486251624649</stp>
        <tr r="G8" s="6"/>
      </tp>
      <tp t="s">
        <v>#N/A N/A</v>
        <stp/>
        <stp>BDH|11045085796569993462</stp>
        <tr r="V12" s="5"/>
      </tp>
      <tp t="s">
        <v>#N/A N/A</v>
        <stp/>
        <stp>BDH|15120043272117279046</stp>
        <tr r="T8" s="2"/>
      </tp>
      <tp t="s">
        <v>#N/A N/A</v>
        <stp/>
        <stp>BDH|13371581869657133225</stp>
        <tr r="P23" s="2"/>
      </tp>
      <tp t="s">
        <v>#N/A N/A</v>
        <stp/>
        <stp>BDH|15295235870853393627</stp>
        <tr r="Q16" s="6"/>
      </tp>
      <tp t="s">
        <v>#N/A N/A</v>
        <stp/>
        <stp>BDH|16255283878397174138</stp>
        <tr r="P17" s="5"/>
      </tp>
      <tp t="s">
        <v>#N/A N/A</v>
        <stp/>
        <stp>BDH|14237132860363386522</stp>
        <tr r="C26" s="3"/>
      </tp>
      <tp t="s">
        <v>#N/A N/A</v>
        <stp/>
        <stp>BDH|13885370918726424235</stp>
        <tr r="O15" s="2"/>
      </tp>
      <tp t="s">
        <v>#N/A N/A</v>
        <stp/>
        <stp>BDH|15983370437771801111</stp>
        <tr r="P17" s="3"/>
      </tp>
      <tp t="s">
        <v>#N/A N/A</v>
        <stp/>
        <stp>BDH|16638592808157378145</stp>
        <tr r="S8" s="9"/>
      </tp>
      <tp t="s">
        <v>#N/A N/A</v>
        <stp/>
        <stp>BDH|11110074664280140236</stp>
        <tr r="K13" s="3"/>
      </tp>
      <tp t="s">
        <v>#N/A N/A</v>
        <stp/>
        <stp>BDH|12411253332436988094</stp>
        <tr r="M9" s="8"/>
      </tp>
      <tp t="s">
        <v>#N/A N/A</v>
        <stp/>
        <stp>BDH|15302620642441167311</stp>
        <tr r="J16" s="6"/>
      </tp>
      <tp t="s">
        <v>#N/A N/A</v>
        <stp/>
        <stp>BDH|14974657105917328099</stp>
        <tr r="E24" s="3"/>
      </tp>
      <tp t="s">
        <v>#N/A N/A</v>
        <stp/>
        <stp>BDH|13642739952156560218</stp>
        <tr r="J14" s="2"/>
      </tp>
      <tp t="s">
        <v>#N/A N/A</v>
        <stp/>
        <stp>BDH|15069858384988347816</stp>
        <tr r="F20" s="5"/>
      </tp>
      <tp t="s">
        <v>#N/A N/A</v>
        <stp/>
        <stp>BDH|16395994088801683379</stp>
        <tr r="M19" s="4"/>
      </tp>
      <tp t="s">
        <v>#N/A N/A</v>
        <stp/>
        <stp>BDH|11071054347360834089</stp>
        <tr r="I23" s="2"/>
      </tp>
      <tp t="s">
        <v>#N/A N/A</v>
        <stp/>
        <stp>BDH|14444260229794920508</stp>
        <tr r="O9" s="4"/>
      </tp>
      <tp t="s">
        <v>#N/A N/A</v>
        <stp/>
        <stp>BDH|17576121452473029578</stp>
        <tr r="P24" s="3"/>
      </tp>
      <tp t="s">
        <v>#N/A N/A</v>
        <stp/>
        <stp>BDH|13147262516791406476</stp>
        <tr r="D21" s="6"/>
      </tp>
      <tp t="s">
        <v>#N/A N/A</v>
        <stp/>
        <stp>BDH|11278753036483433374</stp>
        <tr r="V15" s="6"/>
      </tp>
      <tp t="s">
        <v>#N/A N/A</v>
        <stp/>
        <stp>BDH|13867291779385206681</stp>
        <tr r="V12" s="6"/>
      </tp>
      <tp t="s">
        <v>#N/A N/A</v>
        <stp/>
        <stp>BDH|10111347966012250237</stp>
        <tr r="J9" s="2"/>
      </tp>
      <tp t="s">
        <v>#N/A N/A</v>
        <stp/>
        <stp>BDH|18318438392949496932</stp>
        <tr r="F7" s="3"/>
      </tp>
      <tp t="s">
        <v>#N/A N/A</v>
        <stp/>
        <stp>BDH|13030427408780603299</stp>
        <tr r="L17" s="7"/>
      </tp>
      <tp t="s">
        <v>#N/A N/A</v>
        <stp/>
        <stp>BDH|14348477326290652719</stp>
        <tr r="G9" s="4"/>
      </tp>
      <tp t="s">
        <v>#N/A N/A</v>
        <stp/>
        <stp>BDH|13559369656174679469</stp>
        <tr r="P13" s="6"/>
      </tp>
      <tp t="s">
        <v>#N/A N/A</v>
        <stp/>
        <stp>BDH|16199527231895519023</stp>
        <tr r="S21" s="5"/>
      </tp>
      <tp t="s">
        <v>#N/A N/A</v>
        <stp/>
        <stp>BDH|13679761310654769422</stp>
        <tr r="L7" s="6"/>
      </tp>
      <tp t="s">
        <v>#N/A N/A</v>
        <stp/>
        <stp>BDH|17328650047000334069</stp>
        <tr r="H13" s="2"/>
      </tp>
      <tp t="s">
        <v>#N/A N/A</v>
        <stp/>
        <stp>BDH|10029586111770435195</stp>
        <tr r="E25" s="3"/>
      </tp>
      <tp t="s">
        <v>#N/A N/A</v>
        <stp/>
        <stp>BDH|16282506032831072445</stp>
        <tr r="P15" s="8"/>
      </tp>
      <tp t="s">
        <v>#N/A N/A</v>
        <stp/>
        <stp>BDH|14448138623232515062</stp>
        <tr r="D21" s="5"/>
      </tp>
      <tp t="s">
        <v>#N/A N/A</v>
        <stp/>
        <stp>BDH|13717179727865691068</stp>
        <tr r="M8" s="6"/>
      </tp>
      <tp t="s">
        <v>#N/A N/A</v>
        <stp/>
        <stp>BDH|11850137128942620530</stp>
        <tr r="T15" s="9"/>
      </tp>
      <tp t="s">
        <v>#N/A N/A</v>
        <stp/>
        <stp>BDH|10598015048292338392</stp>
        <tr r="O7" s="4"/>
      </tp>
      <tp t="s">
        <v>#N/A N/A</v>
        <stp/>
        <stp>BDH|11962694333946559703</stp>
        <tr r="J17" s="6"/>
      </tp>
      <tp t="s">
        <v>#N/A N/A</v>
        <stp/>
        <stp>BDH|11740806391350087508</stp>
        <tr r="J18" s="2"/>
      </tp>
      <tp t="s">
        <v>#N/A N/A</v>
        <stp/>
        <stp>BDH|16929958554559972678</stp>
        <tr r="R9" s="4"/>
      </tp>
      <tp t="s">
        <v>#N/A N/A</v>
        <stp/>
        <stp>BDH|15704242206877972556</stp>
        <tr r="M17" s="7"/>
      </tp>
      <tp t="s">
        <v>#N/A N/A</v>
        <stp/>
        <stp>BDH|12053077035230282495</stp>
        <tr r="H23" s="4"/>
      </tp>
      <tp t="s">
        <v>#N/A N/A</v>
        <stp/>
        <stp>BDH|13463482851304669321</stp>
        <tr r="G12" s="3"/>
      </tp>
      <tp t="s">
        <v>#N/A N/A</v>
        <stp/>
        <stp>BDH|17576682280728252460</stp>
        <tr r="Q8" s="5"/>
      </tp>
      <tp t="s">
        <v>#N/A N/A</v>
        <stp/>
        <stp>BDH|17279465519625113251</stp>
        <tr r="E14" s="2"/>
      </tp>
      <tp t="s">
        <v>#N/A N/A</v>
        <stp/>
        <stp>BDH|15752671820816955212</stp>
        <tr r="T8" s="4"/>
      </tp>
      <tp t="s">
        <v>#N/A N/A</v>
        <stp/>
        <stp>BDH|13082599594393713922</stp>
        <tr r="N14" s="4"/>
      </tp>
      <tp t="s">
        <v>#N/A N/A</v>
        <stp/>
        <stp>BDH|18441599195171199010</stp>
        <tr r="G9" s="9"/>
      </tp>
      <tp t="s">
        <v>#N/A N/A</v>
        <stp/>
        <stp>BDH|17181703594825943942</stp>
        <tr r="V10" s="5"/>
      </tp>
      <tp t="s">
        <v>#N/A N/A</v>
        <stp/>
        <stp>BDH|12296702532553894039</stp>
        <tr r="S24" s="3"/>
      </tp>
      <tp t="s">
        <v>#N/A N/A</v>
        <stp/>
        <stp>BDH|13714542566512735799</stp>
        <tr r="L7" s="4"/>
      </tp>
      <tp t="s">
        <v>#N/A N/A</v>
        <stp/>
        <stp>BDH|15183714178249791946</stp>
        <tr r="D7" s="8"/>
      </tp>
      <tp t="s">
        <v>#N/A N/A</v>
        <stp/>
        <stp>BDH|16687409269238640927</stp>
        <tr r="T18" s="3"/>
      </tp>
      <tp t="s">
        <v>#N/A N/A</v>
        <stp/>
        <stp>BDH|13865178755085422747</stp>
        <tr r="S22" s="6"/>
      </tp>
      <tp t="s">
        <v>#N/A N/A</v>
        <stp/>
        <stp>BDH|16665688703423404630</stp>
        <tr r="G15" s="7"/>
      </tp>
      <tp t="s">
        <v>#N/A N/A</v>
        <stp/>
        <stp>BDH|16000409910002875427</stp>
        <tr r="H13" s="5"/>
      </tp>
      <tp t="s">
        <v>#N/A N/A</v>
        <stp/>
        <stp>BDH|17562478462875257581</stp>
        <tr r="N14" s="2"/>
      </tp>
      <tp t="s">
        <v>#N/A N/A</v>
        <stp/>
        <stp>BDH|11844156136053351521</stp>
        <tr r="I12" s="6"/>
      </tp>
      <tp t="s">
        <v>#N/A N/A</v>
        <stp/>
        <stp>BDH|10616984284266802282</stp>
        <tr r="O21" s="8"/>
      </tp>
      <tp t="s">
        <v>#N/A N/A</v>
        <stp/>
        <stp>BDH|10812666844073789404</stp>
        <tr r="P12" s="6"/>
      </tp>
      <tp t="s">
        <v>#N/A N/A</v>
        <stp/>
        <stp>BDH|13910925791680006678</stp>
        <tr r="F16" s="5"/>
      </tp>
      <tp t="s">
        <v>#N/A N/A</v>
        <stp/>
        <stp>BDH|14133302832907719696</stp>
        <tr r="R6" s="5"/>
      </tp>
      <tp t="s">
        <v>#N/A N/A</v>
        <stp/>
        <stp>BDH|15635618558610576374</stp>
        <tr r="I10" s="4"/>
      </tp>
      <tp t="s">
        <v>#N/A N/A</v>
        <stp/>
        <stp>BDH|10930278981739417676</stp>
        <tr r="R22" s="5"/>
      </tp>
      <tp t="s">
        <v>#N/A N/A</v>
        <stp/>
        <stp>BDH|13323820907997298989</stp>
        <tr r="F10" s="4"/>
      </tp>
      <tp t="s">
        <v>#N/A N/A</v>
        <stp/>
        <stp>BDH|16874017335007629761</stp>
        <tr r="F15" s="8"/>
      </tp>
      <tp t="s">
        <v>#N/A N/A</v>
        <stp/>
        <stp>BDH|11630584402476220722</stp>
        <tr r="D19" s="2"/>
      </tp>
      <tp t="s">
        <v>#N/A N/A</v>
        <stp/>
        <stp>BDH|15765495643455453569</stp>
        <tr r="F8" s="4"/>
      </tp>
      <tp t="s">
        <v>#N/A N/A</v>
        <stp/>
        <stp>BDH|13220389112244741000</stp>
        <tr r="F15" s="6"/>
      </tp>
      <tp t="s">
        <v>#N/A N/A</v>
        <stp/>
        <stp>BDH|13081713843954879156</stp>
        <tr r="S9" s="7"/>
      </tp>
      <tp t="s">
        <v>#N/A N/A</v>
        <stp/>
        <stp>BDH|13053300869220134372</stp>
        <tr r="O11" s="7"/>
      </tp>
      <tp t="s">
        <v>#N/A N/A</v>
        <stp/>
        <stp>BDH|14309753719647248027</stp>
        <tr r="H17" s="6"/>
      </tp>
      <tp t="s">
        <v>#N/A N/A</v>
        <stp/>
        <stp>BDH|15944770612100378606</stp>
        <tr r="T20" s="8"/>
      </tp>
      <tp t="s">
        <v>#N/A N/A</v>
        <stp/>
        <stp>BDH|14984579781154555851</stp>
        <tr r="U8" s="2"/>
      </tp>
      <tp t="s">
        <v>#N/A N/A</v>
        <stp/>
        <stp>BDH|17185218391619960069</stp>
        <tr r="L24" s="3"/>
      </tp>
    </main>
    <main first="bofaddin.rtdserver">
      <tp t="s">
        <v>#N/A N/A</v>
        <stp/>
        <stp>BDH|2159908726275814</stp>
        <tr r="K7" s="8"/>
      </tp>
      <tp t="s">
        <v>#N/A N/A</v>
        <stp/>
        <stp>BDH|3996985290266711</stp>
        <tr r="R12" s="5"/>
      </tp>
      <tp t="s">
        <v>#N/A N/A</v>
        <stp/>
        <stp>BDH|4757907537139481</stp>
        <tr r="M13" s="7"/>
      </tp>
      <tp t="s">
        <v>#N/A N/A</v>
        <stp/>
        <stp>BDH|8439693208686637496</stp>
        <tr r="I17" s="6"/>
      </tp>
      <tp t="s">
        <v>#N/A N/A</v>
        <stp/>
        <stp>BDH|9175042862911518284</stp>
        <tr r="P24" s="5"/>
      </tp>
      <tp t="s">
        <v>#N/A N/A</v>
        <stp/>
        <stp>BDH|2209999066590026177</stp>
        <tr r="F25" s="3"/>
      </tp>
      <tp t="s">
        <v>#N/A N/A</v>
        <stp/>
        <stp>BDH|5184885160922720557</stp>
        <tr r="S16" s="5"/>
      </tp>
      <tp t="s">
        <v>#N/A N/A</v>
        <stp/>
        <stp>BDH|8950240108810733699</stp>
        <tr r="O9" s="7"/>
      </tp>
      <tp t="s">
        <v>#N/A N/A</v>
        <stp/>
        <stp>BDH|2620326229688131776</stp>
        <tr r="D24" s="5"/>
      </tp>
      <tp t="s">
        <v>#N/A N/A</v>
        <stp/>
        <stp>BDH|4359038658538263514</stp>
        <tr r="C13" s="7"/>
      </tp>
      <tp t="s">
        <v>#N/A N/A</v>
        <stp/>
        <stp>BDH|5241034648074282939</stp>
        <tr r="I6" s="3"/>
      </tp>
      <tp t="s">
        <v>#N/A N/A</v>
        <stp/>
        <stp>BDH|4006704688135851280</stp>
        <tr r="S28" s="5"/>
      </tp>
      <tp t="s">
        <v>#N/A N/A</v>
        <stp/>
        <stp>BDH|8081553170857824153</stp>
        <tr r="V19" s="2"/>
      </tp>
      <tp t="s">
        <v>#N/A N/A</v>
        <stp/>
        <stp>BDH|8249350979011133179</stp>
        <tr r="U9" s="6"/>
      </tp>
      <tp t="s">
        <v>#N/A N/A</v>
        <stp/>
        <stp>BDH|4929306092570135239</stp>
        <tr r="L9" s="9"/>
      </tp>
      <tp t="s">
        <v>#N/A N/A</v>
        <stp/>
        <stp>BDH|4186484370402843982</stp>
        <tr r="I9" s="5"/>
      </tp>
      <tp t="s">
        <v>#N/A N/A</v>
        <stp/>
        <stp>BDH|4002276848858944695</stp>
        <tr r="M6" s="5"/>
      </tp>
      <tp t="s">
        <v>#N/A N/A</v>
        <stp/>
        <stp>BDH|4265033217619961035</stp>
        <tr r="N20" s="6"/>
      </tp>
      <tp t="s">
        <v>#N/A N/A</v>
        <stp/>
        <stp>BDH|7251690837737954995</stp>
        <tr r="E9" s="5"/>
      </tp>
      <tp t="s">
        <v>#N/A N/A</v>
        <stp/>
        <stp>BDH|3251819969894708510</stp>
        <tr r="R7" s="6"/>
      </tp>
      <tp t="s">
        <v>#N/A N/A</v>
        <stp/>
        <stp>BDH|9158250551324862617</stp>
        <tr r="H15" s="7"/>
      </tp>
      <tp t="s">
        <v>#N/A N/A</v>
        <stp/>
        <stp>BDH|7636587824338584434</stp>
        <tr r="H12" s="8"/>
      </tp>
      <tp t="s">
        <v>#N/A N/A</v>
        <stp/>
        <stp>BDH|4640922616442606288</stp>
        <tr r="P12" s="7"/>
      </tp>
      <tp t="s">
        <v>#N/A N/A</v>
        <stp/>
        <stp>BDH|2602278012944868964</stp>
        <tr r="S9" s="8"/>
      </tp>
      <tp t="s">
        <v>#N/A N/A</v>
        <stp/>
        <stp>BDH|6884139019618611291</stp>
        <tr r="J8" s="9"/>
      </tp>
      <tp t="s">
        <v>#N/A N/A</v>
        <stp/>
        <stp>BDH|9646536112918840929</stp>
        <tr r="K16" s="3"/>
      </tp>
      <tp t="s">
        <v>#N/A N/A</v>
        <stp/>
        <stp>BDH|6349496831998575537</stp>
        <tr r="P22" s="4"/>
      </tp>
      <tp t="s">
        <v>#N/A N/A</v>
        <stp/>
        <stp>BDH|5194427281832177714</stp>
        <tr r="Q14" s="3"/>
      </tp>
      <tp t="s">
        <v>#N/A N/A</v>
        <stp/>
        <stp>BDH|5312682699302478443</stp>
        <tr r="O14" s="6"/>
      </tp>
      <tp t="s">
        <v>#N/A N/A</v>
        <stp/>
        <stp>BDH|9756505546843767740</stp>
        <tr r="I22" s="5"/>
      </tp>
      <tp t="s">
        <v>#N/A N/A</v>
        <stp/>
        <stp>BDH|2718774303579487041</stp>
        <tr r="T14" s="3"/>
      </tp>
      <tp t="s">
        <v>#N/A N/A</v>
        <stp/>
        <stp>BDH|7287058567794423978</stp>
        <tr r="G16" s="7"/>
      </tp>
      <tp t="s">
        <v>#N/A N/A</v>
        <stp/>
        <stp>BDH|8306969404065593841</stp>
        <tr r="Q7" s="2"/>
      </tp>
      <tp t="s">
        <v>#N/A N/A</v>
        <stp/>
        <stp>BDH|9016150370251470210</stp>
        <tr r="K14" s="5"/>
      </tp>
      <tp t="s">
        <v>#N/A N/A</v>
        <stp/>
        <stp>BDH|3394197239168563563</stp>
        <tr r="Q13" s="9"/>
      </tp>
      <tp t="s">
        <v>#N/A N/A</v>
        <stp/>
        <stp>BDH|4901765926914124981</stp>
        <tr r="Q7" s="3"/>
      </tp>
      <tp t="s">
        <v>#N/A N/A</v>
        <stp/>
        <stp>BDH|9560760182018638262</stp>
        <tr r="U8" s="6"/>
      </tp>
      <tp t="s">
        <v>#N/A N/A</v>
        <stp/>
        <stp>BDH|9211542650386018377</stp>
        <tr r="L8" s="4"/>
      </tp>
      <tp t="s">
        <v>#N/A N/A</v>
        <stp/>
        <stp>BDH|2003141660188192142</stp>
        <tr r="H7" s="4"/>
      </tp>
      <tp t="s">
        <v>#N/A N/A</v>
        <stp/>
        <stp>BDH|6626992493208946235</stp>
        <tr r="M16" s="7"/>
      </tp>
      <tp t="s">
        <v>#N/A N/A</v>
        <stp/>
        <stp>BDH|4996432708794199850</stp>
        <tr r="U12" s="5"/>
      </tp>
      <tp t="s">
        <v>#N/A N/A</v>
        <stp/>
        <stp>BDH|1772778332870413902</stp>
        <tr r="S14" s="6"/>
      </tp>
      <tp t="s">
        <v>#N/A N/A</v>
        <stp/>
        <stp>BDH|3861703568677073942</stp>
        <tr r="J22" s="4"/>
      </tp>
      <tp t="s">
        <v>#N/A N/A</v>
        <stp/>
        <stp>BDH|2433511343587196834</stp>
        <tr r="H7" s="7"/>
      </tp>
      <tp t="s">
        <v>#N/A N/A</v>
        <stp/>
        <stp>BDH|3898704572407686893</stp>
        <tr r="G21" s="8"/>
      </tp>
      <tp t="s">
        <v>#N/A N/A</v>
        <stp/>
        <stp>BDH|4540230755117169879</stp>
        <tr r="T10" s="3"/>
      </tp>
      <tp t="s">
        <v>#N/A N/A</v>
        <stp/>
        <stp>BDH|85578072197490442</stp>
        <tr r="P14" s="4"/>
      </tp>
      <tp t="s">
        <v>#N/A N/A</v>
        <stp/>
        <stp>BDH|6611005955389955700</stp>
        <tr r="O8" s="5"/>
      </tp>
      <tp t="s">
        <v>#N/A N/A</v>
        <stp/>
        <stp>BDH|7953962920567639635</stp>
        <tr r="R21" s="8"/>
      </tp>
      <tp t="s">
        <v>#N/A N/A</v>
        <stp/>
        <stp>BDH|8889053957574173413</stp>
        <tr r="G13" s="8"/>
      </tp>
      <tp t="s">
        <v>#N/A N/A</v>
        <stp/>
        <stp>BDH|6081979087762997835</stp>
        <tr r="E22" s="8"/>
      </tp>
      <tp t="s">
        <v>#N/A N/A</v>
        <stp/>
        <stp>BDH|9745602901901408399</stp>
        <tr r="G12" s="6"/>
      </tp>
      <tp t="s">
        <v>#N/A N/A</v>
        <stp/>
        <stp>BDH|2588967129901626572</stp>
        <tr r="D9" s="8"/>
      </tp>
      <tp t="s">
        <v>#N/A N/A</v>
        <stp/>
        <stp>BDH|2067839739735562146</stp>
        <tr r="O12" s="8"/>
      </tp>
      <tp t="s">
        <v>#N/A N/A</v>
        <stp/>
        <stp>BDH|8314207516030531680</stp>
        <tr r="L24" s="4"/>
      </tp>
      <tp t="s">
        <v>#N/A N/A</v>
        <stp/>
        <stp>BDH|3303041879889720011</stp>
        <tr r="R8" s="3"/>
      </tp>
      <tp t="s">
        <v>#N/A N/A</v>
        <stp/>
        <stp>BDH|1815996838283165513</stp>
        <tr r="N8" s="7"/>
      </tp>
      <tp t="s">
        <v>#N/A N/A</v>
        <stp/>
        <stp>BDH|8892389019324125318</stp>
        <tr r="F19" s="2"/>
      </tp>
      <tp t="s">
        <v>#N/A N/A</v>
        <stp/>
        <stp>BDH|8997091568443538036</stp>
        <tr r="G15" s="6"/>
      </tp>
      <tp t="s">
        <v>#N/A N/A</v>
        <stp/>
        <stp>BDH|9263274818842387513</stp>
        <tr r="K20" s="5"/>
      </tp>
      <tp t="s">
        <v>#N/A N/A</v>
        <stp/>
        <stp>BDH|7524166789354224776</stp>
        <tr r="N18" s="3"/>
      </tp>
      <tp t="s">
        <v>#N/A N/A</v>
        <stp/>
        <stp>BDH|5843540220698549762</stp>
        <tr r="Q21" s="6"/>
      </tp>
      <tp t="s">
        <v>#N/A N/A</v>
        <stp/>
        <stp>BDH|6320281051588768426</stp>
        <tr r="R20" s="3"/>
      </tp>
      <tp t="s">
        <v>#N/A N/A</v>
        <stp/>
        <stp>BDH|7915904396059530350</stp>
        <tr r="I19" s="2"/>
      </tp>
      <tp t="s">
        <v>#N/A N/A</v>
        <stp/>
        <stp>BDH|5021852119367665674</stp>
        <tr r="I9" s="2"/>
      </tp>
      <tp t="s">
        <v>#N/A N/A</v>
        <stp/>
        <stp>BDH|7761792620576719941</stp>
        <tr r="M9" s="4"/>
      </tp>
      <tp t="s">
        <v>#N/A N/A</v>
        <stp/>
        <stp>BDH|5330037890316864755</stp>
        <tr r="C23" s="4"/>
      </tp>
      <tp t="s">
        <v>#N/A N/A</v>
        <stp/>
        <stp>BDH|3761975608406644135</stp>
        <tr r="Q12" s="8"/>
      </tp>
      <tp t="s">
        <v>#N/A N/A</v>
        <stp/>
        <stp>BDH|9068238793129258609</stp>
        <tr r="D12" s="3"/>
      </tp>
      <tp t="s">
        <v>#N/A N/A</v>
        <stp/>
        <stp>BDH|2827830601244858306</stp>
        <tr r="D19" s="4"/>
      </tp>
      <tp t="s">
        <v>#N/A N/A</v>
        <stp/>
        <stp>BDH|9235164533344123244</stp>
        <tr r="U8" s="4"/>
      </tp>
      <tp t="s">
        <v>#N/A N/A</v>
        <stp/>
        <stp>BDH|2002247767813713869</stp>
        <tr r="G21" s="5"/>
      </tp>
      <tp t="s">
        <v>#N/A N/A</v>
        <stp/>
        <stp>BDH|9315463136214216736</stp>
        <tr r="Q9" s="5"/>
      </tp>
      <tp t="s">
        <v>#N/A N/A</v>
        <stp/>
        <stp>BDH|7956116949888261710</stp>
        <tr r="L14" s="8"/>
      </tp>
      <tp t="s">
        <v>#N/A N/A</v>
        <stp/>
        <stp>BDH|5140120962256387917</stp>
        <tr r="C9" s="3"/>
      </tp>
      <tp t="s">
        <v>#N/A N/A</v>
        <stp/>
        <stp>BDH|7273046789615911762</stp>
        <tr r="F24" s="2"/>
      </tp>
      <tp t="s">
        <v>#N/A N/A</v>
        <stp/>
        <stp>BDH|1178532893997695773</stp>
        <tr r="T13" s="5"/>
      </tp>
      <tp t="s">
        <v>#N/A N/A</v>
        <stp/>
        <stp>BDH|9981263517840065789</stp>
        <tr r="R17" s="6"/>
      </tp>
      <tp t="s">
        <v>#N/A N/A</v>
        <stp/>
        <stp>BDH|3209227396280710501</stp>
        <tr r="H21" s="8"/>
      </tp>
      <tp t="s">
        <v>#N/A N/A</v>
        <stp/>
        <stp>BDH|6754613687137318233</stp>
        <tr r="T17" s="8"/>
      </tp>
      <tp t="s">
        <v>#N/A N/A</v>
        <stp/>
        <stp>BDH|6101692769809583256</stp>
        <tr r="E15" s="8"/>
      </tp>
      <tp t="s">
        <v>#N/A N/A</v>
        <stp/>
        <stp>BDH|8493425056533491754</stp>
        <tr r="C7" s="6"/>
      </tp>
      <tp t="s">
        <v>#N/A N/A</v>
        <stp/>
        <stp>BDH|6444520796394834390</stp>
        <tr r="D20" s="2"/>
      </tp>
      <tp t="s">
        <v>#N/A N/A</v>
        <stp/>
        <stp>BDH|3224604573526008909</stp>
        <tr r="R16" s="3"/>
      </tp>
      <tp t="s">
        <v>#N/A N/A</v>
        <stp/>
        <stp>BDH|4491631684661534673</stp>
        <tr r="F28" s="5"/>
      </tp>
      <tp t="s">
        <v>#N/A N/A</v>
        <stp/>
        <stp>BDH|5610170293094578413</stp>
        <tr r="P15" s="7"/>
      </tp>
      <tp t="s">
        <v>#N/A N/A</v>
        <stp/>
        <stp>BDH|9145211616365248227</stp>
        <tr r="V10" s="2"/>
      </tp>
      <tp t="s">
        <v>#N/A N/A</v>
        <stp/>
        <stp>BDH|4089799503956533892</stp>
        <tr r="I24" s="5"/>
      </tp>
      <tp t="s">
        <v>#N/A N/A</v>
        <stp/>
        <stp>BDH|3360072755953715807</stp>
        <tr r="D14" s="2"/>
      </tp>
      <tp t="s">
        <v>#N/A N/A</v>
        <stp/>
        <stp>BDH|6290641180501374436</stp>
        <tr r="J14" s="5"/>
      </tp>
      <tp t="s">
        <v>#N/A N/A</v>
        <stp/>
        <stp>BDH|6566951211320000360</stp>
        <tr r="Q17" s="9"/>
      </tp>
      <tp t="s">
        <v>#N/A N/A</v>
        <stp/>
        <stp>BDH|4613804452314264014</stp>
        <tr r="V28" s="5"/>
      </tp>
      <tp t="s">
        <v>#N/A N/A</v>
        <stp/>
        <stp>BDH|5374085156318240582</stp>
        <tr r="K9" s="2"/>
      </tp>
      <tp t="s">
        <v>#N/A N/A</v>
        <stp/>
        <stp>BDH|2807834143381878276</stp>
        <tr r="Q12" s="9"/>
      </tp>
      <tp t="s">
        <v>#N/A N/A</v>
        <stp/>
        <stp>BDH|2587990239153091612</stp>
        <tr r="S19" s="4"/>
      </tp>
      <tp t="s">
        <v>#N/A N/A</v>
        <stp/>
        <stp>BDH|5631516145411122876</stp>
        <tr r="E18" s="4"/>
      </tp>
      <tp t="s">
        <v>#N/A N/A</v>
        <stp/>
        <stp>BDH|6044571680196579070</stp>
        <tr r="R7" s="3"/>
      </tp>
      <tp t="s">
        <v>#N/A N/A</v>
        <stp/>
        <stp>BDH|3543014223675244909</stp>
        <tr r="S20" s="5"/>
      </tp>
      <tp t="s">
        <v>#N/A N/A</v>
        <stp/>
        <stp>BDH|5626956213590553009</stp>
        <tr r="D11" s="9"/>
      </tp>
      <tp t="s">
        <v>#N/A N/A</v>
        <stp/>
        <stp>BDH|66826139523945806</stp>
        <tr r="M25" s="2"/>
      </tp>
      <tp t="s">
        <v>#N/A N/A</v>
        <stp/>
        <stp>BDH|2433102065599821235</stp>
        <tr r="P21" s="3"/>
      </tp>
      <tp t="s">
        <v>#N/A N/A</v>
        <stp/>
        <stp>BDH|7330232429949203010</stp>
        <tr r="I10" s="2"/>
      </tp>
      <tp t="s">
        <v>#N/A N/A</v>
        <stp/>
        <stp>BDH|5428126020998409094</stp>
        <tr r="F25" s="5"/>
      </tp>
      <tp t="s">
        <v>#N/A N/A</v>
        <stp/>
        <stp>BDH|7962328401698302222</stp>
        <tr r="T17" s="7"/>
      </tp>
      <tp t="s">
        <v>#N/A N/A</v>
        <stp/>
        <stp>BDH|5098411413709155786</stp>
        <tr r="H14" s="2"/>
      </tp>
      <tp t="s">
        <v>#N/A N/A</v>
        <stp/>
        <stp>BDH|2770378499513060512</stp>
        <tr r="U24" s="5"/>
      </tp>
      <tp t="s">
        <v>#N/A N/A</v>
        <stp/>
        <stp>BDH|6597586836836266800</stp>
        <tr r="D17" s="3"/>
      </tp>
      <tp t="s">
        <v>#N/A N/A</v>
        <stp/>
        <stp>BDH|6746901258766106270</stp>
        <tr r="N9" s="5"/>
      </tp>
      <tp t="s">
        <v>#N/A N/A</v>
        <stp/>
        <stp>BDH|8161533306417489492</stp>
        <tr r="N20" s="2"/>
      </tp>
      <tp t="s">
        <v>#N/A N/A</v>
        <stp/>
        <stp>BDH|4966970914644731649</stp>
        <tr r="G18" s="4"/>
      </tp>
      <tp t="s">
        <v>#N/A N/A</v>
        <stp/>
        <stp>BDH|3618840148814650550</stp>
        <tr r="G13" s="2"/>
      </tp>
      <tp t="s">
        <v>#N/A N/A</v>
        <stp/>
        <stp>BDH|8420173633267663386</stp>
        <tr r="F12" s="3"/>
      </tp>
      <tp t="s">
        <v>#N/A N/A</v>
        <stp/>
        <stp>BDH|2678940727074215393</stp>
        <tr r="P8" s="8"/>
      </tp>
      <tp t="s">
        <v>#N/A N/A</v>
        <stp/>
        <stp>BDH|7700553563219749382</stp>
        <tr r="N26" s="3"/>
      </tp>
      <tp t="s">
        <v>#N/A N/A</v>
        <stp/>
        <stp>BDH|1849648285616293754</stp>
        <tr r="G9" s="5"/>
      </tp>
      <tp t="s">
        <v>#N/A N/A</v>
        <stp/>
        <stp>BDH|3243846461841900205</stp>
        <tr r="M26" s="3"/>
      </tp>
      <tp t="s">
        <v>#N/A N/A</v>
        <stp/>
        <stp>BDH|6706405628399939796</stp>
        <tr r="P20" s="2"/>
      </tp>
      <tp t="s">
        <v>#N/A N/A</v>
        <stp/>
        <stp>BDH|4658945969296550311</stp>
        <tr r="F18" s="4"/>
      </tp>
      <tp t="s">
        <v>#N/A N/A</v>
        <stp/>
        <stp>BDH|8917284747579220988</stp>
        <tr r="F12" s="8"/>
      </tp>
      <tp t="s">
        <v>#N/A N/A</v>
        <stp/>
        <stp>BDH|8438321100652733735</stp>
        <tr r="Q26" s="3"/>
      </tp>
      <tp t="s">
        <v>#N/A N/A</v>
        <stp/>
        <stp>BDH|9625429154231279705</stp>
        <tr r="J16" s="7"/>
      </tp>
      <tp t="s">
        <v>#N/A N/A</v>
        <stp/>
        <stp>BDH|4055960634252372221</stp>
        <tr r="T22" s="6"/>
      </tp>
      <tp t="s">
        <v>#N/A N/A</v>
        <stp/>
        <stp>BDH|9283929326708063450</stp>
        <tr r="Q7" s="4"/>
      </tp>
      <tp t="s">
        <v>#N/A N/A</v>
        <stp/>
        <stp>BDH|6522632223628613403</stp>
        <tr r="P10" s="5"/>
      </tp>
      <tp t="s">
        <v>#N/A N/A</v>
        <stp/>
        <stp>BDH|8722198913934629287</stp>
        <tr r="J21" s="5"/>
      </tp>
      <tp t="s">
        <v>#N/A N/A</v>
        <stp/>
        <stp>BDH|9166206144130202177</stp>
        <tr r="N7" s="9"/>
      </tp>
      <tp t="s">
        <v>#N/A N/A</v>
        <stp/>
        <stp>BDH|1556378656380400907</stp>
        <tr r="S18" s="4"/>
      </tp>
      <tp t="s">
        <v>#N/A N/A</v>
        <stp/>
        <stp>BDH|1615215557518102019</stp>
        <tr r="G13" s="6"/>
      </tp>
      <tp t="s">
        <v>#N/A N/A</v>
        <stp/>
        <stp>BDH|2436180053701898977</stp>
        <tr r="P12" s="8"/>
      </tp>
      <tp t="s">
        <v>#N/A N/A</v>
        <stp/>
        <stp>BDH|1892459872039680596</stp>
        <tr r="E7" s="2"/>
      </tp>
      <tp t="s">
        <v>#N/A N/A</v>
        <stp/>
        <stp>BDH|5258841446087185009</stp>
        <tr r="D9" s="9"/>
      </tp>
      <tp t="s">
        <v>#N/A N/A</v>
        <stp/>
        <stp>BDH|8514262977621125243</stp>
        <tr r="U15" s="6"/>
      </tp>
      <tp t="s">
        <v>#N/A N/A</v>
        <stp/>
        <stp>BDH|7238877607571776040</stp>
        <tr r="E24" s="2"/>
      </tp>
      <tp t="s">
        <v>#N/A N/A</v>
        <stp/>
        <stp>BDH|4503069689091376388</stp>
        <tr r="V22" s="6"/>
      </tp>
      <tp t="s">
        <v>#N/A N/A</v>
        <stp/>
        <stp>BDH|3476850640263592254</stp>
        <tr r="M7" s="3"/>
      </tp>
      <tp t="s">
        <v>#N/A N/A</v>
        <stp/>
        <stp>BDH|5474060997660219268</stp>
        <tr r="O8" s="6"/>
      </tp>
      <tp t="s">
        <v>#N/A N/A</v>
        <stp/>
        <stp>BDH|8753810987237384133</stp>
        <tr r="R17" s="5"/>
      </tp>
      <tp t="s">
        <v>#N/A N/A</v>
        <stp/>
        <stp>BDH|4378159603279503213</stp>
        <tr r="L17" s="9"/>
      </tp>
      <tp t="s">
        <v>#N/A N/A</v>
        <stp/>
        <stp>BDH|1980569403588917230</stp>
        <tr r="L18" s="2"/>
      </tp>
      <tp t="s">
        <v>#N/A N/A</v>
        <stp/>
        <stp>BDH|6814284567665445950</stp>
        <tr r="M21" s="5"/>
      </tp>
      <tp t="s">
        <v>#N/A N/A</v>
        <stp/>
        <stp>BDH|7470860158630870440</stp>
        <tr r="H28" s="5"/>
      </tp>
      <tp t="s">
        <v>#N/A N/A</v>
        <stp/>
        <stp>BDH|9930112729790361446</stp>
        <tr r="I13" s="7"/>
      </tp>
      <tp t="s">
        <v>#N/A N/A</v>
        <stp/>
        <stp>BDH|5187273652789221507</stp>
        <tr r="P14" s="2"/>
      </tp>
      <tp t="s">
        <v>#N/A N/A</v>
        <stp/>
        <stp>BDH|1639251189092876754</stp>
        <tr r="N24" s="5"/>
      </tp>
      <tp t="s">
        <v>#N/A N/A</v>
        <stp/>
        <stp>BDH|6287128096258201833</stp>
        <tr r="F17" s="9"/>
      </tp>
      <tp t="s">
        <v>#N/A N/A</v>
        <stp/>
        <stp>BDH|6836391966265953895</stp>
        <tr r="K16" s="5"/>
      </tp>
      <tp t="s">
        <v>#N/A N/A</v>
        <stp/>
        <stp>BDH|9711181671005137481</stp>
        <tr r="S7" s="4"/>
      </tp>
      <tp t="s">
        <v>#N/A N/A</v>
        <stp/>
        <stp>BDH|7236567560712432877</stp>
        <tr r="U20" s="3"/>
      </tp>
      <tp t="s">
        <v>#N/A N/A</v>
        <stp/>
        <stp>BDH|3141806279335749788</stp>
        <tr r="O7" s="9"/>
      </tp>
      <tp t="s">
        <v>#N/A N/A</v>
        <stp/>
        <stp>BDH|4732981814793673193</stp>
        <tr r="S9" s="6"/>
      </tp>
      <tp t="s">
        <v>#N/A N/A</v>
        <stp/>
        <stp>BDH|9162566994092353944</stp>
        <tr r="C24" s="3"/>
      </tp>
      <tp t="s">
        <v>#N/A N/A</v>
        <stp/>
        <stp>BDH|3453061093434370063</stp>
        <tr r="N20" s="5"/>
      </tp>
      <tp t="s">
        <v>#N/A N/A</v>
        <stp/>
        <stp>BDH|3191404485171845081</stp>
        <tr r="N13" s="2"/>
      </tp>
      <tp t="s">
        <v>#N/A N/A</v>
        <stp/>
        <stp>BDH|2254896253788884959</stp>
        <tr r="H21" s="3"/>
      </tp>
      <tp t="s">
        <v>#N/A N/A</v>
        <stp/>
        <stp>BDH|6952283450087124850</stp>
        <tr r="D9" s="5"/>
      </tp>
      <tp t="s">
        <v>#N/A N/A</v>
        <stp/>
        <stp>BDH|1125432051368387652</stp>
        <tr r="D8" s="7"/>
      </tp>
      <tp t="s">
        <v>#N/A N/A</v>
        <stp/>
        <stp>BDH|2171116415219788572</stp>
        <tr r="L14" s="5"/>
      </tp>
      <tp t="s">
        <v>#N/A N/A</v>
        <stp/>
        <stp>BDH|5676969867447372315</stp>
        <tr r="C20" s="5"/>
      </tp>
      <tp t="s">
        <v>#N/A N/A</v>
        <stp/>
        <stp>BDH|2446197065282588983</stp>
        <tr r="P26" s="5"/>
      </tp>
      <tp t="s">
        <v>#N/A N/A</v>
        <stp/>
        <stp>BDH|8077730476075709379</stp>
        <tr r="J12" s="7"/>
      </tp>
      <tp t="s">
        <v>#N/A N/A</v>
        <stp/>
        <stp>BDH|7055507897673504786</stp>
        <tr r="F10" s="2"/>
      </tp>
      <tp t="s">
        <v>#N/A N/A</v>
        <stp/>
        <stp>BDH|6621893884340249933</stp>
        <tr r="D16" s="7"/>
      </tp>
      <tp t="s">
        <v>#N/A N/A</v>
        <stp/>
        <stp>BDH|4818856326737475653</stp>
        <tr r="U16" s="2"/>
      </tp>
      <tp t="s">
        <v>#N/A N/A</v>
        <stp/>
        <stp>BDH|6636842656271751590</stp>
        <tr r="K13" s="7"/>
      </tp>
      <tp t="s">
        <v>#N/A N/A</v>
        <stp/>
        <stp>BDH|7866988619153373305</stp>
        <tr r="I26" s="3"/>
      </tp>
      <tp t="s">
        <v>#N/A N/A</v>
        <stp/>
        <stp>BDH|5829459305428143637</stp>
        <tr r="M20" s="8"/>
      </tp>
      <tp t="s">
        <v>#N/A N/A</v>
        <stp/>
        <stp>BDH|2581084473688782220</stp>
        <tr r="E8" s="2"/>
      </tp>
      <tp t="s">
        <v>#N/A N/A</v>
        <stp/>
        <stp>BDH|7642229699197659401</stp>
        <tr r="U9" s="3"/>
      </tp>
      <tp t="s">
        <v>#N/A N/A</v>
        <stp/>
        <stp>BDH|6823595169623497970</stp>
        <tr r="L12" s="7"/>
      </tp>
      <tp t="s">
        <v>#N/A N/A</v>
        <stp/>
        <stp>BDH|8151718234282822170</stp>
        <tr r="L8" s="3"/>
      </tp>
      <tp t="s">
        <v>#N/A N/A</v>
        <stp/>
        <stp>BDH|1308985441241035225</stp>
        <tr r="O21" s="6"/>
      </tp>
      <tp t="s">
        <v>#N/A N/A</v>
        <stp/>
        <stp>BDH|6259722082803964539</stp>
        <tr r="I14" s="4"/>
      </tp>
      <tp t="s">
        <v>#N/A N/A</v>
        <stp/>
        <stp>BDH|5662028189344389665</stp>
        <tr r="K17" s="3"/>
      </tp>
      <tp t="s">
        <v>#N/A N/A</v>
        <stp/>
        <stp>BDH|8398189850403210017</stp>
        <tr r="E12" s="9"/>
      </tp>
      <tp t="s">
        <v>#N/A N/A</v>
        <stp/>
        <stp>BDH|6020858865263124496</stp>
        <tr r="S15" s="4"/>
      </tp>
      <tp t="s">
        <v>#N/A N/A</v>
        <stp/>
        <stp>BDH|2100529903178177090</stp>
        <tr r="K8" s="3"/>
      </tp>
      <tp t="s">
        <v>#N/A N/A</v>
        <stp/>
        <stp>BDH|1800630533153553847</stp>
        <tr r="L24" s="2"/>
      </tp>
      <tp t="s">
        <v>#N/A N/A</v>
        <stp/>
        <stp>BDH|9397657359310416528</stp>
        <tr r="T16" s="2"/>
      </tp>
      <tp t="s">
        <v>#N/A N/A</v>
        <stp/>
        <stp>BDH|8203233335084926232</stp>
        <tr r="L15" s="6"/>
      </tp>
      <tp t="s">
        <v>#N/A N/A</v>
        <stp/>
        <stp>BDH|1670416873635923833</stp>
        <tr r="O23" s="4"/>
      </tp>
      <tp t="s">
        <v>#N/A N/A</v>
        <stp/>
        <stp>BDH|6513136084362955259</stp>
        <tr r="F12" s="5"/>
      </tp>
      <tp t="s">
        <v>#N/A N/A</v>
        <stp/>
        <stp>BDH|4693087768129822400</stp>
        <tr r="S7" s="2"/>
      </tp>
      <tp t="s">
        <v>#N/A N/A</v>
        <stp/>
        <stp>BDH|4073381084427536752</stp>
        <tr r="C6" s="5"/>
      </tp>
      <tp t="s">
        <v>#N/A N/A</v>
        <stp/>
        <stp>BDH|5919815915004195701</stp>
        <tr r="R18" s="3"/>
      </tp>
      <tp t="s">
        <v>#N/A N/A</v>
        <stp/>
        <stp>BDH|9867713417132602255</stp>
        <tr r="G7" s="6"/>
      </tp>
      <tp t="s">
        <v>#N/A N/A</v>
        <stp/>
        <stp>BDH|7505840657480231596</stp>
        <tr r="C18" s="3"/>
      </tp>
      <tp t="s">
        <v>#N/A N/A</v>
        <stp/>
        <stp>BDH|1816555205863262878</stp>
        <tr r="M13" s="4"/>
      </tp>
      <tp t="s">
        <v>#N/A N/A</v>
        <stp/>
        <stp>BDH|8968232832426471015</stp>
        <tr r="N9" s="3"/>
      </tp>
      <tp t="s">
        <v>#N/A N/A</v>
        <stp/>
        <stp>BDH|1902092213448777795</stp>
        <tr r="N14" s="3"/>
      </tp>
      <tp t="s">
        <v>#N/A N/A</v>
        <stp/>
        <stp>BDH|4582695287453355651</stp>
        <tr r="Q8" s="9"/>
      </tp>
      <tp t="s">
        <v>#N/A N/A</v>
        <stp/>
        <stp>BDH|9296202433087787041</stp>
        <tr r="R15" s="8"/>
      </tp>
      <tp t="s">
        <v>#N/A N/A</v>
        <stp/>
        <stp>BDH|4287064701053073873</stp>
        <tr r="H26" s="5"/>
      </tp>
      <tp t="s">
        <v>#N/A N/A</v>
        <stp/>
        <stp>BDH|2504417280233006276</stp>
        <tr r="S26" s="5"/>
      </tp>
      <tp t="s">
        <v>#N/A N/A</v>
        <stp/>
        <stp>BDH|7481549421257179831</stp>
        <tr r="Q14" s="2"/>
      </tp>
      <tp t="s">
        <v>#N/A N/A</v>
        <stp/>
        <stp>BDH|3893549685597993630</stp>
        <tr r="I16" s="6"/>
      </tp>
      <tp t="s">
        <v>#N/A N/A</v>
        <stp/>
        <stp>BDH|2730041579848902204</stp>
        <tr r="I15" s="9"/>
      </tp>
      <tp t="s">
        <v>#N/A N/A</v>
        <stp/>
        <stp>BDH|9562158070622607269</stp>
        <tr r="L16" s="5"/>
      </tp>
      <tp t="s">
        <v>#N/A N/A</v>
        <stp/>
        <stp>BDH|8753541543682838489</stp>
        <tr r="C17" s="6"/>
      </tp>
      <tp t="s">
        <v>#N/A N/A</v>
        <stp/>
        <stp>BDH|2067855550097433718</stp>
        <tr r="O8" s="4"/>
      </tp>
      <tp t="s">
        <v>#N/A N/A</v>
        <stp/>
        <stp>BDH|2185967647985908598</stp>
        <tr r="J22" s="6"/>
      </tp>
      <tp t="s">
        <v>#N/A N/A</v>
        <stp/>
        <stp>BDH|9897503599148015208</stp>
        <tr r="N21" s="5"/>
      </tp>
      <tp t="s">
        <v>#N/A N/A</v>
        <stp/>
        <stp>BDH|9644222617587467267</stp>
        <tr r="U13" s="6"/>
      </tp>
      <tp t="s">
        <v>#N/A N/A</v>
        <stp/>
        <stp>BDH|7479837731060502325</stp>
        <tr r="R24" s="4"/>
      </tp>
      <tp t="s">
        <v>#N/A N/A</v>
        <stp/>
        <stp>BDH|5756963200591442249</stp>
        <tr r="D23" s="2"/>
      </tp>
      <tp t="s">
        <v>#N/A N/A</v>
        <stp/>
        <stp>BDH|2206833122625255270</stp>
        <tr r="T19" s="2"/>
      </tp>
      <tp t="s">
        <v>#N/A N/A</v>
        <stp/>
        <stp>BDH|8021410103041424205</stp>
        <tr r="C7" s="7"/>
      </tp>
      <tp t="s">
        <v>#N/A N/A</v>
        <stp/>
        <stp>BDH|1981886314971612652</stp>
        <tr r="E16" s="4"/>
      </tp>
      <tp t="s">
        <v>#N/A N/A</v>
        <stp/>
        <stp>BDH|3252433867579834786</stp>
        <tr r="S13" s="8"/>
      </tp>
      <tp t="s">
        <v>#N/A N/A</v>
        <stp/>
        <stp>BDH|6914167196911758086</stp>
        <tr r="P7" s="5"/>
      </tp>
      <tp t="s">
        <v>#N/A N/A</v>
        <stp/>
        <stp>BDH|6342997961750537693</stp>
        <tr r="R9" s="5"/>
      </tp>
      <tp t="s">
        <v>#N/A N/A</v>
        <stp/>
        <stp>BDH|3171902404912776754</stp>
        <tr r="N10" s="2"/>
      </tp>
      <tp t="s">
        <v>#N/A N/A</v>
        <stp/>
        <stp>BDH|2243624700832379940</stp>
        <tr r="U17" s="7"/>
      </tp>
      <tp t="s">
        <v>#N/A N/A</v>
        <stp/>
        <stp>BDH|5339324368598547787</stp>
        <tr r="D7" s="7"/>
      </tp>
      <tp t="s">
        <v>#N/A N/A</v>
        <stp/>
        <stp>BDH|5147582198454646237</stp>
        <tr r="D26" s="5"/>
      </tp>
      <tp t="s">
        <v>#N/A N/A</v>
        <stp/>
        <stp>BDH|4286370906538664019</stp>
        <tr r="D8" s="5"/>
      </tp>
      <tp t="s">
        <v>#N/A N/A</v>
        <stp/>
        <stp>BDH|4984206083417934668</stp>
        <tr r="H20" s="6"/>
      </tp>
      <tp t="s">
        <v>#N/A N/A</v>
        <stp/>
        <stp>BDH|7072448528706120883</stp>
        <tr r="E22" s="5"/>
      </tp>
      <tp t="s">
        <v>#N/A N/A</v>
        <stp/>
        <stp>BDH|8611929595642655523</stp>
        <tr r="M20" s="2"/>
      </tp>
      <tp t="s">
        <v>#N/A N/A</v>
        <stp/>
        <stp>BDH|2990983781485509900</stp>
        <tr r="I17" s="5"/>
      </tp>
      <tp t="s">
        <v>#N/A N/A</v>
        <stp/>
        <stp>BDH|22403265157567707</stp>
        <tr r="F13" s="9"/>
      </tp>
      <tp t="s">
        <v>#N/A N/A</v>
        <stp/>
        <stp>BDH|18702930491325792</stp>
        <tr r="F9" s="6"/>
      </tp>
      <tp t="s">
        <v>#N/A N/A</v>
        <stp/>
        <stp>BDH|5012447128459239240</stp>
        <tr r="P8" s="4"/>
      </tp>
      <tp t="s">
        <v>#N/A N/A</v>
        <stp/>
        <stp>BDH|8489281891879427234</stp>
        <tr r="M7" s="2"/>
      </tp>
      <tp t="s">
        <v>#N/A N/A</v>
        <stp/>
        <stp>BDH|5890816732415266330</stp>
        <tr r="O13" s="2"/>
      </tp>
      <tp t="s">
        <v>#N/A N/A</v>
        <stp/>
        <stp>BDH|5385111644650949857</stp>
        <tr r="E9" s="6"/>
      </tp>
      <tp t="s">
        <v>#N/A N/A</v>
        <stp/>
        <stp>BDH|6494030845912191888</stp>
        <tr r="F13" s="8"/>
      </tp>
      <tp t="s">
        <v>#N/A N/A</v>
        <stp/>
        <stp>BDH|8224516024095425285</stp>
        <tr r="D13" s="2"/>
      </tp>
      <tp t="s">
        <v>#N/A N/A</v>
        <stp/>
        <stp>BDH|1982079253319447520</stp>
        <tr r="F16" s="9"/>
      </tp>
      <tp t="s">
        <v>#N/A N/A</v>
        <stp/>
        <stp>BDH|7277864764495893432</stp>
        <tr r="I24" s="2"/>
      </tp>
      <tp t="s">
        <v>#N/A N/A</v>
        <stp/>
        <stp>BDH|3414918440660496693</stp>
        <tr r="L17" s="6"/>
      </tp>
      <tp t="s">
        <v>#N/A N/A</v>
        <stp/>
        <stp>BDH|4997381948892465947</stp>
        <tr r="O10" s="3"/>
      </tp>
      <tp t="s">
        <v>#N/A N/A</v>
        <stp/>
        <stp>BDH|7628882435774669042</stp>
        <tr r="D17" s="8"/>
      </tp>
      <tp t="s">
        <v>#N/A N/A</v>
        <stp/>
        <stp>BDH|6737916433364984056</stp>
        <tr r="I25" s="5"/>
      </tp>
      <tp t="s">
        <v>#N/A N/A</v>
        <stp/>
        <stp>BDH|8991515775032635025</stp>
        <tr r="L9" s="2"/>
      </tp>
      <tp t="s">
        <v>#N/A N/A</v>
        <stp/>
        <stp>BDH|2930415852083616859</stp>
        <tr r="Q17" s="4"/>
      </tp>
      <tp t="s">
        <v>#N/A N/A</v>
        <stp/>
        <stp>BDH|3134953001631496381</stp>
        <tr r="L12" s="8"/>
      </tp>
      <tp t="s">
        <v>#N/A N/A</v>
        <stp/>
        <stp>BDH|6694685013650395902</stp>
        <tr r="V12" s="3"/>
      </tp>
      <tp t="s">
        <v>#N/A N/A</v>
        <stp/>
        <stp>BDH|9924682137194077087</stp>
        <tr r="V18" s="4"/>
      </tp>
      <tp t="s">
        <v>#N/A N/A</v>
        <stp/>
        <stp>BDH|6244340270008125298</stp>
        <tr r="S15" s="8"/>
      </tp>
      <tp t="s">
        <v>#N/A N/A</v>
        <stp/>
        <stp>BDH|8686826804651970971</stp>
        <tr r="S21" s="8"/>
      </tp>
      <tp t="s">
        <v>#N/A N/A</v>
        <stp/>
        <stp>BDH|4362358049799985291</stp>
        <tr r="R7" s="7"/>
      </tp>
      <tp t="s">
        <v>#N/A N/A</v>
        <stp/>
        <stp>BDH|8522186130056267407</stp>
        <tr r="R23" s="4"/>
      </tp>
      <tp t="s">
        <v>#N/A N/A</v>
        <stp/>
        <stp>BDH|8189098134381096232</stp>
        <tr r="E10" s="4"/>
      </tp>
      <tp t="s">
        <v>#N/A N/A</v>
        <stp/>
        <stp>BDH|9840759317554068351</stp>
        <tr r="H10" s="5"/>
      </tp>
      <tp t="s">
        <v>#N/A N/A</v>
        <stp/>
        <stp>BDH|8812250464534038057</stp>
        <tr r="D8" s="4"/>
      </tp>
      <tp t="s">
        <v>#N/A N/A</v>
        <stp/>
        <stp>BDH|1318488011695517935</stp>
        <tr r="H24" s="2"/>
      </tp>
      <tp t="s">
        <v>#N/A N/A</v>
        <stp/>
        <stp>BDH|7852433885197464477</stp>
        <tr r="F17" s="2"/>
      </tp>
      <tp t="s">
        <v>#N/A N/A</v>
        <stp/>
        <stp>BDH|9717864681461466091</stp>
        <tr r="I23" s="4"/>
      </tp>
      <tp t="s">
        <v>#N/A N/A</v>
        <stp/>
        <stp>BDH|4661181593585521158</stp>
        <tr r="L10" s="3"/>
      </tp>
      <tp t="s">
        <v>#N/A N/A</v>
        <stp/>
        <stp>BDH|2991897039181531013</stp>
        <tr r="K13" s="5"/>
      </tp>
      <tp t="s">
        <v>#N/A N/A</v>
        <stp/>
        <stp>BDH|9330926594996435738</stp>
        <tr r="S22" s="3"/>
      </tp>
      <tp t="s">
        <v>#N/A N/A</v>
        <stp/>
        <stp>BDH|1478501441690634815</stp>
        <tr r="H16" s="5"/>
      </tp>
      <tp t="s">
        <v>#N/A N/A</v>
        <stp/>
        <stp>BDH|9397320676906187343</stp>
        <tr r="H12" s="7"/>
      </tp>
      <tp t="s">
        <v>#N/A N/A</v>
        <stp/>
        <stp>BDH|5264256123578373559</stp>
        <tr r="C16" s="3"/>
      </tp>
      <tp t="s">
        <v>#N/A N/A</v>
        <stp/>
        <stp>BDH|5581321600096413814</stp>
        <tr r="S6" s="5"/>
      </tp>
      <tp t="s">
        <v>#N/A N/A</v>
        <stp/>
        <stp>BDH|5486845514856177262</stp>
        <tr r="Q19" s="4"/>
      </tp>
      <tp t="s">
        <v>#N/A N/A</v>
        <stp/>
        <stp>BDH|6809051504987829925</stp>
        <tr r="C15" s="8"/>
      </tp>
      <tp t="s">
        <v>#N/A N/A</v>
        <stp/>
        <stp>BDH|2149929456767022167</stp>
        <tr r="K15" s="7"/>
      </tp>
      <tp t="s">
        <v>#N/A N/A</v>
        <stp/>
        <stp>BDH|6698251182291324516</stp>
        <tr r="E16" s="2"/>
      </tp>
      <tp t="s">
        <v>#N/A N/A</v>
        <stp/>
        <stp>BDH|9188612822784687146</stp>
        <tr r="H14" s="4"/>
      </tp>
      <tp t="s">
        <v>#N/A N/A</v>
        <stp/>
        <stp>BDH|5418879680935253816</stp>
        <tr r="H17" s="5"/>
      </tp>
      <tp t="s">
        <v>#N/A N/A</v>
        <stp/>
        <stp>BDH|4641934113771593538</stp>
        <tr r="J15" s="4"/>
      </tp>
      <tp t="s">
        <v>#N/A N/A</v>
        <stp/>
        <stp>BDH|5421454422809467272</stp>
        <tr r="H12" s="9"/>
      </tp>
      <tp t="s">
        <v>#N/A N/A</v>
        <stp/>
        <stp>BDH|6272275084036947289</stp>
        <tr r="U25" s="5"/>
      </tp>
      <tp t="s">
        <v>#N/A N/A</v>
        <stp/>
        <stp>BDH|4285118814069029562</stp>
        <tr r="D10" s="3"/>
      </tp>
      <tp t="s">
        <v>#N/A N/A</v>
        <stp/>
        <stp>BDH|7829291649748050192</stp>
        <tr r="L17" s="2"/>
      </tp>
      <tp t="s">
        <v>#N/A N/A</v>
        <stp/>
        <stp>BDH|8160250448946996044</stp>
        <tr r="T7" s="3"/>
      </tp>
      <tp t="s">
        <v>#N/A N/A</v>
        <stp/>
        <stp>BDH|1557907121570700228</stp>
        <tr r="V25" s="3"/>
      </tp>
      <tp t="s">
        <v>#N/A N/A</v>
        <stp/>
        <stp>BDH|8409362664203112610</stp>
        <tr r="Q6" s="3"/>
      </tp>
      <tp t="s">
        <v>#N/A N/A</v>
        <stp/>
        <stp>BDH|7691805051416573447</stp>
        <tr r="D22" s="3"/>
      </tp>
      <tp t="s">
        <v>#N/A N/A</v>
        <stp/>
        <stp>BDH|7092445977538400413</stp>
        <tr r="I28" s="5"/>
      </tp>
      <tp t="s">
        <v>#N/A N/A</v>
        <stp/>
        <stp>BDH|1041935190421494804</stp>
        <tr r="T8" s="6"/>
      </tp>
      <tp t="s">
        <v>#N/A N/A</v>
        <stp/>
        <stp>BDH|2097191522909497082</stp>
        <tr r="L16" s="8"/>
      </tp>
      <tp t="s">
        <v>#N/A N/A</v>
        <stp/>
        <stp>BDH|2678535773230985885</stp>
        <tr r="P14" s="8"/>
      </tp>
      <tp t="s">
        <v>#N/A N/A</v>
        <stp/>
        <stp>BDH|2082628554979269030</stp>
        <tr r="S9" s="3"/>
      </tp>
      <tp t="s">
        <v>#N/A N/A</v>
        <stp/>
        <stp>BDH|2349031993114129766</stp>
        <tr r="L8" s="7"/>
      </tp>
      <tp t="s">
        <v>#N/A N/A</v>
        <stp/>
        <stp>BDH|7245775299130171192</stp>
        <tr r="G24" s="4"/>
      </tp>
      <tp t="s">
        <v>#N/A N/A</v>
        <stp/>
        <stp>BDH|8082658594958458719</stp>
        <tr r="G8" s="3"/>
      </tp>
      <tp t="s">
        <v>#N/A N/A</v>
        <stp/>
        <stp>BDH|4174171314694075860</stp>
        <tr r="F6" s="5"/>
      </tp>
      <tp t="s">
        <v>#N/A N/A</v>
        <stp/>
        <stp>BDH|9121272365226738309</stp>
        <tr r="R19" s="4"/>
      </tp>
      <tp t="s">
        <v>#N/A N/A</v>
        <stp/>
        <stp>BDH|2630557960530037978</stp>
        <tr r="J17" s="8"/>
      </tp>
      <tp t="s">
        <v>#N/A N/A</v>
        <stp/>
        <stp>BDH|8639733917296042069</stp>
        <tr r="M22" s="8"/>
      </tp>
      <tp t="s">
        <v>#N/A N/A</v>
        <stp/>
        <stp>BDH|5363658606638094351</stp>
        <tr r="P15" s="6"/>
      </tp>
      <tp t="s">
        <v>#N/A N/A</v>
        <stp/>
        <stp>BDH|4164689579134447919</stp>
        <tr r="H9" s="3"/>
      </tp>
      <tp t="s">
        <v>#N/A N/A</v>
        <stp/>
        <stp>BDH|5184824214601672548</stp>
        <tr r="E20" s="6"/>
      </tp>
      <tp t="s">
        <v>#N/A N/A</v>
        <stp/>
        <stp>BDH|7237525797083653046</stp>
        <tr r="T23" s="4"/>
      </tp>
      <tp t="s">
        <v>#N/A N/A</v>
        <stp/>
        <stp>BDH|3097171396333763035</stp>
        <tr r="H24" s="3"/>
      </tp>
      <tp t="s">
        <v>#N/A N/A</v>
        <stp/>
        <stp>BDH|4478946067920477360</stp>
        <tr r="I14" s="5"/>
      </tp>
      <tp t="s">
        <v>#N/A N/A</v>
        <stp/>
        <stp>BDH|5176520243305254880</stp>
        <tr r="N21" s="8"/>
      </tp>
      <tp t="s">
        <v>#N/A N/A</v>
        <stp/>
        <stp>BDH|9772330006094841700</stp>
        <tr r="H13" s="8"/>
      </tp>
      <tp t="s">
        <v>#N/A N/A</v>
        <stp/>
        <stp>BDH|1040759661418809161</stp>
        <tr r="E15" s="7"/>
      </tp>
      <tp t="s">
        <v>#N/A N/A</v>
        <stp/>
        <stp>BDH|2865802605200566332</stp>
        <tr r="N7" s="3"/>
      </tp>
      <tp t="s">
        <v>#N/A N/A</v>
        <stp/>
        <stp>BDH|1271155073226662891</stp>
        <tr r="O9" s="5"/>
      </tp>
      <tp t="s">
        <v>#N/A N/A</v>
        <stp/>
        <stp>BDH|9535216765090951437</stp>
        <tr r="E9" s="3"/>
      </tp>
      <tp t="s">
        <v>#N/A N/A</v>
        <stp/>
        <stp>BDH|9193698065423464325</stp>
        <tr r="V18" s="2"/>
      </tp>
      <tp t="s">
        <v>#N/A N/A</v>
        <stp/>
        <stp>BDH|8304579704907301389</stp>
        <tr r="P11" s="9"/>
      </tp>
      <tp t="s">
        <v>#N/A N/A</v>
        <stp/>
        <stp>BDH|4938311056163367854</stp>
        <tr r="H22" s="8"/>
      </tp>
      <tp t="s">
        <v>#N/A N/A</v>
        <stp/>
        <stp>BDH|7878545514643041902</stp>
        <tr r="U20" s="6"/>
      </tp>
      <tp t="s">
        <v>#N/A N/A</v>
        <stp/>
        <stp>BDH|5310282531054750945</stp>
        <tr r="N23" s="4"/>
      </tp>
      <tp t="s">
        <v>#N/A N/A</v>
        <stp/>
        <stp>BDH|5075442788765329567</stp>
        <tr r="C10" s="2"/>
      </tp>
      <tp t="s">
        <v>#N/A N/A</v>
        <stp/>
        <stp>BDH|1054614522215885958</stp>
        <tr r="P22" s="8"/>
      </tp>
      <tp t="s">
        <v>#N/A N/A</v>
        <stp/>
        <stp>BDH|1589681083903112513</stp>
        <tr r="K10" s="5"/>
      </tp>
      <tp t="s">
        <v>#N/A N/A</v>
        <stp/>
        <stp>BDH|7601810949023365127</stp>
        <tr r="K12" s="5"/>
      </tp>
      <tp t="s">
        <v>#N/A N/A</v>
        <stp/>
        <stp>BDH|2513952608260426237</stp>
        <tr r="M25" s="5"/>
      </tp>
      <tp t="s">
        <v>#N/A N/A</v>
        <stp/>
        <stp>BDH|3595480907667368962</stp>
        <tr r="V8" s="7"/>
      </tp>
      <tp t="s">
        <v>#N/A N/A</v>
        <stp/>
        <stp>BDH|3562378157718273484</stp>
        <tr r="O17" s="7"/>
      </tp>
      <tp t="s">
        <v>#N/A N/A</v>
        <stp/>
        <stp>BDH|6177959658206121522</stp>
        <tr r="R26" s="5"/>
      </tp>
      <tp t="s">
        <v>#N/A N/A</v>
        <stp/>
        <stp>BDH|9202997337719817398</stp>
        <tr r="U7" s="3"/>
      </tp>
      <tp t="s">
        <v>#N/A N/A</v>
        <stp/>
        <stp>BDH|7137890686559194721</stp>
        <tr r="S17" s="3"/>
      </tp>
      <tp t="s">
        <v>#N/A N/A</v>
        <stp/>
        <stp>BDH|1611863765653716500</stp>
        <tr r="Q11" s="7"/>
      </tp>
      <tp t="s">
        <v>#N/A N/A</v>
        <stp/>
        <stp>BDH|5720699738279232066</stp>
        <tr r="L13" s="6"/>
      </tp>
      <tp t="s">
        <v>#N/A N/A</v>
        <stp/>
        <stp>BDH|4839376049282223874</stp>
        <tr r="T22" s="3"/>
      </tp>
      <tp t="s">
        <v>#N/A N/A</v>
        <stp/>
        <stp>BDH|2704994672514785185</stp>
        <tr r="P25" s="5"/>
      </tp>
      <tp t="s">
        <v>#N/A N/A</v>
        <stp/>
        <stp>BDH|6818895953514767654</stp>
        <tr r="K9" s="9"/>
      </tp>
      <tp t="s">
        <v>#N/A N/A</v>
        <stp/>
        <stp>BDH|2774302844704163827</stp>
        <tr r="I13" s="4"/>
      </tp>
      <tp t="s">
        <v>#N/A N/A</v>
        <stp/>
        <stp>BDH|8612956902719382120</stp>
        <tr r="P9" s="6"/>
      </tp>
      <tp t="s">
        <v>#N/A N/A</v>
        <stp/>
        <stp>BDH|6706728981003629333</stp>
        <tr r="N18" s="5"/>
      </tp>
      <tp t="s">
        <v>#N/A N/A</v>
        <stp/>
        <stp>BDH|5592440923443109926</stp>
        <tr r="S16" s="6"/>
      </tp>
      <tp t="s">
        <v>#N/A N/A</v>
        <stp/>
        <stp>BDH|9821941168539493610</stp>
        <tr r="T13" s="3"/>
      </tp>
      <tp t="s">
        <v>#N/A N/A</v>
        <stp/>
        <stp>BDH|6390787879527574863</stp>
        <tr r="N12" s="6"/>
      </tp>
      <tp t="s">
        <v>#N/A N/A</v>
        <stp/>
        <stp>BDH|6080216581440580530</stp>
        <tr r="T20" s="5"/>
      </tp>
      <tp t="s">
        <v>#N/A N/A</v>
        <stp/>
        <stp>BDH|8546383149454458264</stp>
        <tr r="U26" s="5"/>
      </tp>
      <tp t="s">
        <v>#N/A N/A</v>
        <stp/>
        <stp>BDH|1210246733349109023</stp>
        <tr r="C12" s="8"/>
      </tp>
      <tp t="s">
        <v>#N/A N/A</v>
        <stp/>
        <stp>BDH|7841970038314424053</stp>
        <tr r="I20" s="8"/>
      </tp>
      <tp t="s">
        <v>#N/A N/A</v>
        <stp/>
        <stp>BDH|1707858206787301712</stp>
        <tr r="E9" s="8"/>
      </tp>
      <tp t="s">
        <v>#N/A N/A</v>
        <stp/>
        <stp>BDH|7135117807158232739</stp>
        <tr r="D16" s="6"/>
      </tp>
      <tp t="s">
        <v>#N/A N/A</v>
        <stp/>
        <stp>BDH|3032328284812229331</stp>
        <tr r="R8" s="8"/>
      </tp>
      <tp t="s">
        <v>#N/A N/A</v>
        <stp/>
        <stp>BDH|7303934803507252067</stp>
        <tr r="K18" s="2"/>
      </tp>
      <tp t="s">
        <v>#N/A N/A</v>
        <stp/>
        <stp>BDH|7567735681094873581</stp>
        <tr r="P7" s="6"/>
      </tp>
      <tp t="s">
        <v>#N/A N/A</v>
        <stp/>
        <stp>BDH|7883076285950731697</stp>
        <tr r="O14" s="4"/>
      </tp>
      <tp t="s">
        <v>#N/A N/A</v>
        <stp/>
        <stp>BDH|8779750960386764615</stp>
        <tr r="P6" s="3"/>
      </tp>
      <tp t="s">
        <v>#N/A N/A</v>
        <stp/>
        <stp>BDH|1386647379999986035</stp>
        <tr r="U13" s="7"/>
      </tp>
      <tp t="s">
        <v>#N/A N/A</v>
        <stp/>
        <stp>BDH|5939366536499555589</stp>
        <tr r="H8" s="3"/>
      </tp>
      <tp t="s">
        <v>#N/A N/A</v>
        <stp/>
        <stp>BDH|9611639720692920680</stp>
        <tr r="N8" s="3"/>
      </tp>
      <tp t="s">
        <v>#N/A N/A</v>
        <stp/>
        <stp>BDH|7546145190801339765</stp>
        <tr r="T15" s="8"/>
      </tp>
      <tp t="s">
        <v>#N/A N/A</v>
        <stp/>
        <stp>BDH|5828790580172677121</stp>
        <tr r="H8" s="4"/>
      </tp>
      <tp t="s">
        <v>#N/A N/A</v>
        <stp/>
        <stp>BDH|8060474316986456206</stp>
        <tr r="N16" s="4"/>
      </tp>
      <tp t="s">
        <v>#N/A N/A</v>
        <stp/>
        <stp>BDH|4451762036331880897</stp>
        <tr r="C16" s="4"/>
      </tp>
      <tp t="s">
        <v>#N/A N/A</v>
        <stp/>
        <stp>BDH|6121824734087918047</stp>
        <tr r="T7" s="7"/>
      </tp>
      <tp t="s">
        <v>#N/A N/A</v>
        <stp/>
        <stp>BDH|5895838560121054010</stp>
        <tr r="P13" s="2"/>
      </tp>
      <tp t="s">
        <v>#N/A N/A</v>
        <stp/>
        <stp>BDH|5304115118088546757</stp>
        <tr r="Q17" s="8"/>
      </tp>
      <tp t="s">
        <v>#N/A N/A</v>
        <stp/>
        <stp>BDH|7422368344538948242</stp>
        <tr r="R18" s="2"/>
      </tp>
      <tp t="s">
        <v>#N/A N/A</v>
        <stp/>
        <stp>BDH|7028810688079007429</stp>
        <tr r="R9" s="3"/>
      </tp>
      <tp t="s">
        <v>#N/A N/A</v>
        <stp/>
        <stp>BDH|6441552778196257833</stp>
        <tr r="U14" s="2"/>
      </tp>
      <tp t="s">
        <v>#N/A N/A</v>
        <stp/>
        <stp>BDH|4004989137654669018</stp>
        <tr r="S10" s="3"/>
      </tp>
      <tp t="s">
        <v>#N/A N/A</v>
        <stp/>
        <stp>BDH|5890167176968768172</stp>
        <tr r="J14" s="8"/>
      </tp>
      <tp t="s">
        <v>#N/A N/A</v>
        <stp/>
        <stp>BDH|6110646253398910777</stp>
        <tr r="J10" s="5"/>
      </tp>
      <tp t="s">
        <v>#N/A N/A</v>
        <stp/>
        <stp>BDH|4583743408600490951</stp>
        <tr r="C9" s="9"/>
      </tp>
      <tp t="s">
        <v>#N/A N/A</v>
        <stp/>
        <stp>BDH|9158956870784973956</stp>
        <tr r="O7" s="7"/>
      </tp>
      <tp t="s">
        <v>#N/A N/A</v>
        <stp/>
        <stp>BDH|3630284012369290369</stp>
        <tr r="V22" s="5"/>
      </tp>
      <tp t="s">
        <v>#N/A N/A</v>
        <stp/>
        <stp>BDH|8012277011010779198</stp>
        <tr r="U16" s="4"/>
      </tp>
      <tp t="s">
        <v>#N/A N/A</v>
        <stp/>
        <stp>BDH|1474307706849378197</stp>
        <tr r="Q16" s="2"/>
      </tp>
      <tp t="s">
        <v>#N/A N/A</v>
        <stp/>
        <stp>BDH|1920454475248180003</stp>
        <tr r="I7" s="7"/>
      </tp>
      <tp t="s">
        <v>#N/A N/A</v>
        <stp/>
        <stp>BDH|4807836976394152555</stp>
        <tr r="I24" s="4"/>
      </tp>
      <tp t="s">
        <v>#N/A N/A</v>
        <stp/>
        <stp>BDH|8628787711194979083</stp>
        <tr r="G6" s="3"/>
      </tp>
      <tp t="s">
        <v>#N/A N/A</v>
        <stp/>
        <stp>BDH|8779547747786862526</stp>
        <tr r="U8" s="7"/>
      </tp>
      <tp t="s">
        <v>#N/A N/A</v>
        <stp/>
        <stp>BDH|5694299995087682321</stp>
        <tr r="U18" s="2"/>
      </tp>
      <tp t="s">
        <v>#N/A N/A</v>
        <stp/>
        <stp>BDH|6695115742928377193</stp>
        <tr r="J9" s="4"/>
      </tp>
      <tp t="s">
        <v>#N/A N/A</v>
        <stp/>
        <stp>BDH|5236776035029672292</stp>
        <tr r="O18" s="2"/>
      </tp>
      <tp t="s">
        <v>#N/A N/A</v>
        <stp/>
        <stp>BDH|5870931619293502482</stp>
        <tr r="P20" s="6"/>
      </tp>
      <tp t="s">
        <v>#N/A N/A</v>
        <stp/>
        <stp>BDH|1608095494634450600</stp>
        <tr r="M12" s="5"/>
      </tp>
      <tp t="s">
        <v>#N/A N/A</v>
        <stp/>
        <stp>BDH|4545291687445038149</stp>
        <tr r="D9" s="2"/>
      </tp>
      <tp t="s">
        <v>#N/A N/A</v>
        <stp/>
        <stp>BDH|6588970895319917516</stp>
        <tr r="D12" s="6"/>
      </tp>
      <tp t="s">
        <v>#N/A N/A</v>
        <stp/>
        <stp>BDH|6690429319738456153</stp>
        <tr r="D25" s="3"/>
      </tp>
      <tp t="s">
        <v>#N/A N/A</v>
        <stp/>
        <stp>BDH|7973463553295234924</stp>
        <tr r="D25" s="5"/>
      </tp>
      <tp t="s">
        <v>#N/A N/A</v>
        <stp/>
        <stp>BDH|6965284689694668224</stp>
        <tr r="H10" s="3"/>
      </tp>
      <tp t="s">
        <v>#N/A N/A</v>
        <stp/>
        <stp>BDH|7323303259878610303</stp>
        <tr r="J13" s="4"/>
      </tp>
      <tp t="s">
        <v>#N/A N/A</v>
        <stp/>
        <stp>BDH|3070910568111404719</stp>
        <tr r="R16" s="7"/>
      </tp>
      <tp t="s">
        <v>#N/A N/A</v>
        <stp/>
        <stp>BDH|6258920357940276095</stp>
        <tr r="E16" s="3"/>
      </tp>
      <tp t="s">
        <v>#N/A N/A</v>
        <stp/>
        <stp>BDH|3066944244531822554</stp>
        <tr r="R13" s="6"/>
      </tp>
      <tp t="s">
        <v>#N/A N/A</v>
        <stp/>
        <stp>BDH|8756750076717086592</stp>
        <tr r="E20" s="5"/>
      </tp>
      <tp t="s">
        <v>#N/A N/A</v>
        <stp/>
        <stp>BDH|3114369608093243906</stp>
        <tr r="H25" s="5"/>
      </tp>
      <tp t="s">
        <v>#N/A N/A</v>
        <stp/>
        <stp>BDH|3981023705299620056</stp>
        <tr r="G16" s="6"/>
      </tp>
      <tp t="s">
        <v>#N/A N/A</v>
        <stp/>
        <stp>BDH|3679464372162522851</stp>
        <tr r="T13" s="9"/>
      </tp>
      <tp t="s">
        <v>#N/A N/A</v>
        <stp/>
        <stp>BDH|3916997977541148644</stp>
        <tr r="I18" s="3"/>
      </tp>
      <tp t="s">
        <v>#N/A N/A</v>
        <stp/>
        <stp>BDH|9404943896081622224</stp>
        <tr r="U24" s="3"/>
      </tp>
      <tp t="s">
        <v>#N/A N/A</v>
        <stp/>
        <stp>BDH|5059651146035639870</stp>
        <tr r="T7" s="2"/>
      </tp>
      <tp t="s">
        <v>#N/A N/A</v>
        <stp/>
        <stp>BDH|6534819555687518660</stp>
        <tr r="G11" s="9"/>
      </tp>
      <tp t="s">
        <v>#N/A N/A</v>
        <stp/>
        <stp>BDH|4115975060636190754</stp>
        <tr r="M11" s="9"/>
      </tp>
      <tp t="s">
        <v>#N/A N/A</v>
        <stp/>
        <stp>BDH|8710429701265146369</stp>
        <tr r="C13" s="5"/>
      </tp>
      <tp t="s">
        <v>#N/A N/A</v>
        <stp/>
        <stp>BDH|1140693468573205814</stp>
        <tr r="M16" s="4"/>
      </tp>
      <tp t="s">
        <v>#N/A N/A</v>
        <stp/>
        <stp>BDH|7656113799643598681</stp>
        <tr r="V18" s="5"/>
      </tp>
      <tp t="s">
        <v>#N/A N/A</v>
        <stp/>
        <stp>BDH|9101070326219252827</stp>
        <tr r="Q8" s="8"/>
      </tp>
      <tp t="s">
        <v>#N/A N/A</v>
        <stp/>
        <stp>BDH|4257115992766955082</stp>
        <tr r="K18" s="5"/>
      </tp>
      <tp t="s">
        <v>#N/A N/A</v>
        <stp/>
        <stp>BDH|1396509355398160371</stp>
        <tr r="D16" s="9"/>
      </tp>
      <tp t="s">
        <v>#N/A N/A</v>
        <stp/>
        <stp>BDH|8619223278157863041</stp>
        <tr r="C9" s="6"/>
      </tp>
      <tp t="s">
        <v>#N/A N/A</v>
        <stp/>
        <stp>BDH|5751839952310637205</stp>
        <tr r="N14" s="6"/>
      </tp>
      <tp t="s">
        <v>#N/A N/A</v>
        <stp/>
        <stp>BDH|9141706929910836607</stp>
        <tr r="G15" s="2"/>
      </tp>
      <tp t="s">
        <v>#N/A N/A</v>
        <stp/>
        <stp>BDH|5323988652062969102</stp>
        <tr r="D20" s="5"/>
      </tp>
      <tp t="s">
        <v>#N/A N/A</v>
        <stp/>
        <stp>BDH|8534218726087081530</stp>
        <tr r="N9" s="6"/>
      </tp>
      <tp t="s">
        <v>#N/A N/A</v>
        <stp/>
        <stp>BDH|1145713570509175200</stp>
        <tr r="M10" s="2"/>
      </tp>
      <tp t="s">
        <v>#N/A N/A</v>
        <stp/>
        <stp>BDH|6126823424622005463</stp>
        <tr r="N16" s="7"/>
      </tp>
      <tp t="s">
        <v>#N/A N/A</v>
        <stp/>
        <stp>BDH|4240255970239182273</stp>
        <tr r="S23" s="4"/>
      </tp>
      <tp t="s">
        <v>#N/A N/A</v>
        <stp/>
        <stp>BDH|4247308393910783470</stp>
        <tr r="K14" s="8"/>
      </tp>
      <tp t="s">
        <v>#N/A N/A</v>
        <stp/>
        <stp>BDH|3990935023115715786</stp>
        <tr r="O7" s="2"/>
      </tp>
      <tp t="s">
        <v>#N/A N/A</v>
        <stp/>
        <stp>BDH|3761652285292345533</stp>
        <tr r="E19" s="2"/>
      </tp>
      <tp t="s">
        <v>#N/A N/A</v>
        <stp/>
        <stp>BDH|9627837588746949534</stp>
        <tr r="G18" s="2"/>
      </tp>
      <tp t="s">
        <v>#N/A N/A</v>
        <stp/>
        <stp>BDH|4408794926828481382</stp>
        <tr r="V13" s="3"/>
      </tp>
      <tp t="s">
        <v>#N/A N/A</v>
        <stp/>
        <stp>BDH|7353234905327253801</stp>
        <tr r="I21" s="5"/>
      </tp>
      <tp t="s">
        <v>#N/A N/A</v>
        <stp/>
        <stp>BDH|4959372936208758689</stp>
        <tr r="Q13" s="8"/>
      </tp>
      <tp t="s">
        <v>#N/A N/A</v>
        <stp/>
        <stp>BDH|3615950031966264576</stp>
        <tr r="V13" s="4"/>
      </tp>
      <tp t="s">
        <v>#N/A N/A</v>
        <stp/>
        <stp>BDH|9577015401913148034</stp>
        <tr r="F13" s="7"/>
      </tp>
      <tp t="s">
        <v>#N/A N/A</v>
        <stp/>
        <stp>BDH|4764443816528545379</stp>
        <tr r="U7" s="2"/>
      </tp>
      <tp t="s">
        <v>#N/A N/A</v>
        <stp/>
        <stp>BDH|8043589430106908260</stp>
        <tr r="H12" s="5"/>
      </tp>
      <tp t="s">
        <v>#N/A N/A</v>
        <stp/>
        <stp>BDH|7838925270033642081</stp>
        <tr r="S11" s="7"/>
      </tp>
      <tp t="s">
        <v>#N/A N/A</v>
        <stp/>
        <stp>BDH|8598219523042647056</stp>
        <tr r="O9" s="2"/>
      </tp>
      <tp t="s">
        <v>#N/A N/A</v>
        <stp/>
        <stp>BDH|1933349017590803968</stp>
        <tr r="M18" s="3"/>
      </tp>
      <tp t="s">
        <v>#N/A N/A</v>
        <stp/>
        <stp>BDH|7414402287876464730</stp>
        <tr r="T22" s="4"/>
      </tp>
      <tp t="s">
        <v>#N/A N/A</v>
        <stp/>
        <stp>BDH|5824408055007090983</stp>
        <tr r="Q18" s="4"/>
      </tp>
      <tp t="s">
        <v>#N/A N/A</v>
        <stp/>
        <stp>BDH|6432564862546200972</stp>
        <tr r="C9" s="2"/>
      </tp>
      <tp t="s">
        <v>#N/A N/A</v>
        <stp/>
        <stp>BDH|5464113641643002910</stp>
        <tr r="L18" s="5"/>
      </tp>
      <tp t="s">
        <v>#N/A N/A</v>
        <stp/>
        <stp>BDH|6219376482743113434</stp>
        <tr r="I9" s="8"/>
      </tp>
      <tp t="s">
        <v>#N/A N/A</v>
        <stp/>
        <stp>BDH|8108887559159663636</stp>
        <tr r="Q25" s="3"/>
      </tp>
      <tp t="s">
        <v>#N/A N/A</v>
        <stp/>
        <stp>BDH|84167815791930689</stp>
        <tr r="H8" s="8"/>
      </tp>
      <tp t="s">
        <v>#N/A N/A</v>
        <stp/>
        <stp>BDH|8309240759166504213</stp>
        <tr r="T25" s="5"/>
      </tp>
      <tp t="s">
        <v>#N/A N/A</v>
        <stp/>
        <stp>BDH|8936927779015896818</stp>
        <tr r="M24" s="3"/>
      </tp>
      <tp t="s">
        <v>#N/A N/A</v>
        <stp/>
        <stp>BDH|1980469650968761338</stp>
        <tr r="E20" s="8"/>
      </tp>
      <tp t="s">
        <v>#N/A N/A</v>
        <stp/>
        <stp>BDH|8931684130812965404</stp>
        <tr r="F6" s="3"/>
      </tp>
      <tp t="s">
        <v>#N/A N/A</v>
        <stp/>
        <stp>BDH|4478987515167231027</stp>
        <tr r="Q8" s="3"/>
      </tp>
      <tp t="s">
        <v>#N/A N/A</v>
        <stp/>
        <stp>BDH|1416371778547189936</stp>
        <tr r="L26" s="3"/>
      </tp>
      <tp t="s">
        <v>#N/A N/A</v>
        <stp/>
        <stp>BDH|8197123035042973361</stp>
        <tr r="R15" s="2"/>
      </tp>
      <tp t="s">
        <v>#N/A N/A</v>
        <stp/>
        <stp>BDH|3886339751136484877</stp>
        <tr r="L9" s="8"/>
      </tp>
      <tp t="s">
        <v>#N/A N/A</v>
        <stp/>
        <stp>BDH|3178621096440451789</stp>
        <tr r="V24" s="5"/>
      </tp>
      <tp t="s">
        <v>#N/A N/A</v>
        <stp/>
        <stp>BDH|6059180895136608357</stp>
        <tr r="I11" s="7"/>
      </tp>
      <tp t="s">
        <v>#N/A N/A</v>
        <stp/>
        <stp>BDH|9897356562823475455</stp>
        <tr r="J10" s="4"/>
      </tp>
      <tp t="s">
        <v>#N/A N/A</v>
        <stp/>
        <stp>BDH|4115385255128030121</stp>
        <tr r="K10" s="4"/>
      </tp>
      <tp t="s">
        <v>#N/A N/A</v>
        <stp/>
        <stp>BDH|5303530985475900628</stp>
        <tr r="N8" s="8"/>
      </tp>
      <tp t="s">
        <v>#N/A N/A</v>
        <stp/>
        <stp>BDH|8980672552361635145</stp>
        <tr r="E14" s="3"/>
      </tp>
      <tp t="s">
        <v>#N/A N/A</v>
        <stp/>
        <stp>BDH|9986031969997854342</stp>
        <tr r="R7" s="4"/>
      </tp>
      <tp t="s">
        <v>#N/A N/A</v>
        <stp/>
        <stp>BDH|1229885724553208335</stp>
        <tr r="S10" s="5"/>
      </tp>
      <tp t="s">
        <v>#N/A N/A</v>
        <stp/>
        <stp>BDH|7231206031108547599</stp>
        <tr r="D17" s="7"/>
      </tp>
      <tp t="s">
        <v>#N/A N/A</v>
        <stp/>
        <stp>BDH|6156913019882045762</stp>
        <tr r="O17" s="6"/>
      </tp>
      <tp t="s">
        <v>#N/A N/A</v>
        <stp/>
        <stp>BDH|2701112200619954132</stp>
        <tr r="H9" s="8"/>
      </tp>
      <tp t="s">
        <v>#N/A N/A</v>
        <stp/>
        <stp>BDH|9379176038124207426</stp>
        <tr r="U18" s="5"/>
      </tp>
      <tp t="s">
        <v>#N/A N/A</v>
        <stp/>
        <stp>BDH|7227064302808975437</stp>
        <tr r="J12" s="6"/>
      </tp>
      <tp t="s">
        <v>#N/A N/A</v>
        <stp/>
        <stp>BDH|8135254008628059915</stp>
        <tr r="E13" s="9"/>
      </tp>
      <tp t="s">
        <v>#N/A N/A</v>
        <stp/>
        <stp>BDH|1720147474249964532</stp>
        <tr r="C21" s="5"/>
      </tp>
      <tp t="s">
        <v>#N/A N/A</v>
        <stp/>
        <stp>BDH|1031541722268456505</stp>
        <tr r="G25" s="5"/>
      </tp>
      <tp t="s">
        <v>#N/A N/A</v>
        <stp/>
        <stp>BDH|2898662958659327379</stp>
        <tr r="V16" s="3"/>
      </tp>
      <tp t="s">
        <v>#N/A N/A</v>
        <stp/>
        <stp>BDH|5445467553198037737</stp>
        <tr r="S15" s="6"/>
      </tp>
      <tp t="s">
        <v>#N/A N/A</v>
        <stp/>
        <stp>BDH|4825490685373086061</stp>
        <tr r="S7" s="5"/>
      </tp>
      <tp t="s">
        <v>#N/A N/A</v>
        <stp/>
        <stp>BDH|9131921120028771169</stp>
        <tr r="Q24" s="2"/>
      </tp>
      <tp t="s">
        <v>#N/A N/A</v>
        <stp/>
        <stp>BDH|5519026421229302565</stp>
        <tr r="I16" s="2"/>
      </tp>
      <tp t="s">
        <v>#N/A N/A</v>
        <stp/>
        <stp>BDH|5162386422149172694</stp>
        <tr r="Q7" s="6"/>
      </tp>
      <tp t="s">
        <v>#N/A N/A</v>
        <stp/>
        <stp>BDH|9580491468614688412</stp>
        <tr r="Q22" s="5"/>
      </tp>
      <tp t="s">
        <v>#N/A N/A</v>
        <stp/>
        <stp>BDH|1338886359062142504</stp>
        <tr r="Q16" s="9"/>
      </tp>
      <tp t="s">
        <v>#N/A N/A</v>
        <stp/>
        <stp>BDH|6535160283047647350</stp>
        <tr r="T16" s="6"/>
      </tp>
      <tp t="s">
        <v>#N/A N/A</v>
        <stp/>
        <stp>BDH|5833196847438007358</stp>
        <tr r="N6" s="3"/>
      </tp>
      <tp t="s">
        <v>#N/A N/A</v>
        <stp/>
        <stp>BDH|8705541931136951388</stp>
        <tr r="I22" s="3"/>
      </tp>
      <tp t="s">
        <v>#N/A N/A</v>
        <stp/>
        <stp>BDH|6492044806974673900</stp>
        <tr r="P8" s="6"/>
      </tp>
      <tp t="s">
        <v>#N/A N/A</v>
        <stp/>
        <stp>BDH|8925460113495879344</stp>
        <tr r="U8" s="3"/>
      </tp>
      <tp t="s">
        <v>#N/A N/A</v>
        <stp/>
        <stp>BDH|6102554985366142606</stp>
        <tr r="L11" s="9"/>
      </tp>
      <tp t="s">
        <v>#N/A N/A</v>
        <stp/>
        <stp>BDH|9912775960023665086</stp>
        <tr r="C7" s="8"/>
      </tp>
      <tp t="s">
        <v>#N/A N/A</v>
        <stp/>
        <stp>BDH|7363246111716768909</stp>
        <tr r="T25" s="3"/>
      </tp>
      <tp t="s">
        <v>#N/A N/A</v>
        <stp/>
        <stp>BDH|6921799927241277942</stp>
        <tr r="O7" s="5"/>
      </tp>
      <tp t="s">
        <v>#N/A N/A</v>
        <stp/>
        <stp>BDH|9164026002682126065</stp>
        <tr r="D15" s="7"/>
      </tp>
      <tp t="s">
        <v>#N/A N/A</v>
        <stp/>
        <stp>BDH|2184515819899916461</stp>
        <tr r="Q20" s="2"/>
      </tp>
      <tp t="s">
        <v>#N/A N/A</v>
        <stp/>
        <stp>BDH|2678796199606314130</stp>
        <tr r="L16" s="7"/>
      </tp>
      <tp t="s">
        <v>#N/A N/A</v>
        <stp/>
        <stp>BDH|9811156274312721697</stp>
        <tr r="D24" s="3"/>
      </tp>
      <tp t="s">
        <v>#N/A N/A</v>
        <stp/>
        <stp>BDH|9786303145774511104</stp>
        <tr r="D8" s="9"/>
      </tp>
      <tp t="s">
        <v>#N/A N/A</v>
        <stp/>
        <stp>BDH|7650772775565220918</stp>
        <tr r="S17" s="7"/>
      </tp>
      <tp t="s">
        <v>#N/A N/A</v>
        <stp/>
        <stp>BDH|9821272596268830169</stp>
        <tr r="H16" s="9"/>
      </tp>
      <tp t="s">
        <v>#N/A N/A</v>
        <stp/>
        <stp>BDH|9625199179577162302</stp>
        <tr r="L22" s="5"/>
      </tp>
      <tp t="s">
        <v>#N/A N/A</v>
        <stp/>
        <stp>BDH|1219110421600710915</stp>
        <tr r="P12" s="5"/>
      </tp>
      <tp t="s">
        <v>#N/A N/A</v>
        <stp/>
        <stp>BDH|7166660671119211401</stp>
        <tr r="C8" s="4"/>
      </tp>
      <tp t="s">
        <v>#N/A N/A</v>
        <stp/>
        <stp>BDH|2446635600996177928</stp>
        <tr r="U6" s="5"/>
      </tp>
      <tp t="s">
        <v>#N/A N/A</v>
        <stp/>
        <stp>BDH|9862674423515080380</stp>
        <tr r="F20" s="8"/>
      </tp>
      <tp t="s">
        <v>#N/A N/A</v>
        <stp/>
        <stp>BDH|7684949524357084032</stp>
        <tr r="M8" s="9"/>
      </tp>
      <tp t="s">
        <v>#N/A N/A</v>
        <stp/>
        <stp>BDH|6668272861808376161</stp>
        <tr r="I9" s="4"/>
      </tp>
      <tp t="s">
        <v>#N/A N/A</v>
        <stp/>
        <stp>BDH|9476002245282736438</stp>
        <tr r="S17" s="8"/>
      </tp>
      <tp t="s">
        <v>#N/A N/A</v>
        <stp/>
        <stp>BDH|8420729159003829226</stp>
        <tr r="R19" s="2"/>
      </tp>
      <tp t="s">
        <v>#N/A N/A</v>
        <stp/>
        <stp>BDH|7083555411549651173</stp>
        <tr r="L9" s="3"/>
      </tp>
      <tp t="s">
        <v>#N/A N/A</v>
        <stp/>
        <stp>BDH|4927008846922547607</stp>
        <tr r="F8" s="2"/>
      </tp>
      <tp t="s">
        <v>#N/A N/A</v>
        <stp/>
        <stp>BDH|6494682010495743010</stp>
        <tr r="E11" s="9"/>
      </tp>
      <tp t="s">
        <v>#N/A N/A</v>
        <stp/>
        <stp>BDH|7033237268064549351</stp>
        <tr r="N8" s="2"/>
      </tp>
      <tp t="s">
        <v>#N/A N/A</v>
        <stp/>
        <stp>BDH|3594728378341136654</stp>
        <tr r="M10" s="3"/>
      </tp>
      <tp t="s">
        <v>#N/A N/A</v>
        <stp/>
        <stp>BDH|2393559539667443707</stp>
        <tr r="E7" s="6"/>
      </tp>
      <tp t="s">
        <v>#N/A N/A</v>
        <stp/>
        <stp>BDH|2933098651505209686</stp>
        <tr r="R8" s="4"/>
      </tp>
      <tp t="s">
        <v>#N/A N/A</v>
        <stp/>
        <stp>BDH|7213308966063938561</stp>
        <tr r="C18" s="4"/>
      </tp>
      <tp t="s">
        <v>#N/A N/A</v>
        <stp/>
        <stp>BDH|6777052722447844739</stp>
        <tr r="E8" s="6"/>
      </tp>
      <tp t="s">
        <v>#N/A N/A</v>
        <stp/>
        <stp>BDH|4885450413684350167</stp>
        <tr r="N13" s="7"/>
      </tp>
      <tp t="s">
        <v>#N/A N/A</v>
        <stp/>
        <stp>BDH|7960073558210986641</stp>
        <tr r="L10" s="4"/>
      </tp>
      <tp t="s">
        <v>#N/A N/A</v>
        <stp/>
        <stp>BDH|1287807010384971805</stp>
        <tr r="I22" s="6"/>
      </tp>
      <tp t="s">
        <v>#N/A N/A</v>
        <stp/>
        <stp>BDH|6681173089402280922</stp>
        <tr r="N9" s="2"/>
      </tp>
      <tp t="s">
        <v>#N/A N/A</v>
        <stp/>
        <stp>BDH|3398177419381346666</stp>
        <tr r="R22" s="8"/>
      </tp>
      <tp t="s">
        <v>#N/A N/A</v>
        <stp/>
        <stp>BDH|3185330309046780250</stp>
        <tr r="V16" s="4"/>
      </tp>
      <tp t="s">
        <v>#N/A N/A</v>
        <stp/>
        <stp>BDH|9349716809563177934</stp>
        <tr r="H12" s="6"/>
      </tp>
      <tp t="s">
        <v>#N/A N/A</v>
        <stp/>
        <stp>BDH|2881803180094921280</stp>
        <tr r="F24" s="5"/>
      </tp>
      <tp t="s">
        <v>#N/A N/A</v>
        <stp/>
        <stp>BDH|9879414086543686205</stp>
        <tr r="T12" s="8"/>
      </tp>
      <tp t="s">
        <v>#N/A N/A</v>
        <stp/>
        <stp>BDH|3535471948603635426</stp>
        <tr r="N20" s="3"/>
      </tp>
      <tp t="s">
        <v>#N/A N/A</v>
        <stp/>
        <stp>BDH|6169487860252645217</stp>
        <tr r="I15" s="4"/>
      </tp>
      <tp t="s">
        <v>#N/A N/A</v>
        <stp/>
        <stp>BDH|4712941510318966040</stp>
        <tr r="I12" s="9"/>
      </tp>
      <tp t="s">
        <v>#N/A N/A</v>
        <stp/>
        <stp>BDH|9683672688362419130</stp>
        <tr r="Q22" s="8"/>
      </tp>
      <tp t="s">
        <v>#N/A N/A</v>
        <stp/>
        <stp>BDH|5294893592654581428</stp>
        <tr r="S8" s="2"/>
      </tp>
      <tp t="s">
        <v>#N/A N/A</v>
        <stp/>
        <stp>BDH|6601435449722188034</stp>
        <tr r="V17" s="2"/>
      </tp>
      <tp t="s">
        <v>#N/A N/A</v>
        <stp/>
        <stp>BDH|3277184793979182676</stp>
        <tr r="C20" s="8"/>
      </tp>
      <tp t="s">
        <v>#N/A N/A</v>
        <stp/>
        <stp>BDH|2689461229417794713</stp>
        <tr r="T12" s="6"/>
      </tp>
      <tp t="s">
        <v>#N/A N/A</v>
        <stp/>
        <stp>BDH|9156788856239580665</stp>
        <tr r="N19" s="4"/>
      </tp>
      <tp t="s">
        <v>#N/A N/A</v>
        <stp/>
        <stp>BDH|2746028549842431043</stp>
        <tr r="U18" s="4"/>
      </tp>
      <tp t="s">
        <v>#N/A N/A</v>
        <stp/>
        <stp>BDH|7631756925794973233</stp>
        <tr r="I8" s="3"/>
      </tp>
      <tp t="s">
        <v>#N/A N/A</v>
        <stp/>
        <stp>BDH|5777269218750236273</stp>
        <tr r="V6" s="3"/>
      </tp>
      <tp t="s">
        <v>#N/A N/A</v>
        <stp/>
        <stp>BDH|5805757760178498852</stp>
        <tr r="O17" s="5"/>
      </tp>
      <tp t="s">
        <v>#N/A N/A</v>
        <stp/>
        <stp>BDH|1816085077820360291</stp>
        <tr r="U23" s="4"/>
      </tp>
      <tp t="s">
        <v>#N/A N/A</v>
        <stp/>
        <stp>BDH|6184040539102570343</stp>
        <tr r="S20" s="3"/>
      </tp>
      <tp t="s">
        <v>#N/A N/A</v>
        <stp/>
        <stp>BDH|5515109173405245296</stp>
        <tr r="J18" s="4"/>
      </tp>
      <tp t="s">
        <v>#N/A N/A</v>
        <stp/>
        <stp>BDH|4666559521665838274</stp>
        <tr r="L8" s="8"/>
      </tp>
      <tp t="s">
        <v>#N/A N/A</v>
        <stp/>
        <stp>BDH|6567000002677725526</stp>
        <tr r="R28" s="5"/>
      </tp>
      <tp t="s">
        <v>#N/A N/A</v>
        <stp/>
        <stp>BDH|6068370693621310955</stp>
        <tr r="D18" s="4"/>
      </tp>
      <tp t="s">
        <v>#N/A N/A</v>
        <stp/>
        <stp>BDH|3144383109613416767</stp>
        <tr r="G10" s="4"/>
      </tp>
      <tp t="s">
        <v>#N/A N/A</v>
        <stp/>
        <stp>BDH|7746460722303155608</stp>
        <tr r="O12" s="5"/>
      </tp>
      <tp t="s">
        <v>#N/A N/A</v>
        <stp/>
        <stp>BDH|4968052722757599590</stp>
        <tr r="M16" s="9"/>
      </tp>
      <tp t="s">
        <v>#N/A N/A</v>
        <stp/>
        <stp>BDH|6104066273625644017</stp>
        <tr r="J16" s="3"/>
      </tp>
      <tp t="s">
        <v>#N/A N/A</v>
        <stp/>
        <stp>BDH|1418153050409276803</stp>
        <tr r="F22" s="8"/>
      </tp>
      <tp t="s">
        <v>#N/A N/A</v>
        <stp/>
        <stp>BDH|4774456165225645723</stp>
        <tr r="C14" s="5"/>
      </tp>
      <tp t="s">
        <v>#N/A N/A</v>
        <stp/>
        <stp>BDH|2485957578261842921</stp>
        <tr r="Q10" s="4"/>
      </tp>
      <tp t="s">
        <v>#N/A N/A</v>
        <stp/>
        <stp>BDH|4686573219680861433</stp>
        <tr r="U10" s="3"/>
      </tp>
      <tp t="s">
        <v>#N/A N/A</v>
        <stp/>
        <stp>BDH|5296987877779538688</stp>
        <tr r="P17" s="2"/>
      </tp>
      <tp t="s">
        <v>#N/A N/A</v>
        <stp/>
        <stp>BDH|7405619107362684750</stp>
        <tr r="G9" s="7"/>
      </tp>
      <tp t="s">
        <v>#N/A N/A</v>
        <stp/>
        <stp>BDH|1045450705761479056</stp>
        <tr r="U17" s="4"/>
      </tp>
      <tp t="s">
        <v>#N/A N/A</v>
        <stp/>
        <stp>BDH|1062616541946393125</stp>
        <tr r="H20" s="2"/>
      </tp>
      <tp t="s">
        <v>#N/A N/A</v>
        <stp/>
        <stp>BDH|6428247432966482573</stp>
        <tr r="Q7" s="7"/>
      </tp>
      <tp t="s">
        <v>#N/A N/A</v>
        <stp/>
        <stp>BDH|4800729731980898422</stp>
        <tr r="N25" s="5"/>
      </tp>
      <tp t="s">
        <v>#N/A N/A</v>
        <stp/>
        <stp>BDH|3328702508158886825</stp>
        <tr r="Q16" s="8"/>
      </tp>
      <tp t="s">
        <v>#N/A N/A</v>
        <stp/>
        <stp>BDH|3731270505857358272</stp>
        <tr r="S7" s="6"/>
      </tp>
      <tp t="s">
        <v>#N/A N/A</v>
        <stp/>
        <stp>BDH|2226003107644207217</stp>
        <tr r="S10" s="2"/>
      </tp>
      <tp t="s">
        <v>#N/A N/A</v>
        <stp/>
        <stp>BDH|2913226618841710423</stp>
        <tr r="C16" s="6"/>
      </tp>
      <tp t="s">
        <v>#N/A N/A</v>
        <stp/>
        <stp>BDH|2045305323601480613</stp>
        <tr r="H18" s="5"/>
      </tp>
      <tp t="s">
        <v>#N/A N/A</v>
        <stp/>
        <stp>BDH|3064155663631250131</stp>
        <tr r="G8" s="4"/>
      </tp>
      <tp t="s">
        <v>#N/A N/A</v>
        <stp/>
        <stp>BDH|4128829437593486875</stp>
        <tr r="S8" s="5"/>
      </tp>
      <tp t="s">
        <v>#N/A N/A</v>
        <stp/>
        <stp>BDH|5609226019413836125</stp>
        <tr r="T18" s="4"/>
      </tp>
      <tp t="s">
        <v>#N/A N/A</v>
        <stp/>
        <stp>BDH|3944136982077776983</stp>
        <tr r="J8" s="2"/>
      </tp>
      <tp t="s">
        <v>#N/A N/A</v>
        <stp/>
        <stp>BDH|3523639881298797141</stp>
        <tr r="C15" s="2"/>
      </tp>
      <tp t="s">
        <v>#N/A N/A</v>
        <stp/>
        <stp>BDH|2067975762780848990</stp>
        <tr r="T14" s="8"/>
      </tp>
      <tp t="s">
        <v>#N/A N/A</v>
        <stp/>
        <stp>BDH|6464256645601900595</stp>
        <tr r="R21" s="3"/>
      </tp>
      <tp t="s">
        <v>#N/A N/A</v>
        <stp/>
        <stp>BDH|9682226203426114921</stp>
        <tr r="S16" s="9"/>
      </tp>
      <tp t="s">
        <v>#N/A N/A</v>
        <stp/>
        <stp>BDH|5686712015635617200</stp>
        <tr r="D10" s="2"/>
      </tp>
      <tp t="s">
        <v>#N/A N/A</v>
        <stp/>
        <stp>BDH|9278171938996931901</stp>
        <tr r="H11" s="9"/>
      </tp>
      <tp t="s">
        <v>#N/A N/A</v>
        <stp/>
        <stp>BDH|4439725179582839220</stp>
        <tr r="M9" s="6"/>
      </tp>
      <tp t="s">
        <v>#N/A N/A</v>
        <stp/>
        <stp>BDH|5415863666397046812</stp>
        <tr r="V14" s="6"/>
      </tp>
      <tp t="s">
        <v>#N/A N/A</v>
        <stp/>
        <stp>BDH|3237622728154562780</stp>
        <tr r="P13" s="7"/>
      </tp>
      <tp t="s">
        <v>#N/A N/A</v>
        <stp/>
        <stp>BDH|7260548965847723718</stp>
        <tr r="I13" s="3"/>
      </tp>
      <tp t="s">
        <v>#N/A N/A</v>
        <stp/>
        <stp>BDH|1010872890263592689</stp>
        <tr r="L13" s="9"/>
      </tp>
      <tp t="s">
        <v>#N/A N/A</v>
        <stp/>
        <stp>BDH|3937557887043538847</stp>
        <tr r="C17" s="5"/>
      </tp>
      <tp t="s">
        <v>#N/A N/A</v>
        <stp/>
        <stp>BDH|4401704406401849701</stp>
        <tr r="J26" s="3"/>
      </tp>
      <tp t="s">
        <v>#N/A N/A</v>
        <stp/>
        <stp>BDH|2962303848654964423</stp>
        <tr r="I15" s="2"/>
      </tp>
      <tp t="s">
        <v>#N/A N/A</v>
        <stp/>
        <stp>BDH|2080847066540140992</stp>
        <tr r="N14" s="8"/>
      </tp>
      <tp t="s">
        <v>#N/A N/A</v>
        <stp/>
        <stp>BDH|4209101459854777160</stp>
        <tr r="J7" s="3"/>
      </tp>
      <tp t="s">
        <v>#N/A N/A</v>
        <stp/>
        <stp>BDH|6137004856790492688</stp>
        <tr r="R24" s="5"/>
      </tp>
      <tp t="s">
        <v>#N/A N/A</v>
        <stp/>
        <stp>BDH|9884225961300790876</stp>
        <tr r="L8" s="2"/>
      </tp>
      <tp t="s">
        <v>#N/A N/A</v>
        <stp/>
        <stp>BDH|6700721085424815830</stp>
        <tr r="F9" s="5"/>
      </tp>
      <tp t="s">
        <v>#N/A N/A</v>
        <stp/>
        <stp>BDH|7900350699030666881</stp>
        <tr r="H12" s="3"/>
      </tp>
      <tp t="s">
        <v>#N/A N/A</v>
        <stp/>
        <stp>BDH|7282002786439898370</stp>
        <tr r="F15" s="2"/>
      </tp>
      <tp t="s">
        <v>#N/A N/A</v>
        <stp/>
        <stp>BDH|8128285656722206867</stp>
        <tr r="C22" s="8"/>
      </tp>
      <tp t="s">
        <v>#N/A N/A</v>
        <stp/>
        <stp>BDH|7138282777454324361</stp>
        <tr r="C7" s="5"/>
      </tp>
      <tp t="s">
        <v>#N/A N/A</v>
        <stp/>
        <stp>BDH|5783076716601814053</stp>
        <tr r="U16" s="6"/>
      </tp>
      <tp t="s">
        <v>#N/A N/A</v>
        <stp/>
        <stp>BDH|4487539820380648696</stp>
        <tr r="F8" s="9"/>
      </tp>
      <tp t="s">
        <v>#N/A N/A</v>
        <stp/>
        <stp>BDH|8794689584187168423</stp>
        <tr r="S25" s="3"/>
      </tp>
      <tp t="s">
        <v>#N/A N/A</v>
        <stp/>
        <stp>BDH|5848140605001330029</stp>
        <tr r="F13" s="2"/>
      </tp>
      <tp t="s">
        <v>#N/A N/A</v>
        <stp/>
        <stp>BDH|5063151889221037855</stp>
        <tr r="R7" s="8"/>
      </tp>
      <tp t="s">
        <v>#N/A N/A</v>
        <stp/>
        <stp>BDH|8170892633786281009</stp>
        <tr r="J7" s="9"/>
      </tp>
      <tp t="s">
        <v>#N/A N/A</v>
        <stp/>
        <stp>BDH|5667955985672825375</stp>
        <tr r="K22" s="6"/>
      </tp>
      <tp t="s">
        <v>#N/A N/A</v>
        <stp/>
        <stp>BDH|4605255593072039894</stp>
        <tr r="G28" s="5"/>
      </tp>
      <tp t="s">
        <v>#N/A N/A</v>
        <stp/>
        <stp>BDH|2946066827946150307</stp>
        <tr r="J11" s="9"/>
      </tp>
      <tp t="s">
        <v>#N/A N/A</v>
        <stp/>
        <stp>BDH|8874297995454567289</stp>
        <tr r="N9" s="7"/>
      </tp>
      <tp t="s">
        <v>#N/A N/A</v>
        <stp/>
        <stp>BDH|2693078476048915809</stp>
        <tr r="F17" s="5"/>
      </tp>
      <tp t="s">
        <v>#N/A N/A</v>
        <stp/>
        <stp>BDH|8933249194485227356</stp>
        <tr r="S12" s="8"/>
      </tp>
      <tp t="s">
        <v>#N/A N/A</v>
        <stp/>
        <stp>BDH|8442570011810895950</stp>
        <tr r="L13" s="5"/>
      </tp>
      <tp t="s">
        <v>#N/A N/A</v>
        <stp/>
        <stp>BDH|6580175744645990307</stp>
        <tr r="T20" s="2"/>
      </tp>
      <tp t="s">
        <v>#N/A N/A</v>
        <stp/>
        <stp>BDH|6740182750921223629</stp>
        <tr r="C14" s="8"/>
      </tp>
      <tp t="s">
        <v>#N/A N/A</v>
        <stp/>
        <stp>BDH|7286987086617691454</stp>
        <tr r="M24" s="5"/>
      </tp>
      <tp t="s">
        <v>#N/A N/A</v>
        <stp/>
        <stp>BDH|8406684499683212187</stp>
        <tr r="K16" s="7"/>
      </tp>
      <tp t="s">
        <v>#N/A N/A</v>
        <stp/>
        <stp>BDH|2644663139150751214</stp>
        <tr r="T14" s="6"/>
      </tp>
      <tp t="s">
        <v>#N/A N/A</v>
        <stp/>
        <stp>BDH|4608266749683697406</stp>
        <tr r="N22" s="5"/>
      </tp>
      <tp t="s">
        <v>#N/A N/A</v>
        <stp/>
        <stp>BDH|2685558549756128076</stp>
        <tr r="N12" s="8"/>
      </tp>
      <tp t="s">
        <v>#N/A N/A</v>
        <stp/>
        <stp>BDH|2941836357652318820</stp>
        <tr r="N15" s="6"/>
      </tp>
      <tp t="s">
        <v>#N/A N/A</v>
        <stp/>
        <stp>BDH|3212784550277606303</stp>
        <tr r="G24" s="2"/>
      </tp>
      <tp t="s">
        <v>#N/A N/A</v>
        <stp/>
        <stp>BDH|6733330544042538694</stp>
        <tr r="C8" s="3"/>
      </tp>
      <tp t="s">
        <v>#N/A N/A</v>
        <stp/>
        <stp>BDH|8943813346803415266</stp>
        <tr r="P15" s="2"/>
      </tp>
      <tp t="s">
        <v>#N/A N/A</v>
        <stp/>
        <stp>BDH|5760832370967946814</stp>
        <tr r="K14" s="3"/>
      </tp>
      <tp t="s">
        <v>#N/A N/A</v>
        <stp/>
        <stp>BDH|2744860766388828124</stp>
        <tr r="T8" s="5"/>
      </tp>
      <tp t="s">
        <v>#N/A N/A</v>
        <stp/>
        <stp>BDH|7970795607471250483</stp>
        <tr r="T7" s="4"/>
      </tp>
      <tp t="s">
        <v>#N/A N/A</v>
        <stp/>
        <stp>BDH|6873961610832395904</stp>
        <tr r="O12" s="9"/>
      </tp>
      <tp t="s">
        <v>#N/A N/A</v>
        <stp/>
        <stp>BDH|2676120268253994389</stp>
        <tr r="T13" s="7"/>
      </tp>
      <tp t="s">
        <v>#N/A N/A</v>
        <stp/>
        <stp>BDH|6922222955985183125</stp>
        <tr r="C8" s="5"/>
      </tp>
      <tp t="s">
        <v>#N/A N/A</v>
        <stp/>
        <stp>BDH|4297199668323907575</stp>
        <tr r="K17" s="8"/>
      </tp>
      <tp t="s">
        <v>#N/A N/A</v>
        <stp/>
        <stp>BDH|4833607802874253353</stp>
        <tr r="G21" s="3"/>
      </tp>
      <tp t="s">
        <v>#N/A N/A</v>
        <stp/>
        <stp>BDH|7540508487916818978</stp>
        <tr r="J17" s="4"/>
      </tp>
      <tp t="s">
        <v>#N/A N/A</v>
        <stp/>
        <stp>BDH|8849878444840008190</stp>
        <tr r="J9" s="7"/>
      </tp>
      <tp t="s">
        <v>#N/A N/A</v>
        <stp/>
        <stp>BDH|2335821621015260800</stp>
        <tr r="D14" s="4"/>
      </tp>
      <tp t="s">
        <v>#N/A N/A</v>
        <stp/>
        <stp>BDH|4395433526672720536</stp>
        <tr r="K7" s="6"/>
      </tp>
      <tp t="s">
        <v>#N/A N/A</v>
        <stp/>
        <stp>BDH|2836881997415465318</stp>
        <tr r="I18" s="4"/>
      </tp>
      <tp t="s">
        <v>#N/A N/A</v>
        <stp/>
        <stp>BDH|1797956590336634265</stp>
        <tr r="N21" s="3"/>
      </tp>
      <tp t="s">
        <v>#N/A N/A</v>
        <stp/>
        <stp>BDH|6782720462720255268</stp>
        <tr r="V9" s="3"/>
      </tp>
      <tp t="s">
        <v>#N/A N/A</v>
        <stp/>
        <stp>BDH|3817526787318995374</stp>
        <tr r="V12" s="7"/>
      </tp>
      <tp t="s">
        <v>#N/A N/A</v>
        <stp/>
        <stp>BDH|6687380899280503910</stp>
        <tr r="F10" s="3"/>
      </tp>
      <tp t="s">
        <v>#N/A N/A</v>
        <stp/>
        <stp>BDH|2031977436525641849</stp>
        <tr r="E10" s="3"/>
      </tp>
      <tp t="s">
        <v>#N/A N/A</v>
        <stp/>
        <stp>BDH|7813399671464512261</stp>
        <tr r="S16" s="7"/>
      </tp>
      <tp t="s">
        <v>#N/A N/A</v>
        <stp/>
        <stp>BDH|6096081164115415089</stp>
        <tr r="C13" s="9"/>
      </tp>
      <tp t="s">
        <v>#N/A N/A</v>
        <stp/>
        <stp>BDH|3580167966565394463</stp>
        <tr r="Q18" s="3"/>
      </tp>
      <tp t="s">
        <v>#N/A N/A</v>
        <stp/>
        <stp>BDH|6095026041051276612</stp>
        <tr r="D12" s="8"/>
      </tp>
      <tp t="s">
        <v>#N/A N/A</v>
        <stp/>
        <stp>BDH|2162655903379786804</stp>
        <tr r="L7" s="7"/>
      </tp>
      <tp t="s">
        <v>#N/A N/A</v>
        <stp/>
        <stp>BDH|5623026723130011267</stp>
        <tr r="Q13" s="3"/>
      </tp>
      <tp t="s">
        <v>#N/A N/A</v>
        <stp/>
        <stp>BDH|2080077027330197507</stp>
        <tr r="D24" s="4"/>
      </tp>
      <tp t="s">
        <v>#N/A N/A</v>
        <stp/>
        <stp>BDH|9898119311498147482</stp>
        <tr r="V8" s="6"/>
      </tp>
      <tp t="s">
        <v>#N/A N/A</v>
        <stp/>
        <stp>BDH|7957581341884090710</stp>
        <tr r="R13" s="8"/>
      </tp>
      <tp t="s">
        <v>#N/A N/A</v>
        <stp/>
        <stp>BDH|8212869860535392661</stp>
        <tr r="N22" s="6"/>
      </tp>
      <tp t="s">
        <v>#N/A N/A</v>
        <stp/>
        <stp>BDH|4452529810933054677</stp>
        <tr r="J22" s="8"/>
      </tp>
      <tp t="s">
        <v>#N/A N/A</v>
        <stp/>
        <stp>BDH|1888488120201677372</stp>
        <tr r="C14" s="6"/>
      </tp>
      <tp t="s">
        <v>#N/A N/A</v>
        <stp/>
        <stp>BDH|9424520908261824879</stp>
        <tr r="L24" s="5"/>
      </tp>
      <tp t="s">
        <v>#N/A N/A</v>
        <stp/>
        <stp>BDH|5336691031446935345</stp>
        <tr r="C8" s="7"/>
      </tp>
      <tp t="s">
        <v>#N/A N/A</v>
        <stp/>
        <stp>BDH|6621254650481674531</stp>
        <tr r="N22" s="4"/>
      </tp>
      <tp t="s">
        <v>#N/A N/A</v>
        <stp/>
        <stp>BDH|6947003040906930164</stp>
        <tr r="G9" s="2"/>
      </tp>
      <tp t="s">
        <v>#N/A N/A</v>
        <stp/>
        <stp>BDH|5890096572772577504</stp>
        <tr r="Q15" s="2"/>
      </tp>
      <tp t="s">
        <v>#N/A N/A</v>
        <stp/>
        <stp>BDH|4783577034774146331</stp>
        <tr r="H9" s="2"/>
      </tp>
      <tp t="s">
        <v>#N/A N/A</v>
        <stp/>
        <stp>BDH|4107622945863617066</stp>
        <tr r="J16" s="5"/>
      </tp>
      <tp t="s">
        <v>#N/A N/A</v>
        <stp/>
        <stp>BDH|4565696739593258703</stp>
        <tr r="T9" s="7"/>
      </tp>
      <tp t="s">
        <v>#N/A N/A</v>
        <stp/>
        <stp>BDH|5602183169231209624</stp>
        <tr r="L10" s="5"/>
      </tp>
      <tp t="s">
        <v>#N/A N/A</v>
        <stp/>
        <stp>BDH|1745245870180080142</stp>
        <tr r="U18" s="3"/>
      </tp>
      <tp t="s">
        <v>#N/A N/A</v>
        <stp/>
        <stp>BDH|7411244465926959089</stp>
        <tr r="H15" s="8"/>
      </tp>
      <tp t="s">
        <v>#N/A N/A</v>
        <stp/>
        <stp>BDH|4074660646946406503</stp>
        <tr r="S18" s="5"/>
      </tp>
      <tp t="s">
        <v>#N/A N/A</v>
        <stp/>
        <stp>BDH|2457188956192902173</stp>
        <tr r="O19" s="4"/>
      </tp>
      <tp t="s">
        <v>#N/A N/A</v>
        <stp/>
        <stp>BDH|5769823966408695608</stp>
        <tr r="S25" s="5"/>
      </tp>
      <tp t="s">
        <v>#N/A N/A</v>
        <stp/>
        <stp>BDH|9687904220662117528</stp>
        <tr r="S23" s="2"/>
      </tp>
      <tp t="s">
        <v>#N/A N/A</v>
        <stp/>
        <stp>BDH|1985168068150510374</stp>
        <tr r="F18" s="2"/>
      </tp>
      <tp t="s">
        <v>#N/A N/A</v>
        <stp/>
        <stp>BDH|2589738131293079028</stp>
        <tr r="F16" s="2"/>
      </tp>
      <tp t="s">
        <v>#N/A N/A</v>
        <stp/>
        <stp>BDH|1120247222731787554</stp>
        <tr r="T10" s="4"/>
      </tp>
      <tp t="s">
        <v>#N/A N/A</v>
        <stp/>
        <stp>BDH|5731997571638326561</stp>
        <tr r="P13" s="9"/>
      </tp>
      <tp t="s">
        <v>#N/A N/A</v>
        <stp/>
        <stp>BDH|3895679732218316840</stp>
        <tr r="F23" s="2"/>
      </tp>
      <tp t="s">
        <v>#N/A N/A</v>
        <stp/>
        <stp>BDH|1237528776062552793</stp>
        <tr r="J17" s="5"/>
      </tp>
      <tp t="s">
        <v>#N/A N/A</v>
        <stp/>
        <stp>BDH|7457009922547589482</stp>
        <tr r="K26" s="3"/>
      </tp>
      <tp t="s">
        <v>#N/A N/A</v>
        <stp/>
        <stp>BDH|5318214742292872739</stp>
        <tr r="H24" s="5"/>
      </tp>
      <tp t="s">
        <v>#N/A N/A</v>
        <stp/>
        <stp>BDH|7961894834769992365</stp>
        <tr r="K28" s="5"/>
      </tp>
      <tp t="s">
        <v>#N/A N/A</v>
        <stp/>
        <stp>BDH|5539459545582911175</stp>
        <tr r="C12" s="6"/>
      </tp>
      <tp t="s">
        <v>#N/A N/A</v>
        <stp/>
        <stp>BDH|5045520471433897205</stp>
        <tr r="T14" s="4"/>
      </tp>
      <tp t="s">
        <v>#N/A N/A</v>
        <stp/>
        <stp>BDH|8333346549778048167</stp>
        <tr r="G12" s="9"/>
      </tp>
      <tp t="s">
        <v>#N/A N/A</v>
        <stp/>
        <stp>BDH|6037319070937125388</stp>
        <tr r="J23" s="4"/>
      </tp>
      <tp t="s">
        <v>#N/A N/A</v>
        <stp/>
        <stp>BDH|1747731018390503103</stp>
        <tr r="M14" s="8"/>
      </tp>
      <tp t="s">
        <v>#N/A N/A</v>
        <stp/>
        <stp>BDH|9932525894412605109</stp>
        <tr r="O22" s="5"/>
      </tp>
      <tp t="s">
        <v>#N/A N/A</v>
        <stp/>
        <stp>BDH|5438032934618835828</stp>
        <tr r="F15" s="9"/>
      </tp>
      <tp t="s">
        <v>#N/A N/A</v>
        <stp/>
        <stp>BDH|5421367951582860755</stp>
        <tr r="P7" s="8"/>
      </tp>
      <tp t="s">
        <v>#N/A N/A</v>
        <stp/>
        <stp>BDH|6059324129221075056</stp>
        <tr r="F17" s="4"/>
      </tp>
      <tp t="s">
        <v>#N/A N/A</v>
        <stp/>
        <stp>BDH|8864510776265368929</stp>
        <tr r="J17" s="2"/>
      </tp>
      <tp t="s">
        <v>#N/A N/A</v>
        <stp/>
        <stp>BDH|7733322778806442370</stp>
        <tr r="M8" s="5"/>
      </tp>
      <tp t="s">
        <v>#N/A N/A</v>
        <stp/>
        <stp>BDH|4868654098679915428</stp>
        <tr r="T17" s="4"/>
      </tp>
      <tp t="s">
        <v>#N/A N/A</v>
        <stp/>
        <stp>BDH|5806364527702080075</stp>
        <tr r="S14" s="3"/>
      </tp>
      <tp t="s">
        <v>#N/A N/A</v>
        <stp/>
        <stp>BDH|9506158339284166979</stp>
        <tr r="M12" s="6"/>
      </tp>
      <tp t="s">
        <v>#N/A N/A</v>
        <stp/>
        <stp>BDH|8479505063015823804</stp>
        <tr r="F22" s="4"/>
      </tp>
      <tp t="s">
        <v>#N/A N/A</v>
        <stp/>
        <stp>BDH|3618757615903086091</stp>
        <tr r="L12" s="3"/>
      </tp>
      <tp t="s">
        <v>#N/A N/A</v>
        <stp/>
        <stp>BDH|8752205260883059985</stp>
        <tr r="C25" s="3"/>
      </tp>
      <tp t="s">
        <v>#N/A N/A</v>
        <stp/>
        <stp>BDH|7091630370158905852</stp>
        <tr r="M8" s="8"/>
      </tp>
      <tp t="s">
        <v>#N/A N/A</v>
        <stp/>
        <stp>BDH|2321142240087837609</stp>
        <tr r="L6" s="5"/>
      </tp>
      <tp t="s">
        <v>#N/A N/A</v>
        <stp/>
        <stp>BDH|3237723921923807366</stp>
        <tr r="U14" s="6"/>
      </tp>
      <tp t="s">
        <v>#N/A N/A</v>
        <stp/>
        <stp>BDH|5163377994210840963</stp>
        <tr r="Q15" s="9"/>
      </tp>
      <tp t="s">
        <v>#N/A N/A</v>
        <stp/>
        <stp>BDH|9852029396275658379</stp>
        <tr r="H16" s="6"/>
      </tp>
      <tp t="s">
        <v>#N/A N/A</v>
        <stp/>
        <stp>BDH|7925519542380699017</stp>
        <tr r="F16" s="8"/>
      </tp>
      <tp t="s">
        <v>#N/A N/A</v>
        <stp/>
        <stp>BDH|1253038748950196351</stp>
        <tr r="H23" s="2"/>
      </tp>
      <tp t="s">
        <v>#N/A N/A</v>
        <stp/>
        <stp>BDH|1850043339344259054</stp>
        <tr r="F17" s="3"/>
      </tp>
      <tp t="s">
        <v>#N/A N/A</v>
        <stp/>
        <stp>BDH|6219204436664232551</stp>
        <tr r="P17" s="7"/>
      </tp>
      <tp t="s">
        <v>#N/A N/A</v>
        <stp/>
        <stp>BDH|4996176625835118491</stp>
        <tr r="E17" s="5"/>
      </tp>
      <tp t="s">
        <v>#N/A N/A</v>
        <stp/>
        <stp>BDH|1492175544714291664</stp>
        <tr r="M7" s="4"/>
      </tp>
      <tp t="s">
        <v>#N/A N/A</v>
        <stp/>
        <stp>BDH|4389731997145437906</stp>
        <tr r="T16" s="5"/>
      </tp>
      <tp t="s">
        <v>#N/A N/A</v>
        <stp/>
        <stp>BDH|7052666010164623202</stp>
        <tr r="G22" s="5"/>
      </tp>
      <tp t="s">
        <v>#N/A N/A</v>
        <stp/>
        <stp>BDH|9252100585015054372</stp>
        <tr r="H7" s="3"/>
      </tp>
      <tp t="s">
        <v>#N/A N/A</v>
        <stp/>
        <stp>BDH|4678352963754965390</stp>
        <tr r="U6" s="3"/>
      </tp>
      <tp t="s">
        <v>#N/A N/A</v>
        <stp/>
        <stp>BDH|6838977598542115267</stp>
        <tr r="Q13" s="4"/>
      </tp>
      <tp t="s">
        <v>#N/A N/A</v>
        <stp/>
        <stp>BDH|3054691021177192694</stp>
        <tr r="E19" s="4"/>
      </tp>
      <tp t="s">
        <v>#N/A N/A</v>
        <stp/>
        <stp>BDH|7387100053460969591</stp>
        <tr r="H16" s="2"/>
      </tp>
      <tp t="s">
        <v>#N/A N/A</v>
        <stp/>
        <stp>BDH|8881128498171052737</stp>
        <tr r="T13" s="8"/>
      </tp>
      <tp t="s">
        <v>#N/A N/A</v>
        <stp/>
        <stp>BDH|9274749365218631648</stp>
        <tr r="E17" s="9"/>
      </tp>
      <tp t="s">
        <v>#N/A N/A</v>
        <stp/>
        <stp>BDH|3740341043655390721</stp>
        <tr r="Q10" s="2"/>
      </tp>
      <tp t="s">
        <v>#N/A N/A</v>
        <stp/>
        <stp>BDH|5570011419182319086</stp>
        <tr r="F25" s="2"/>
      </tp>
      <tp t="s">
        <v>#N/A N/A</v>
        <stp/>
        <stp>BDH|2067544117378643835</stp>
        <tr r="I17" s="9"/>
      </tp>
      <tp t="s">
        <v>#N/A N/A</v>
        <stp/>
        <stp>BDH|9641329727066091857</stp>
        <tr r="K8" s="7"/>
      </tp>
      <tp t="s">
        <v>#N/A N/A</v>
        <stp/>
        <stp>BDH|3109507357252829783</stp>
        <tr r="S12" s="3"/>
      </tp>
      <tp t="s">
        <v>#N/A N/A</v>
        <stp/>
        <stp>BDH|3398897315818845415</stp>
        <tr r="D26" s="3"/>
      </tp>
      <tp t="s">
        <v>#N/A N/A</v>
        <stp/>
        <stp>BDH|4897477618364434358</stp>
        <tr r="O17" s="9"/>
      </tp>
      <tp t="s">
        <v>#N/A N/A</v>
        <stp/>
        <stp>BDH|8028308062002674924</stp>
        <tr r="T13" s="2"/>
      </tp>
      <tp t="s">
        <v>#N/A N/A</v>
        <stp/>
        <stp>BDH|8179302722787498816</stp>
        <tr r="Q16" s="4"/>
      </tp>
      <tp t="s">
        <v>#N/A N/A</v>
        <stp/>
        <stp>BDH|7151363051493061412</stp>
        <tr r="L25" s="3"/>
      </tp>
      <tp t="s">
        <v>#N/A N/A</v>
        <stp/>
        <stp>BDH|1965401544863242482</stp>
        <tr r="O15" s="9"/>
      </tp>
      <tp t="s">
        <v>#N/A N/A</v>
        <stp/>
        <stp>BDH|1853298074645237701</stp>
        <tr r="K16" s="2"/>
      </tp>
      <tp t="s">
        <v>#N/A N/A</v>
        <stp/>
        <stp>BDH|5410310433566885597</stp>
        <tr r="J14" s="4"/>
      </tp>
      <tp t="s">
        <v>#N/A N/A</v>
        <stp/>
        <stp>BDH|2589106754100220042</stp>
        <tr r="G16" s="4"/>
      </tp>
      <tp t="s">
        <v>#N/A N/A</v>
        <stp/>
        <stp>BDH|6863502342040816167</stp>
        <tr r="E21" s="5"/>
      </tp>
      <tp t="s">
        <v>#N/A N/A</v>
        <stp/>
        <stp>BDH|6862755964156966742</stp>
        <tr r="T16" s="8"/>
      </tp>
      <tp t="s">
        <v>#N/A N/A</v>
        <stp/>
        <stp>BDH|3927073118122752644</stp>
        <tr r="T9" s="4"/>
      </tp>
      <tp t="s">
        <v>#N/A N/A</v>
        <stp/>
        <stp>BDH|2729123454153788338</stp>
        <tr r="F13" s="6"/>
      </tp>
      <tp t="s">
        <v>#N/A N/A</v>
        <stp/>
        <stp>BDH|3359836723477317851</stp>
        <tr r="L10" s="2"/>
      </tp>
      <tp t="s">
        <v>#N/A N/A</v>
        <stp/>
        <stp>BDH|6213448354835129464</stp>
        <tr r="P20" s="3"/>
      </tp>
      <tp t="s">
        <v>#N/A N/A</v>
        <stp/>
        <stp>BDH|7693660563993656203</stp>
        <tr r="G15" s="4"/>
      </tp>
      <tp t="s">
        <v>#N/A N/A</v>
        <stp/>
        <stp>BDH|3337003002067470209</stp>
        <tr r="T14" s="5"/>
      </tp>
      <tp t="s">
        <v>#N/A N/A</v>
        <stp/>
        <stp>BDH|1942337651227824792</stp>
        <tr r="Q14" s="8"/>
      </tp>
      <tp t="s">
        <v>#N/A N/A</v>
        <stp/>
        <stp>BDH|9123203007814910858</stp>
        <tr r="S8" s="6"/>
      </tp>
      <tp t="s">
        <v>#N/A N/A</v>
        <stp/>
        <stp>BDH|4483828089632457110</stp>
        <tr r="U16" s="5"/>
      </tp>
      <tp t="s">
        <v>#N/A N/A</v>
        <stp/>
        <stp>BDH|7740974216480838844</stp>
        <tr r="E7" s="7"/>
      </tp>
      <tp t="s">
        <v>#N/A N/A</v>
        <stp/>
        <stp>BDH|1260532645646992177</stp>
        <tr r="S17" s="9"/>
      </tp>
      <tp t="s">
        <v>#N/A N/A</v>
        <stp/>
        <stp>BDH|3122037935310900753</stp>
        <tr r="O8" s="7"/>
      </tp>
      <tp t="s">
        <v>#N/A N/A</v>
        <stp/>
        <stp>BDH|9628936361362426386</stp>
        <tr r="Q9" s="8"/>
      </tp>
      <tp t="s">
        <v>#N/A N/A</v>
        <stp/>
        <stp>BDH|8995252386901779457</stp>
        <tr r="O17" s="4"/>
      </tp>
      <tp t="s">
        <v>#N/A N/A</v>
        <stp/>
        <stp>BDH|5222433048367883596</stp>
        <tr r="L25" s="2"/>
      </tp>
      <tp t="s">
        <v>#N/A N/A</v>
        <stp/>
        <stp>BDH|1212311885604725998</stp>
        <tr r="H15" s="2"/>
      </tp>
      <tp t="s">
        <v>#N/A N/A</v>
        <stp/>
        <stp>BDH|2451714818803066050</stp>
        <tr r="T9" s="5"/>
      </tp>
      <tp t="s">
        <v>#N/A N/A</v>
        <stp/>
        <stp>BDH|3894283954963839051</stp>
        <tr r="O23" s="2"/>
      </tp>
      <tp t="s">
        <v>#N/A N/A</v>
        <stp/>
        <stp>BDH|9949150418628805653</stp>
        <tr r="E14" s="4"/>
      </tp>
      <tp t="s">
        <v>#N/A N/A</v>
        <stp/>
        <stp>BDH|6870766198329950667</stp>
        <tr r="S17" s="6"/>
      </tp>
      <tp t="s">
        <v>#N/A N/A</v>
        <stp/>
        <stp>BDH|7248884531938575372</stp>
        <tr r="E8" s="8"/>
      </tp>
      <tp t="s">
        <v>#N/A N/A</v>
        <stp/>
        <stp>BDH|6970340876407194235</stp>
        <tr r="E14" s="6"/>
      </tp>
      <tp t="s">
        <v>#N/A N/A</v>
        <stp/>
        <stp>BDH|5799852898703446009</stp>
        <tr r="L14" s="3"/>
      </tp>
      <tp t="s">
        <v>#N/A N/A</v>
        <stp/>
        <stp>BDH|6391670719621127727</stp>
        <tr r="R17" s="4"/>
      </tp>
      <tp t="s">
        <v>#N/A N/A</v>
        <stp/>
        <stp>BDH|5926210833044405704</stp>
        <tr r="V9" s="7"/>
      </tp>
      <tp t="s">
        <v>#N/A N/A</v>
        <stp/>
        <stp>BDH|6280176830677875426</stp>
        <tr r="Q22" s="3"/>
      </tp>
      <tp t="s">
        <v>#N/A N/A</v>
        <stp/>
        <stp>BDH|8682055290533517594</stp>
        <tr r="L12" s="5"/>
      </tp>
      <tp t="s">
        <v>#N/A N/A</v>
        <stp/>
        <stp>BDH|3637399760297542650</stp>
        <tr r="O13" s="4"/>
      </tp>
      <tp t="s">
        <v>#N/A N/A</v>
        <stp/>
        <stp>BDH|1377426989668001245</stp>
        <tr r="P19" s="2"/>
      </tp>
      <tp t="s">
        <v>#N/A N/A</v>
        <stp/>
        <stp>BDH|1757320168533240033</stp>
        <tr r="G17" s="9"/>
      </tp>
      <tp t="s">
        <v>#N/A N/A</v>
        <stp/>
        <stp>BDH|7990308454982774468</stp>
        <tr r="P24" s="2"/>
      </tp>
      <tp t="s">
        <v>#N/A N/A</v>
        <stp/>
        <stp>BDH|6900974141359065537</stp>
        <tr r="Q17" s="3"/>
      </tp>
      <tp t="s">
        <v>#N/A N/A</v>
        <stp/>
        <stp>BDH|6351334719595612625</stp>
        <tr r="R13" s="2"/>
      </tp>
      <tp t="s">
        <v>#N/A N/A</v>
        <stp/>
        <stp>BDH|4165623253728556884</stp>
        <tr r="T11" s="9"/>
      </tp>
      <tp t="s">
        <v>#N/A N/A</v>
        <stp/>
        <stp>BDH|5210684952513776224</stp>
        <tr r="G24" s="5"/>
      </tp>
      <tp t="s">
        <v>#N/A N/A</v>
        <stp/>
        <stp>BDH|9418493794814590716</stp>
        <tr r="D21" s="3"/>
      </tp>
      <tp t="s">
        <v>#N/A N/A</v>
        <stp/>
        <stp>BDH|9751953369121057066</stp>
        <tr r="G7" s="9"/>
      </tp>
      <tp t="s">
        <v>#N/A N/A</v>
        <stp/>
        <stp>BDH|6781071429563552017</stp>
        <tr r="N10" s="3"/>
      </tp>
      <tp t="s">
        <v>#N/A N/A</v>
        <stp/>
        <stp>BDH|5996384024724531728</stp>
        <tr r="K9" s="8"/>
      </tp>
      <tp t="s">
        <v>#N/A N/A</v>
        <stp/>
        <stp>BDH|9305946972267511724</stp>
        <tr r="G18" s="3"/>
      </tp>
      <tp t="s">
        <v>#N/A N/A</v>
        <stp/>
        <stp>BDH|4470103520347040766</stp>
        <tr r="L20" s="3"/>
      </tp>
      <tp t="s">
        <v>#N/A N/A</v>
        <stp/>
        <stp>BDH|1898508014837885565</stp>
        <tr r="E13" s="8"/>
      </tp>
      <tp t="s">
        <v>#N/A N/A</v>
        <stp/>
        <stp>BDH|1527425907827117536</stp>
        <tr r="T21" s="3"/>
      </tp>
      <tp t="s">
        <v>#N/A N/A</v>
        <stp/>
        <stp>BDH|7595671291648723761</stp>
        <tr r="Q23" s="4"/>
      </tp>
      <tp t="s">
        <v>#N/A N/A</v>
        <stp/>
        <stp>BDH|6907047779265685301</stp>
        <tr r="U19" s="2"/>
      </tp>
      <tp t="s">
        <v>#N/A N/A</v>
        <stp/>
        <stp>BDH|1727143008643150490</stp>
        <tr r="M21" s="8"/>
      </tp>
      <tp t="s">
        <v>#N/A N/A</v>
        <stp/>
        <stp>BDH|9906999484397698819</stp>
        <tr r="C16" s="7"/>
      </tp>
      <tp t="s">
        <v>#N/A N/A</v>
        <stp/>
        <stp>BDH|3531346818613900539</stp>
        <tr r="V22" s="4"/>
      </tp>
      <tp t="s">
        <v>#N/A N/A</v>
        <stp/>
        <stp>BDH|5689170631884741476</stp>
        <tr r="G14" s="5"/>
      </tp>
      <tp t="s">
        <v>#N/A N/A</v>
        <stp/>
        <stp>BDH|7680808890591537030</stp>
        <tr r="N23" s="2"/>
      </tp>
      <tp t="s">
        <v>#N/A N/A</v>
        <stp/>
        <stp>BDH|8327873186989522672</stp>
        <tr r="H6" s="5"/>
      </tp>
      <tp t="s">
        <v>#N/A N/A</v>
        <stp/>
        <stp>BDH|4147526633900536555</stp>
        <tr r="K9" s="3"/>
      </tp>
      <tp t="s">
        <v>#N/A N/A</v>
        <stp/>
        <stp>BDH|9602558270605457977</stp>
        <tr r="V9" s="4"/>
      </tp>
      <tp t="s">
        <v>#N/A N/A</v>
        <stp/>
        <stp>BDH|4240828429431868812</stp>
        <tr r="Q21" s="3"/>
      </tp>
      <tp t="s">
        <v>#N/A N/A</v>
        <stp/>
        <stp>BDH|5141785419064924082</stp>
        <tr r="S26" s="3"/>
      </tp>
      <tp t="s">
        <v>#N/A N/A</v>
        <stp/>
        <stp>BDH|5848178154797386193</stp>
        <tr r="J12" s="9"/>
      </tp>
      <tp t="s">
        <v>#N/A N/A</v>
        <stp/>
        <stp>BDH|4140996548286300822</stp>
        <tr r="V21" s="6"/>
      </tp>
      <tp t="s">
        <v>#N/A N/A</v>
        <stp/>
        <stp>BDH|7445337157981766769</stp>
        <tr r="R26" s="3"/>
      </tp>
      <tp t="s">
        <v>#N/A N/A</v>
        <stp/>
        <stp>BDH|2157702154162692521</stp>
        <tr r="D16" s="8"/>
      </tp>
      <tp t="s">
        <v>#N/A N/A</v>
        <stp/>
        <stp>BDH|5474690848614156425</stp>
        <tr r="E17" s="7"/>
      </tp>
      <tp t="s">
        <v>#N/A N/A</v>
        <stp/>
        <stp>BDH|1732911493912528462</stp>
        <tr r="C21" s="3"/>
      </tp>
      <tp t="s">
        <v>#N/A N/A</v>
        <stp/>
        <stp>BDH|3031940432729058711</stp>
        <tr r="D15" s="8"/>
      </tp>
      <tp t="s">
        <v>#N/A N/A</v>
        <stp/>
        <stp>BDH|3259373019872344481</stp>
        <tr r="N16" s="5"/>
      </tp>
      <tp t="s">
        <v>#N/A N/A</v>
        <stp/>
        <stp>BDH|1856489561512157671</stp>
        <tr r="Q24" s="3"/>
      </tp>
      <tp t="s">
        <v>#N/A N/A</v>
        <stp/>
        <stp>BDH|7630266184899499344</stp>
        <tr r="S12" s="7"/>
      </tp>
      <tp t="s">
        <v>#N/A N/A</v>
        <stp/>
        <stp>BDH|1356107619942809468</stp>
        <tr r="V21" s="5"/>
      </tp>
      <tp t="s">
        <v>#N/A N/A</v>
        <stp/>
        <stp>BDH|1624694825105944775</stp>
        <tr r="R8" s="2"/>
      </tp>
      <tp t="s">
        <v>#N/A N/A</v>
        <stp/>
        <stp>BDH|7333457451012644359</stp>
        <tr r="V18" s="3"/>
      </tp>
      <tp t="s">
        <v>#N/A N/A</v>
        <stp/>
        <stp>BDH|5083840052478058720</stp>
        <tr r="Q10" s="3"/>
      </tp>
      <tp t="s">
        <v>#N/A N/A</v>
        <stp/>
        <stp>BDH|6624549401251434537</stp>
        <tr r="G17" s="3"/>
      </tp>
      <tp t="s">
        <v>#N/A N/A</v>
        <stp/>
        <stp>BDH|3962764430744250487</stp>
        <tr r="Q13" s="7"/>
      </tp>
      <tp t="s">
        <v>#N/A N/A</v>
        <stp/>
        <stp>BDH|1276567242492533561</stp>
        <tr r="Q9" s="3"/>
      </tp>
      <tp t="s">
        <v>#N/A N/A</v>
        <stp/>
        <stp>BDH|3476888080603948704</stp>
        <tr r="T7" s="9"/>
      </tp>
      <tp t="s">
        <v>#N/A N/A</v>
        <stp/>
        <stp>BDH|4327391860453467240</stp>
        <tr r="P8" s="7"/>
      </tp>
      <tp t="s">
        <v>#N/A N/A</v>
        <stp/>
        <stp>BDH|4854301272114337434</stp>
        <tr r="Q20" s="8"/>
      </tp>
      <tp t="s">
        <v>#N/A N/A</v>
        <stp/>
        <stp>BDH|8947910652397816395</stp>
        <tr r="U7" s="4"/>
      </tp>
      <tp t="s">
        <v>#N/A N/A</v>
        <stp/>
        <stp>BDH|2571689921534692211</stp>
        <tr r="H7" s="5"/>
      </tp>
      <tp t="s">
        <v>#N/A N/A</v>
        <stp/>
        <stp>BDH|5745642345027487098</stp>
        <tr r="R14" s="8"/>
      </tp>
      <tp t="s">
        <v>#N/A N/A</v>
        <stp/>
        <stp>BDH|7796365375550962364</stp>
        <tr r="L8" s="6"/>
      </tp>
      <tp t="s">
        <v>#N/A N/A</v>
        <stp/>
        <stp>BDH|2479299042937193351</stp>
        <tr r="K17" s="5"/>
      </tp>
      <tp t="s">
        <v>#N/A N/A</v>
        <stp/>
        <stp>BDH|8570090794567741676</stp>
        <tr r="T24" s="4"/>
      </tp>
      <tp t="s">
        <v>#N/A N/A</v>
        <stp/>
        <stp>BDH|5666804672439819347</stp>
        <tr r="L15" s="4"/>
      </tp>
      <tp t="s">
        <v>#N/A N/A</v>
        <stp/>
        <stp>BDH|6469384273770248252</stp>
        <tr r="H25" s="2"/>
      </tp>
      <tp t="s">
        <v>#N/A N/A</v>
        <stp/>
        <stp>BDH|3527529478666489736</stp>
        <tr r="E7" s="5"/>
      </tp>
      <tp t="s">
        <v>#N/A N/A</v>
        <stp/>
        <stp>BDH|4682683392978233368</stp>
        <tr r="R22" s="3"/>
      </tp>
      <tp t="s">
        <v>#N/A N/A</v>
        <stp/>
        <stp>BDH|3595650597044933861</stp>
        <tr r="I9" s="9"/>
      </tp>
      <tp t="s">
        <v>#N/A N/A</v>
        <stp/>
        <stp>BDH|3087880256309344755</stp>
        <tr r="C9" s="5"/>
      </tp>
      <tp t="s">
        <v>#N/A N/A</v>
        <stp/>
        <stp>BDH|5094356173733988261</stp>
        <tr r="T8" s="7"/>
      </tp>
      <tp t="s">
        <v>#N/A N/A</v>
        <stp/>
        <stp>BDH|4365224661238936803</stp>
        <tr r="G19" s="4"/>
      </tp>
      <tp t="s">
        <v>#N/A N/A</v>
        <stp/>
        <stp>BDH|9464341308219377322</stp>
        <tr r="U7" s="5"/>
      </tp>
      <tp t="s">
        <v>#N/A N/A</v>
        <stp/>
        <stp>BDH|3675156177896594380</stp>
        <tr r="P9" s="7"/>
      </tp>
      <tp t="s">
        <v>#N/A N/A</v>
        <stp/>
        <stp>BDH|2422503648692048159</stp>
        <tr r="L17" s="3"/>
      </tp>
      <tp t="s">
        <v>#N/A N/A</v>
        <stp/>
        <stp>BDH|6901113263419497860</stp>
        <tr r="U7" s="6"/>
      </tp>
      <tp t="s">
        <v>#N/A N/A</v>
        <stp/>
        <stp>BDH|7695396064942343062</stp>
        <tr r="N25" s="2"/>
      </tp>
      <tp t="s">
        <v>#N/A N/A</v>
        <stp/>
        <stp>BDH|6935407866645111104</stp>
        <tr r="D16" s="4"/>
      </tp>
      <tp t="s">
        <v>#N/A N/A</v>
        <stp/>
        <stp>BDH|2659209581990136880</stp>
        <tr r="K22" s="5"/>
      </tp>
      <tp t="s">
        <v>#N/A N/A</v>
        <stp/>
        <stp>BDH|8117881101624625408</stp>
        <tr r="Q18" s="5"/>
      </tp>
      <tp t="s">
        <v>#N/A N/A</v>
        <stp/>
        <stp>BDH|7633918180106994012</stp>
        <tr r="H7" s="9"/>
      </tp>
      <tp t="s">
        <v>#N/A N/A</v>
        <stp/>
        <stp>BDH|9967541584574266047</stp>
        <tr r="N9" s="4"/>
      </tp>
      <tp t="s">
        <v>#N/A N/A</v>
        <stp/>
        <stp>BDH|1199811113901547991</stp>
        <tr r="G20" s="6"/>
      </tp>
      <tp t="s">
        <v>#N/A N/A</v>
        <stp/>
        <stp>BDH|7701849089291291676</stp>
        <tr r="V20" s="2"/>
      </tp>
      <tp t="s">
        <v>#N/A N/A</v>
        <stp/>
        <stp>BDH|6802850347182486813</stp>
        <tr r="V20" s="5"/>
      </tp>
      <tp t="s">
        <v>#N/A N/A</v>
        <stp/>
        <stp>BDH|6253225552956841751</stp>
        <tr r="F8" s="3"/>
      </tp>
      <tp t="s">
        <v>#N/A N/A</v>
        <stp/>
        <stp>BDH|8240580793332331665</stp>
        <tr r="O12" s="6"/>
      </tp>
      <tp t="s">
        <v>#N/A N/A</v>
        <stp/>
        <stp>BDH|2047604128110038647</stp>
        <tr r="R18" s="4"/>
      </tp>
      <tp t="s">
        <v>#N/A N/A</v>
        <stp/>
        <stp>BDH|1818724471158030972</stp>
        <tr r="J25" s="2"/>
      </tp>
      <tp t="s">
        <v>#N/A N/A</v>
        <stp/>
        <stp>BDH|5398557208168429869</stp>
        <tr r="Q26" s="5"/>
      </tp>
      <tp t="s">
        <v>#N/A N/A</v>
        <stp/>
        <stp>BDH|1499461872601957352</stp>
        <tr r="C22" s="6"/>
      </tp>
      <tp t="s">
        <v>#N/A N/A</v>
        <stp/>
        <stp>BDH|9204067406900725997</stp>
        <tr r="Q21" s="5"/>
      </tp>
      <tp t="s">
        <v>#N/A N/A</v>
        <stp/>
        <stp>BDH|2485662262097405586</stp>
        <tr r="O7" s="6"/>
      </tp>
      <tp t="s">
        <v>#N/A N/A</v>
        <stp/>
        <stp>BDH|6814905130155629936</stp>
        <tr r="H17" s="4"/>
      </tp>
      <tp t="s">
        <v>#N/A N/A</v>
        <stp/>
        <stp>BDH|4083729032478818857</stp>
        <tr r="M9" s="5"/>
      </tp>
      <tp t="s">
        <v>#N/A N/A</v>
        <stp/>
        <stp>BDH|3228065227376758796</stp>
        <tr r="E10" s="2"/>
      </tp>
      <tp t="s">
        <v>#N/A N/A</v>
        <stp/>
        <stp>BDH|3593778943706967658</stp>
        <tr r="S6" s="3"/>
      </tp>
      <tp t="s">
        <v>#N/A N/A</v>
        <stp/>
        <stp>BDH|5945528500423069365</stp>
        <tr r="F9" s="7"/>
      </tp>
      <tp t="s">
        <v>#N/A N/A</v>
        <stp/>
        <stp>BDH|1213813295130990020</stp>
        <tr r="O18" s="4"/>
      </tp>
      <tp t="s">
        <v>#N/A N/A</v>
        <stp/>
        <stp>BDH|2290495041807510528</stp>
        <tr r="L12" s="6"/>
      </tp>
      <tp t="s">
        <v>#N/A N/A</v>
        <stp/>
        <stp>BDH|7963178251310531371</stp>
        <tr r="Q7" s="8"/>
      </tp>
      <tp t="s">
        <v>#N/A N/A</v>
        <stp/>
        <stp>BDH|2213374261686612100</stp>
        <tr r="K8" s="9"/>
      </tp>
      <tp t="s">
        <v>#N/A N/A</v>
        <stp/>
        <stp>BDH|5643577222425605773</stp>
        <tr r="S14" s="4"/>
      </tp>
      <tp t="s">
        <v>#N/A N/A</v>
        <stp/>
        <stp>BDH|4683137917346927298</stp>
        <tr r="O13" s="3"/>
      </tp>
      <tp t="s">
        <v>#N/A N/A</v>
        <stp/>
        <stp>BDH|4581247025502406623</stp>
        <tr r="E17" s="8"/>
      </tp>
      <tp t="s">
        <v>#N/A N/A</v>
        <stp/>
        <stp>BDH|4196152820255522232</stp>
        <tr r="G17" s="2"/>
      </tp>
      <tp t="s">
        <v>#N/A N/A</v>
        <stp/>
        <stp>BDH|5344318562890726059</stp>
        <tr r="I12" s="7"/>
      </tp>
      <tp t="s">
        <v>#N/A N/A</v>
        <stp/>
        <stp>BDH|9543902157112961781</stp>
        <tr r="F19" s="4"/>
      </tp>
      <tp t="s">
        <v>#N/A N/A</v>
        <stp/>
        <stp>BDH|3122127790988092305</stp>
        <tr r="J7" s="5"/>
      </tp>
      <tp t="s">
        <v>#N/A N/A</v>
        <stp/>
        <stp>BDH|9729583828017659926</stp>
        <tr r="O20" s="5"/>
      </tp>
      <tp t="s">
        <v>#N/A N/A</v>
        <stp/>
        <stp>BDH|9676917174923813487</stp>
        <tr r="E21" s="6"/>
      </tp>
      <tp t="s">
        <v>#N/A N/A</v>
        <stp/>
        <stp>BDH|9978239188140075329</stp>
        <tr r="L16" s="4"/>
      </tp>
      <tp t="s">
        <v>#N/A N/A</v>
        <stp/>
        <stp>BDH|7785301046701853198</stp>
        <tr r="J12" s="5"/>
      </tp>
      <tp t="s">
        <v>#N/A N/A</v>
        <stp/>
        <stp>BDH|7055816954188333262</stp>
        <tr r="O16" s="6"/>
      </tp>
      <tp t="s">
        <v>#N/A N/A</v>
        <stp/>
        <stp>BDH|5232204131015517163</stp>
        <tr r="L13" s="7"/>
      </tp>
      <tp t="s">
        <v>#N/A N/A</v>
        <stp/>
        <stp>BDH|3687231110509640937</stp>
        <tr r="V23" s="4"/>
      </tp>
      <tp t="s">
        <v>#N/A N/A</v>
        <stp/>
        <stp>BDH|7523191250906967548</stp>
        <tr r="J23" s="2"/>
      </tp>
      <tp t="s">
        <v>#N/A N/A</v>
        <stp/>
        <stp>BDH|4601240436590242576</stp>
        <tr r="I26" s="5"/>
      </tp>
      <tp t="s">
        <v>#N/A N/A</v>
        <stp/>
        <stp>BDH|5647144749173359392</stp>
        <tr r="H19" s="2"/>
      </tp>
      <tp t="s">
        <v>#N/A N/A</v>
        <stp/>
        <stp>BDH|7054389170280001397</stp>
        <tr r="N17" s="5"/>
      </tp>
      <tp t="s">
        <v>#N/A N/A</v>
        <stp/>
        <stp>BDH|7808798930203778074</stp>
        <tr r="S13" s="5"/>
      </tp>
      <tp t="s">
        <v>#N/A N/A</v>
        <stp/>
        <stp>BDH|5842206397747797993</stp>
        <tr r="O22" s="8"/>
      </tp>
      <tp t="s">
        <v>#N/A N/A</v>
        <stp/>
        <stp>BDH|4881664669642686671</stp>
        <tr r="O13" s="8"/>
      </tp>
      <tp t="s">
        <v>#N/A N/A</v>
        <stp/>
        <stp>BDH|2587245472514743321</stp>
        <tr r="N12" s="5"/>
      </tp>
      <tp t="s">
        <v>#N/A N/A</v>
        <stp/>
        <stp>BDH|3152387670285833261</stp>
        <tr r="G7" s="3"/>
      </tp>
      <tp t="s">
        <v>#N/A N/A</v>
        <stp/>
        <stp>BDH|5356142664694118655</stp>
        <tr r="S13" s="3"/>
      </tp>
      <tp t="s">
        <v>#N/A N/A</v>
        <stp/>
        <stp>BDH|1761312322834047431</stp>
        <tr r="D9" s="7"/>
      </tp>
      <tp t="s">
        <v>#N/A N/A</v>
        <stp/>
        <stp>BDH|8034570379929805311</stp>
        <tr r="J14" s="3"/>
      </tp>
      <tp t="s">
        <v>#N/A N/A</v>
        <stp/>
        <stp>BDH|3580492171802260288</stp>
        <tr r="K16" s="6"/>
      </tp>
      <tp t="s">
        <v>#N/A N/A</v>
        <stp/>
        <stp>BDH|5934209339726746239</stp>
        <tr r="Q15" s="8"/>
      </tp>
      <tp t="s">
        <v>#N/A N/A</v>
        <stp/>
        <stp>BDH|2160009801680483208</stp>
        <tr r="C7" s="4"/>
      </tp>
      <tp t="s">
        <v>#N/A N/A</v>
        <stp/>
        <stp>BDH|9429115249324805813</stp>
        <tr r="S18" s="3"/>
      </tp>
      <tp t="s">
        <v>#N/A N/A</v>
        <stp/>
        <stp>BDH|7445008363462461364</stp>
        <tr r="F7" s="4"/>
      </tp>
      <tp t="s">
        <v>#N/A N/A</v>
        <stp/>
        <stp>BDH|2647736303473488672</stp>
        <tr r="G13" s="5"/>
      </tp>
      <tp t="s">
        <v>#N/A N/A</v>
        <stp/>
        <stp>BDH|5674925386525600118</stp>
        <tr r="G26" s="5"/>
      </tp>
      <tp t="s">
        <v>#N/A N/A</v>
        <stp/>
        <stp>BDH|84663788665566641</stp>
        <tr r="M7" s="8"/>
      </tp>
      <tp t="s">
        <v>#N/A N/A</v>
        <stp/>
        <stp>BDH|4442467987169710083</stp>
        <tr r="O13" s="5"/>
      </tp>
      <tp t="s">
        <v>#N/A N/A</v>
        <stp/>
        <stp>BDH|8872296740587257892</stp>
        <tr r="C15" s="4"/>
      </tp>
      <tp t="s">
        <v>#N/A N/A</v>
        <stp/>
        <stp>BDH|8536771107859911760</stp>
        <tr r="J8" s="8"/>
      </tp>
      <tp t="s">
        <v>#N/A N/A</v>
        <stp/>
        <stp>BDH|7520826011366441989</stp>
        <tr r="L28" s="5"/>
      </tp>
      <tp t="s">
        <v>#N/A N/A</v>
        <stp/>
        <stp>BDH|4380586331394249724</stp>
        <tr r="P16" s="9"/>
      </tp>
      <tp t="s">
        <v>#N/A N/A</v>
        <stp/>
        <stp>BDH|9237865652881985445</stp>
        <tr r="L22" s="8"/>
      </tp>
      <tp t="s">
        <v>#N/A N/A</v>
        <stp/>
        <stp>BDH|5687290516763134436</stp>
        <tr r="C17" s="3"/>
      </tp>
      <tp t="s">
        <v>#N/A N/A</v>
        <stp/>
        <stp>BDH|5547264130192811736</stp>
        <tr r="D23" s="4"/>
      </tp>
      <tp t="s">
        <v>#N/A N/A</v>
        <stp/>
        <stp>BDH|3874771646075741469</stp>
        <tr r="C17" s="4"/>
      </tp>
      <tp t="s">
        <v>#N/A N/A</v>
        <stp/>
        <stp>BDH|1872470126404285229</stp>
        <tr r="D7" s="3"/>
      </tp>
      <tp t="s">
        <v>#N/A N/A</v>
        <stp/>
        <stp>BDH|6720066016237653184</stp>
        <tr r="I18" s="5"/>
      </tp>
      <tp t="s">
        <v>#N/A N/A</v>
        <stp/>
        <stp>BDH|2673333860130847646</stp>
        <tr r="H19" s="4"/>
      </tp>
      <tp t="s">
        <v>#N/A N/A</v>
        <stp/>
        <stp>BDH|5669142068610684356</stp>
        <tr r="D21" s="8"/>
      </tp>
      <tp t="s">
        <v>#N/A N/A</v>
        <stp/>
        <stp>BDH|8271679760830320985</stp>
        <tr r="G12" s="5"/>
      </tp>
      <tp t="s">
        <v>#N/A N/A</v>
        <stp/>
        <stp>BDH|7562369309846633325</stp>
        <tr r="V9" s="2"/>
      </tp>
      <tp t="s">
        <v>#N/A N/A</v>
        <stp/>
        <stp>BDH|5838177810353438755</stp>
        <tr r="N24" s="4"/>
      </tp>
      <tp t="s">
        <v>#N/A N/A</v>
        <stp/>
        <stp>BDH|7094000017062155585</stp>
        <tr r="C16" s="2"/>
      </tp>
      <tp t="s">
        <v>#N/A N/A</v>
        <stp/>
        <stp>BDH|7435315327107534086</stp>
        <tr r="V26" s="5"/>
      </tp>
      <tp t="s">
        <v>#N/A N/A</v>
        <stp/>
        <stp>BDH|6953011676047979781</stp>
        <tr r="H25" s="3"/>
      </tp>
      <tp t="s">
        <v>#N/A N/A</v>
        <stp/>
        <stp>BDH|8512421609565492859</stp>
        <tr r="U11" s="7"/>
      </tp>
      <tp t="s">
        <v>#N/A N/A</v>
        <stp/>
        <stp>BDH|7676734059246390200</stp>
        <tr r="U16" s="3"/>
      </tp>
      <tp t="s">
        <v>#N/A N/A</v>
        <stp/>
        <stp>BDH|9992206099065594695</stp>
        <tr r="M7" s="7"/>
      </tp>
      <tp t="s">
        <v>#N/A N/A</v>
        <stp/>
        <stp>BDH|1868583961424473793</stp>
        <tr r="I17" s="7"/>
      </tp>
      <tp t="s">
        <v>#N/A N/A</v>
        <stp/>
        <stp>BDH|1808797263854807568</stp>
        <tr r="V16" s="7"/>
      </tp>
      <tp t="s">
        <v>#N/A N/A</v>
        <stp/>
        <stp>BDH|8622026329399156208</stp>
        <tr r="Q15" s="6"/>
      </tp>
      <tp t="s">
        <v>#N/A N/A</v>
        <stp/>
        <stp>BDH|4116299465655760465</stp>
        <tr r="S22" s="5"/>
      </tp>
      <tp t="s">
        <v>#N/A N/A</v>
        <stp/>
        <stp>BDH|2777003146345433275</stp>
        <tr r="I21" s="3"/>
      </tp>
      <tp t="s">
        <v>#N/A N/A</v>
        <stp/>
        <stp>BDH|9763587515464844801</stp>
        <tr r="L13" s="8"/>
      </tp>
      <tp t="s">
        <v>#N/A N/A</v>
        <stp/>
        <stp>BDH|5663809997892578763</stp>
        <tr r="F14" s="3"/>
      </tp>
      <tp t="s">
        <v>#N/A N/A</v>
        <stp/>
        <stp>BDH|2427746258462208387</stp>
        <tr r="Q20" s="6"/>
      </tp>
      <tp t="s">
        <v>#N/A N/A</v>
        <stp/>
        <stp>BDH|4319181350292108385</stp>
        <tr r="G6" s="5"/>
      </tp>
      <tp t="s">
        <v>#N/A N/A</v>
        <stp/>
        <stp>BDH|4816614310771282395</stp>
        <tr r="H26" s="3"/>
      </tp>
      <tp t="s">
        <v>#N/A N/A</v>
        <stp/>
        <stp>BDH|2119047810092655002</stp>
        <tr r="U12" s="6"/>
      </tp>
      <tp t="s">
        <v>#N/A N/A</v>
        <stp/>
        <stp>BDH|2595652352917290731</stp>
        <tr r="D17" s="6"/>
      </tp>
      <tp t="s">
        <v>#N/A N/A</v>
        <stp/>
        <stp>BDH|6365709366147599107</stp>
        <tr r="H17" s="8"/>
      </tp>
      <tp t="s">
        <v>#N/A N/A</v>
        <stp/>
        <stp>BDH|5160773535270564066</stp>
        <tr r="G13" s="7"/>
      </tp>
      <tp t="s">
        <v>#N/A N/A</v>
        <stp/>
        <stp>BDH|5999161845632272381</stp>
        <tr r="O15" s="6"/>
      </tp>
      <tp t="s">
        <v>#N/A N/A</v>
        <stp/>
        <stp>BDH|7859461995372881931</stp>
        <tr r="O19" s="2"/>
      </tp>
      <tp t="s">
        <v>#N/A N/A</v>
        <stp/>
        <stp>BDH|2229489148500080328</stp>
        <tr r="F11" s="9"/>
      </tp>
      <tp t="s">
        <v>#N/A N/A</v>
        <stp/>
        <stp>BDH|5134792497092605881</stp>
        <tr r="L11" s="7"/>
      </tp>
      <tp t="s">
        <v>#N/A N/A</v>
        <stp/>
        <stp>BDH|8201774932735572832</stp>
        <tr r="G8" s="9"/>
      </tp>
      <tp t="s">
        <v>#N/A N/A</v>
        <stp/>
        <stp>BDH|6309558757543268427</stp>
        <tr r="D12" s="7"/>
      </tp>
      <tp t="s">
        <v>#N/A N/A</v>
        <stp/>
        <stp>BDH|4520705841885215306</stp>
        <tr r="Q7" s="5"/>
      </tp>
      <tp t="s">
        <v>#N/A N/A</v>
        <stp/>
        <stp>BDH|8229839773552238461</stp>
        <tr r="C20" s="3"/>
      </tp>
      <tp t="s">
        <v>#N/A N/A</v>
        <stp/>
        <stp>BDH|4839585831914173766</stp>
        <tr r="Q8" s="7"/>
      </tp>
      <tp t="s">
        <v>#N/A N/A</v>
        <stp/>
        <stp>BDH|9209902666945357206</stp>
        <tr r="H13" s="4"/>
      </tp>
      <tp t="s">
        <v>#N/A N/A</v>
        <stp/>
        <stp>BDH|6852187670777595621</stp>
        <tr r="N8" s="4"/>
      </tp>
      <tp t="s">
        <v>#N/A N/A</v>
        <stp/>
        <stp>BDH|3933351416036543689</stp>
        <tr r="T18" s="5"/>
      </tp>
      <tp t="s">
        <v>#N/A N/A</v>
        <stp/>
        <stp>BDH|8356510493112720719</stp>
        <tr r="R15" s="6"/>
      </tp>
      <tp t="s">
        <v>#N/A N/A</v>
        <stp/>
        <stp>BDH|2255637645058123910</stp>
        <tr r="S9" s="9"/>
      </tp>
      <tp t="s">
        <v>#N/A N/A</v>
        <stp/>
        <stp>BDH|4203901689131675594</stp>
        <tr r="T20" s="6"/>
      </tp>
      <tp t="s">
        <v>#N/A N/A</v>
        <stp/>
        <stp>BDH|1815020320827701592</stp>
        <tr r="K12" s="8"/>
      </tp>
      <tp t="s">
        <v>#N/A N/A</v>
        <stp/>
        <stp>BDH|4948162100953363784</stp>
        <tr r="K18" s="4"/>
      </tp>
      <tp t="s">
        <v>#N/A N/A</v>
        <stp/>
        <stp>BDH|2444625479627812522</stp>
        <tr r="N14" s="5"/>
      </tp>
      <tp t="s">
        <v>#N/A N/A</v>
        <stp/>
        <stp>BDH|2928616923346831169</stp>
        <tr r="E13" s="3"/>
      </tp>
      <tp t="s">
        <v>#N/A N/A</v>
        <stp/>
        <stp>BDH|5250866099544826109</stp>
        <tr r="G17" s="6"/>
      </tp>
      <tp t="s">
        <v>#N/A N/A</v>
        <stp/>
        <stp>BDH|2445049173807781313</stp>
        <tr r="C16" s="8"/>
      </tp>
      <tp t="s">
        <v>#N/A N/A</v>
        <stp/>
        <stp>BDH|87773985571697237</stp>
        <tr r="I19" s="4"/>
      </tp>
      <tp t="s">
        <v>#N/A N/A</v>
        <stp/>
        <stp>BDH|1982224479541915719</stp>
        <tr r="V16" s="5"/>
      </tp>
      <tp t="s">
        <v>#N/A N/A</v>
        <stp/>
        <stp>BDH|5613166317131557681</stp>
        <tr r="V7" s="6"/>
      </tp>
      <tp t="s">
        <v>#N/A N/A</v>
        <stp/>
        <stp>BDH|4010299227250761635</stp>
        <tr r="S16" s="4"/>
      </tp>
      <tp t="s">
        <v>#N/A N/A</v>
        <stp/>
        <stp>BDH|5087122360231156197</stp>
        <tr r="M20" s="3"/>
      </tp>
      <tp t="s">
        <v>#N/A N/A</v>
        <stp/>
        <stp>BDH|7795998256199133039</stp>
        <tr r="S16" s="2"/>
      </tp>
      <tp t="s">
        <v>#N/A N/A</v>
        <stp/>
        <stp>BDH|7185146859747428625</stp>
        <tr r="N8" s="6"/>
      </tp>
      <tp t="s">
        <v>#N/A N/A</v>
        <stp/>
        <stp>BDH|9911332274926797922</stp>
        <tr r="S13" s="7"/>
      </tp>
      <tp t="s">
        <v>#N/A N/A</v>
        <stp/>
        <stp>BDH|7819575003958457838</stp>
        <tr r="L22" s="6"/>
      </tp>
      <tp t="s">
        <v>#N/A N/A</v>
        <stp/>
        <stp>BDH|8158052896597159484</stp>
        <tr r="I20" s="2"/>
      </tp>
      <tp t="s">
        <v>#N/A N/A</v>
        <stp/>
        <stp>BDH|3896445974241090335</stp>
        <tr r="N18" s="2"/>
      </tp>
      <tp t="s">
        <v>#N/A N/A</v>
        <stp/>
        <stp>BDH|3123465542405704495</stp>
        <tr r="F16" s="6"/>
      </tp>
      <tp t="s">
        <v>#N/A N/A</v>
        <stp/>
        <stp>BDH|1261531212540839708</stp>
        <tr r="M17" s="8"/>
      </tp>
      <tp t="s">
        <v>#N/A N/A</v>
        <stp/>
        <stp>BDH|7178647429397686613</stp>
        <tr r="G21" s="6"/>
      </tp>
      <tp t="s">
        <v>#N/A N/A</v>
        <stp/>
        <stp>BDH|1531251997089483184</stp>
        <tr r="O21" s="5"/>
      </tp>
      <tp t="s">
        <v>#N/A N/A</v>
        <stp/>
        <stp>BDH|5335186052367286437</stp>
        <tr r="M16" s="5"/>
      </tp>
      <tp t="s">
        <v>#N/A N/A</v>
        <stp/>
        <stp>BDH|3153339529421357100</stp>
        <tr r="C15" s="6"/>
      </tp>
      <tp t="s">
        <v>#N/A N/A</v>
        <stp/>
        <stp>BDH|4045532995648949278</stp>
        <tr r="H17" s="9"/>
      </tp>
      <tp t="s">
        <v>#N/A N/A</v>
        <stp/>
        <stp>BDH|6741652045556967074</stp>
        <tr r="O13" s="9"/>
      </tp>
      <tp t="s">
        <v>#N/A N/A</v>
        <stp/>
        <stp>BDH|2630698567409790966</stp>
        <tr r="J8" s="4"/>
      </tp>
      <tp t="s">
        <v>#N/A N/A</v>
        <stp/>
        <stp>BDH|1683969380835814714</stp>
        <tr r="J12" s="8"/>
      </tp>
      <tp t="s">
        <v>#N/A N/A</v>
        <stp/>
        <stp>BDH|5208773889688400060</stp>
        <tr r="Q16" s="7"/>
      </tp>
      <tp t="s">
        <v>#N/A N/A</v>
        <stp/>
        <stp>BDH|5532438964400531594</stp>
        <tr r="L9" s="6"/>
      </tp>
      <tp t="s">
        <v>#N/A N/A</v>
        <stp/>
        <stp>BDH|5480489828616380790</stp>
        <tr r="D6" s="5"/>
      </tp>
      <tp t="s">
        <v>#N/A N/A</v>
        <stp/>
        <stp>BDH|4691496374627406208</stp>
        <tr r="M15" s="9"/>
      </tp>
      <tp t="s">
        <v>#N/A N/A</v>
        <stp/>
        <stp>BDH|3772042994271008987</stp>
        <tr r="P16" s="2"/>
      </tp>
      <tp t="s">
        <v>#N/A N/A</v>
        <stp/>
        <stp>BDH|6651589015488524817</stp>
        <tr r="R22" s="6"/>
      </tp>
      <tp t="s">
        <v>#N/A N/A</v>
        <stp/>
        <stp>BDH|8529728499587355319</stp>
        <tr r="G13" s="9"/>
      </tp>
      <tp t="s">
        <v>#N/A N/A</v>
        <stp/>
        <stp>BDH|7538606759032743475</stp>
        <tr r="V7" s="4"/>
      </tp>
      <tp t="s">
        <v>#N/A N/A</v>
        <stp/>
        <stp>BDH|6218694827996990693</stp>
        <tr r="C7" s="9"/>
      </tp>
      <tp t="s">
        <v>#N/A N/A</v>
        <stp/>
        <stp>BDH|3784109011252887339</stp>
        <tr r="O14" s="5"/>
      </tp>
      <tp t="s">
        <v>#N/A N/A</v>
        <stp/>
        <stp>BDH|7409657622799634885</stp>
        <tr r="L9" s="4"/>
      </tp>
      <tp t="s">
        <v>#N/A N/A</v>
        <stp/>
        <stp>BDH|7638597712926531756</stp>
        <tr r="N22" s="8"/>
      </tp>
      <tp t="s">
        <v>#N/A N/A</v>
        <stp/>
        <stp>BDH|4778583363037582244</stp>
        <tr r="D14" s="8"/>
      </tp>
      <tp t="s">
        <v>#N/A N/A</v>
        <stp/>
        <stp>BDH|1185775538417708046</stp>
        <tr r="I12" s="3"/>
      </tp>
      <tp t="s">
        <v>#N/A N/A</v>
        <stp/>
        <stp>BDH|2554100987350614962</stp>
        <tr r="M13" s="8"/>
      </tp>
      <tp t="s">
        <v>#N/A N/A</v>
        <stp/>
        <stp>BDH|2829335920554892511</stp>
        <tr r="P25" s="3"/>
      </tp>
      <tp t="s">
        <v>#N/A N/A</v>
        <stp/>
        <stp>BDH|1795817322621439826</stp>
        <tr r="L20" s="5"/>
      </tp>
      <tp t="s">
        <v>#N/A N/A</v>
        <stp/>
        <stp>BDH|2716828487910097014</stp>
        <tr r="V24" s="2"/>
      </tp>
      <tp t="s">
        <v>#N/A N/A</v>
        <stp/>
        <stp>BDH|9527880414660037294</stp>
        <tr r="U22" s="4"/>
      </tp>
      <tp t="s">
        <v>#N/A N/A</v>
        <stp/>
        <stp>BDH|6445679677595550012</stp>
        <tr r="P26" s="3"/>
      </tp>
      <tp t="s">
        <v>#N/A N/A</v>
        <stp/>
        <stp>BDH|7295512976087748035</stp>
        <tr r="D14" s="6"/>
      </tp>
      <tp t="s">
        <v>#N/A N/A</v>
        <stp/>
        <stp>BDH|3800595303091149555</stp>
        <tr r="U9" s="5"/>
      </tp>
      <tp t="s">
        <v>#N/A N/A</v>
        <stp/>
        <stp>BDH|2948430529077067155</stp>
        <tr r="V13" s="6"/>
      </tp>
      <tp t="s">
        <v>#N/A N/A</v>
        <stp/>
        <stp>BDH|6963353468349797857</stp>
        <tr r="M17" s="6"/>
      </tp>
      <tp t="s">
        <v>#N/A N/A</v>
        <stp/>
        <stp>BDH|6529303660134587563</stp>
        <tr r="U17" s="2"/>
      </tp>
      <tp t="s">
        <v>#N/A N/A</v>
        <stp/>
        <stp>BDH|5254641233956738442</stp>
        <tr r="G17" s="8"/>
      </tp>
      <tp t="s">
        <v>#N/A N/A</v>
        <stp/>
        <stp>BDH|3188058997119336172</stp>
        <tr r="O7" s="8"/>
      </tp>
      <tp t="s">
        <v>#N/A N/A</v>
        <stp/>
        <stp>BDH|3271102659787864244</stp>
        <tr r="G8" s="8"/>
      </tp>
      <tp t="s">
        <v>#N/A N/A</v>
        <stp/>
        <stp>BDH|7875388507984314230</stp>
        <tr r="O10" s="4"/>
      </tp>
      <tp t="s">
        <v>#N/A N/A</v>
        <stp/>
        <stp>BDH|6977703938860134074</stp>
        <tr r="H22" s="3"/>
      </tp>
      <tp t="s">
        <v>#N/A N/A</v>
        <stp/>
        <stp>BDH|2087826986139664952</stp>
        <tr r="K14" s="4"/>
      </tp>
      <tp t="s">
        <v>#N/A N/A</v>
        <stp/>
        <stp>BDH|4286618721817535501</stp>
        <tr r="T17" s="5"/>
      </tp>
      <tp t="s">
        <v>#N/A N/A</v>
        <stp/>
        <stp>BDH|9426627886673021641</stp>
        <tr r="F12" s="7"/>
      </tp>
      <tp t="s">
        <v>#N/A N/A</v>
        <stp/>
        <stp>BDH|1834346972884273389</stp>
        <tr r="O22" s="3"/>
      </tp>
      <tp t="s">
        <v>#N/A N/A</v>
        <stp/>
        <stp>BDH|2052186840473922656</stp>
        <tr r="G14" s="3"/>
      </tp>
      <tp t="s">
        <v>#N/A N/A</v>
        <stp/>
        <stp>BDH|4168858727809193565</stp>
        <tr r="I15" s="7"/>
      </tp>
      <tp t="s">
        <v>#N/A N/A</v>
        <stp/>
        <stp>BDH|6082397134703177781</stp>
        <tr r="E21" s="8"/>
      </tp>
      <tp t="s">
        <v>#N/A N/A</v>
        <stp/>
        <stp>BDH|8830532027664933905</stp>
        <tr r="F8" s="7"/>
      </tp>
      <tp t="s">
        <v>#N/A N/A</v>
        <stp/>
        <stp>BDH|7194792577992311792</stp>
        <tr r="T12" s="5"/>
      </tp>
      <tp t="s">
        <v>#N/A N/A</v>
        <stp/>
        <stp>BDH|4692751893468210076</stp>
        <tr r="G12" s="8"/>
      </tp>
      <tp t="s">
        <v>#N/A N/A</v>
        <stp/>
        <stp>BDH|3649303634934408531</stp>
        <tr r="R21" s="5"/>
      </tp>
      <tp t="s">
        <v>#N/A N/A</v>
        <stp/>
        <stp>BDH|78128220189911562</stp>
        <tr r="K21" s="3"/>
      </tp>
      <tp t="s">
        <v>#N/A N/A</v>
        <stp/>
        <stp>BDH|2949319781528464277</stp>
        <tr r="T8" s="3"/>
      </tp>
      <tp t="s">
        <v>#N/A N/A</v>
        <stp/>
        <stp>BDH|8550890795809044335</stp>
        <tr r="I17" s="2"/>
      </tp>
      <tp t="s">
        <v>#N/A N/A</v>
        <stp/>
        <stp>BDH|2845454758853902379</stp>
        <tr r="Q25" s="2"/>
      </tp>
      <tp t="s">
        <v>#N/A N/A</v>
        <stp/>
        <stp>BDH|2203601418772502445</stp>
        <tr r="R6" s="3"/>
      </tp>
      <tp t="s">
        <v>#N/A N/A</v>
        <stp/>
        <stp>BDH|6272698348891802600</stp>
        <tr r="N12" s="3"/>
      </tp>
      <tp t="s">
        <v>#N/A N/A</v>
        <stp/>
        <stp>BDH|7198117163572107192</stp>
        <tr r="O12" s="7"/>
      </tp>
      <tp t="s">
        <v>#N/A N/A</v>
        <stp/>
        <stp>BDH|8716688494670595459</stp>
        <tr r="T24" s="2"/>
      </tp>
      <tp t="s">
        <v>#N/A N/A</v>
        <stp/>
        <stp>BDH|4736021760438475993</stp>
        <tr r="O24" s="4"/>
      </tp>
      <tp t="s">
        <v>#N/A N/A</v>
        <stp/>
        <stp>BDH|3176852854145918811</stp>
        <tr r="Q12" s="7"/>
      </tp>
      <tp t="s">
        <v>#N/A N/A</v>
        <stp/>
        <stp>BDH|6503045535012550497</stp>
        <tr r="V13" s="2"/>
      </tp>
      <tp t="s">
        <v>#N/A N/A</v>
        <stp/>
        <stp>BDH|8136478077109126181</stp>
        <tr r="M18" s="5"/>
      </tp>
      <tp t="s">
        <v>#N/A N/A</v>
        <stp/>
        <stp>BDH|5474484347984684258</stp>
        <tr r="S7" s="3"/>
      </tp>
      <tp t="s">
        <v>#N/A N/A</v>
        <stp/>
        <stp>BDH|7618849991560247583</stp>
        <tr r="I8" s="9"/>
      </tp>
      <tp t="s">
        <v>#N/A N/A</v>
        <stp/>
        <stp>BDH|5598159802007919052</stp>
        <tr r="P10" s="4"/>
      </tp>
      <tp t="s">
        <v>#N/A N/A</v>
        <stp/>
        <stp>BDH|2487728418574393339</stp>
        <tr r="P8" s="3"/>
      </tp>
      <tp t="s">
        <v>#N/A N/A</v>
        <stp/>
        <stp>BDH|9600962708780633303</stp>
        <tr r="P28" s="5"/>
      </tp>
      <tp t="s">
        <v>#N/A N/A</v>
        <stp/>
        <stp>BDH|7445576396681297999</stp>
        <tr r="V8" s="5"/>
      </tp>
      <tp t="s">
        <v>#N/A N/A</v>
        <stp/>
        <stp>BDH|4022604639663337148</stp>
        <tr r="V17" s="3"/>
      </tp>
      <tp t="s">
        <v>#N/A N/A</v>
        <stp/>
        <stp>BDH|8172988716376515546</stp>
        <tr r="G14" s="4"/>
      </tp>
      <tp t="s">
        <v>#N/A N/A</v>
        <stp/>
        <stp>BDH|6347442289880449940</stp>
        <tr r="E24" s="5"/>
      </tp>
      <tp t="s">
        <v>#N/A N/A</v>
        <stp/>
        <stp>BDH|7618300664965519493</stp>
        <tr r="E9" s="9"/>
      </tp>
      <tp t="s">
        <v>#N/A N/A</v>
        <stp/>
        <stp>BDH|3011696648024888673</stp>
        <tr r="F18" s="3"/>
      </tp>
      <tp t="s">
        <v>#N/A N/A</v>
        <stp/>
        <stp>BDH|3108377137951982169</stp>
        <tr r="Q16" s="5"/>
      </tp>
      <tp t="s">
        <v>#N/A N/A</v>
        <stp/>
        <stp>BDH|8051763898624555145</stp>
        <tr r="C13" s="6"/>
      </tp>
      <tp t="s">
        <v>#N/A N/A</v>
        <stp/>
        <stp>BDH|3570812630579298290</stp>
        <tr r="I12" s="8"/>
      </tp>
      <tp t="s">
        <v>#N/A N/A</v>
        <stp/>
        <stp>BDH|3694294863364632056</stp>
        <tr r="J19" s="2"/>
      </tp>
      <tp t="s">
        <v>#N/A N/A</v>
        <stp/>
        <stp>BDH|3010893182980042044</stp>
        <tr r="I7" s="4"/>
      </tp>
      <tp t="s">
        <v>#N/A N/A</v>
        <stp/>
        <stp>BDH|3903864647135123969</stp>
        <tr r="H15" s="9"/>
      </tp>
      <tp t="s">
        <v>#N/A N/A</v>
        <stp/>
        <stp>BDH|6879236123072077743</stp>
        <tr r="T6" s="5"/>
      </tp>
      <tp t="s">
        <v>#N/A N/A</v>
        <stp/>
        <stp>BDH|3583396917982761018</stp>
        <tr r="C10" s="5"/>
      </tp>
      <tp t="s">
        <v>#N/A N/A</v>
        <stp/>
        <stp>BDH|6279469018632680278</stp>
        <tr r="L15" s="2"/>
      </tp>
      <tp t="s">
        <v>#N/A N/A</v>
        <stp/>
        <stp>BDH|3810652440112802088</stp>
        <tr r="R7" s="5"/>
      </tp>
      <tp t="s">
        <v>#N/A N/A</v>
        <stp/>
        <stp>BDH|3761619702635878313</stp>
        <tr r="K22" s="3"/>
      </tp>
      <tp t="s">
        <v>#N/A N/A</v>
        <stp/>
        <stp>BDH|3351066829473626185</stp>
        <tr r="C25" s="2"/>
      </tp>
      <tp t="s">
        <v>#N/A N/A</v>
        <stp/>
        <stp>BDH|4204724335067038474</stp>
        <tr r="H10" s="2"/>
      </tp>
      <tp t="s">
        <v>#N/A N/A</v>
        <stp/>
        <stp>BDH|4937092905437400030</stp>
        <tr r="H13" s="3"/>
      </tp>
      <tp t="s">
        <v>#N/A N/A</v>
        <stp/>
        <stp>BDH|5385155902227339054</stp>
        <tr r="T20" s="3"/>
      </tp>
      <tp t="s">
        <v>#N/A N/A</v>
        <stp/>
        <stp>BDH|5874148919273259550</stp>
        <tr r="E13" s="5"/>
      </tp>
      <tp t="s">
        <v>#N/A N/A</v>
        <stp/>
        <stp>BDH|6062842012745565901</stp>
        <tr r="T25" s="2"/>
      </tp>
      <tp t="s">
        <v>#N/A N/A</v>
        <stp/>
        <stp>BDH|5110552943184110359</stp>
        <tr r="L21" s="8"/>
      </tp>
      <tp t="s">
        <v>#N/A N/A</v>
        <stp/>
        <stp>BDH|9274987598749695372</stp>
        <tr r="D16" s="2"/>
      </tp>
      <tp t="s">
        <v>#N/A N/A</v>
        <stp/>
        <stp>BDH|7517056132270435763</stp>
        <tr r="J20" s="5"/>
      </tp>
      <tp t="s">
        <v>#N/A N/A</v>
        <stp/>
        <stp>BDH|3527403340953559309</stp>
        <tr r="C19" s="4"/>
      </tp>
      <tp t="s">
        <v>#N/A N/A</v>
        <stp/>
        <stp>BDH|2833658171113975357</stp>
        <tr r="O20" s="8"/>
      </tp>
      <tp t="s">
        <v>#N/A N/A</v>
        <stp/>
        <stp>BDH|5948368500024826172</stp>
        <tr r="P9" s="8"/>
      </tp>
      <tp t="s">
        <v>#N/A N/A</v>
        <stp/>
        <stp>BDH|5198719491019908195</stp>
        <tr r="E17" s="6"/>
      </tp>
      <tp t="s">
        <v>#N/A N/A</v>
        <stp/>
        <stp>BDH|2045880411389830102</stp>
        <tr r="H18" s="3"/>
      </tp>
      <tp t="s">
        <v>#N/A N/A</v>
        <stp/>
        <stp>BDH|2838048202770855170</stp>
        <tr r="R12" s="9"/>
      </tp>
      <tp t="s">
        <v>#N/A N/A</v>
        <stp/>
        <stp>BDH|9043518290493910597</stp>
        <tr r="J25" s="3"/>
      </tp>
      <tp t="s">
        <v>#N/A N/A</v>
        <stp/>
        <stp>BDH|6536274577633174325</stp>
        <tr r="K23" s="4"/>
      </tp>
      <tp t="s">
        <v>#N/A N/A</v>
        <stp/>
        <stp>BDH|2533017438331305393</stp>
        <tr r="G22" s="8"/>
      </tp>
      <tp t="s">
        <v>#N/A N/A</v>
        <stp/>
        <stp>BDH|1203599669310783135</stp>
        <tr r="Q8" s="6"/>
      </tp>
      <tp t="s">
        <v>#N/A N/A</v>
        <stp/>
        <stp>BDH|4846142612087086085</stp>
        <tr r="M14" s="6"/>
      </tp>
      <tp t="s">
        <v>#N/A N/A</v>
        <stp/>
        <stp>BDH|1169777624634397374</stp>
        <tr r="Q22" s="6"/>
      </tp>
      <tp t="s">
        <v>#N/A N/A</v>
        <stp/>
        <stp>BDH|5391216494709705475</stp>
        <tr r="M13" s="5"/>
      </tp>
      <tp t="s">
        <v>#N/A N/A</v>
        <stp/>
        <stp>BDH|9747729395121584522</stp>
        <tr r="G15" s="8"/>
      </tp>
      <tp t="s">
        <v>#N/A N/A</v>
        <stp/>
        <stp>BDH|3989289585108156223</stp>
        <tr r="O17" s="3"/>
      </tp>
      <tp t="s">
        <v>#N/A N/A</v>
        <stp/>
        <stp>BDH|1952832328279552109</stp>
        <tr r="L13" s="3"/>
      </tp>
      <tp t="s">
        <v>#N/A N/A</v>
        <stp/>
        <stp>BDH|3193276170643397610</stp>
        <tr r="L6" s="3"/>
      </tp>
      <tp t="s">
        <v>#N/A N/A</v>
        <stp/>
        <stp>BDH|5639084658970484366</stp>
        <tr r="G17" s="5"/>
      </tp>
      <tp t="s">
        <v>#N/A N/A</v>
        <stp/>
        <stp>BDH|4234676763720552774</stp>
        <tr r="N9" s="9"/>
      </tp>
      <tp t="s">
        <v>#N/A N/A</v>
        <stp/>
        <stp>BDH|4220350863481381339</stp>
        <tr r="G12" s="7"/>
      </tp>
      <tp t="s">
        <v>#N/A N/A</v>
        <stp/>
        <stp>BDH|2475962023632108845</stp>
        <tr r="I9" s="6"/>
      </tp>
      <tp t="s">
        <v>#N/A N/A</v>
        <stp/>
        <stp>BDH|3726328075564223063</stp>
        <tr r="F26" s="3"/>
      </tp>
      <tp t="s">
        <v>#N/A N/A</v>
        <stp/>
        <stp>BDH|6137621424078164939</stp>
        <tr r="E6" s="5"/>
      </tp>
      <tp t="s">
        <v>#N/A N/A</v>
        <stp/>
        <stp>BDH|49887332623128651</stp>
        <tr r="F21" s="6"/>
      </tp>
    </main>
    <main first="bofaddin.rtdserver">
      <tp t="s">
        <v>#N/A N/A</v>
        <stp/>
        <stp>BDH|800540123144507645</stp>
        <tr r="V20" s="6"/>
      </tp>
      <tp t="s">
        <v>#N/A N/A</v>
        <stp/>
        <stp>BDH|326354314287899012</stp>
        <tr r="P22" s="5"/>
      </tp>
      <tp t="s">
        <v>#N/A N/A</v>
        <stp/>
        <stp>BDH|931376535984759020</stp>
        <tr r="V17" s="6"/>
      </tp>
      <tp t="s">
        <v>#N/A N/A</v>
        <stp/>
        <stp>BDH|516697607737126558</stp>
        <tr r="U17" s="5"/>
      </tp>
      <tp t="s">
        <v>#N/A N/A</v>
        <stp/>
        <stp>BDH|387993582832664719</stp>
        <tr r="C8" s="9"/>
      </tp>
      <tp t="s">
        <v>#N/A N/A</v>
        <stp/>
        <stp>BDH|636652793388294388</stp>
        <tr r="M26" s="5"/>
      </tp>
      <tp t="s">
        <v>#N/A N/A</v>
        <stp/>
        <stp>BDH|477328585306372960</stp>
        <tr r="S16" s="8"/>
      </tp>
      <tp t="s">
        <v>#N/A N/A</v>
        <stp/>
        <stp>BDH|893163562546810638</stp>
        <tr r="E25" s="2"/>
      </tp>
      <tp t="s">
        <v>#N/A N/A</v>
        <stp/>
        <stp>BDH|580999786731852721</stp>
        <tr r="M17" s="4"/>
      </tp>
      <tp t="s">
        <v>#N/A N/A</v>
        <stp/>
        <stp>BDH|693416329097476686</stp>
        <tr r="D12" s="5"/>
      </tp>
      <tp t="s">
        <v>#N/A N/A</v>
        <stp/>
        <stp>BDH|995047759756412592</stp>
        <tr r="K26" s="5"/>
      </tp>
      <tp t="s">
        <v>#N/A N/A</v>
        <stp/>
        <stp>BDH|723354156953242323</stp>
        <tr r="H7" s="2"/>
      </tp>
      <tp t="s">
        <v>#N/A N/A</v>
        <stp/>
        <stp>BDH|291347861591769242</stp>
        <tr r="G10" s="2"/>
      </tp>
      <tp t="s">
        <v>#N/A N/A</v>
        <stp/>
        <stp>BDH|584020626832063657</stp>
        <tr r="S13" s="6"/>
      </tp>
      <tp t="s">
        <v>#N/A N/A</v>
        <stp/>
        <stp>BDH|621651122780558219</stp>
        <tr r="R8" s="9"/>
      </tp>
      <tp t="s">
        <v>#N/A N/A</v>
        <stp/>
        <stp>BDH|887302065945261693</stp>
        <tr r="T8" s="8"/>
      </tp>
      <tp t="s">
        <v>#N/A N/A</v>
        <stp/>
        <stp>BDH|892190477959436909</stp>
        <tr r="V19" s="4"/>
      </tp>
      <tp t="s">
        <v>#N/A N/A</v>
        <stp/>
        <stp>BDH|960223202591894521</stp>
        <tr r="L16" s="9"/>
      </tp>
      <tp t="s">
        <v>#N/A N/A</v>
        <stp/>
        <stp>BDH|555501932540587016</stp>
        <tr r="V16" s="2"/>
      </tp>
      <tp t="s">
        <v>#N/A N/A</v>
        <stp/>
        <stp>BDH|543378296253852828</stp>
        <tr r="C20" s="2"/>
      </tp>
      <tp t="s">
        <v>#N/A N/A</v>
        <stp/>
        <stp>BDH|870253806941088204</stp>
        <tr r="S20" s="2"/>
      </tp>
      <tp t="s">
        <v>#N/A N/A</v>
        <stp/>
        <stp>BDH|481918792169521848</stp>
        <tr r="N11" s="7"/>
      </tp>
      <tp t="s">
        <v>#N/A N/A</v>
        <stp/>
        <stp>BDH|808342380268761376</stp>
        <tr r="N17" s="9"/>
      </tp>
      <tp t="s">
        <v>#N/A N/A</v>
        <stp/>
        <stp>BDH|302374128623235237</stp>
        <tr r="M19" s="2"/>
      </tp>
      <tp t="s">
        <v>#N/A N/A</v>
        <stp/>
        <stp>BDH|764875159829489472</stp>
        <tr r="U12" s="7"/>
      </tp>
      <tp t="s">
        <v>#N/A N/A</v>
        <stp/>
        <stp>BDH|929943746365099801</stp>
        <tr r="J19" s="4"/>
      </tp>
      <tp t="s">
        <v>#N/A N/A</v>
        <stp/>
        <stp>BDH|599689578697566648</stp>
        <tr r="L15" s="8"/>
      </tp>
      <tp t="s">
        <v>#N/A N/A</v>
        <stp/>
        <stp>BDH|526364951231039760</stp>
        <tr r="N15" s="2"/>
      </tp>
      <tp t="s">
        <v>#N/A N/A</v>
        <stp/>
        <stp>BDH|520719150882725060</stp>
        <tr r="S15" s="9"/>
      </tp>
      <tp t="s">
        <v>#N/A N/A</v>
        <stp/>
        <stp>BDH|733231746413757525</stp>
        <tr r="F21" s="8"/>
      </tp>
      <tp t="s">
        <v>#N/A N/A</v>
        <stp/>
        <stp>BDH|394400991569051429</stp>
        <tr r="D16" s="5"/>
      </tp>
      <tp t="s">
        <v>#N/A N/A</v>
        <stp/>
        <stp>BDH|800819994837595692</stp>
        <tr r="P9" s="4"/>
      </tp>
      <tp t="s">
        <v>#N/A N/A</v>
        <stp/>
        <stp>BDH|367281119074546759</stp>
        <tr r="T9" s="3"/>
      </tp>
      <tp t="s">
        <v>#N/A N/A</v>
        <stp/>
        <stp>BDH|936955626031203952</stp>
        <tr r="G9" s="3"/>
      </tp>
      <tp t="s">
        <v>#N/A N/A</v>
        <stp/>
        <stp>BDH|688069576032859604</stp>
        <tr r="S12" s="5"/>
      </tp>
      <tp t="s">
        <v>#N/A N/A</v>
        <stp/>
        <stp>BDH|773921388345762735</stp>
        <tr r="E13" s="2"/>
      </tp>
      <tp t="s">
        <v>#N/A N/A</v>
        <stp/>
        <stp>BDH|818190663356004289</stp>
        <tr r="K9" s="5"/>
      </tp>
      <tp t="s">
        <v>#N/A N/A</v>
        <stp/>
        <stp>BDH|694873325890503962</stp>
        <tr r="F13" s="4"/>
      </tp>
      <tp t="s">
        <v>#N/A N/A</v>
        <stp/>
        <stp>BDH|195183111224025782</stp>
        <tr r="H16" s="4"/>
      </tp>
      <tp t="s">
        <v>#N/A N/A</v>
        <stp/>
        <stp>BDH|504919295123168020</stp>
        <tr r="D13" s="8"/>
      </tp>
      <tp t="s">
        <v>#N/A N/A</v>
        <stp/>
        <stp>BDH|536737621771103759</stp>
        <tr r="Q9" s="9"/>
      </tp>
      <tp t="s">
        <v>#N/A N/A</v>
        <stp/>
        <stp>BDH|974732269845525691</stp>
        <tr r="U28" s="5"/>
      </tp>
      <tp t="s">
        <v>#N/A N/A</v>
        <stp/>
        <stp>BDH|318405321664880027</stp>
        <tr r="M24" s="2"/>
      </tp>
      <tp t="s">
        <v>#N/A N/A</v>
        <stp/>
        <stp>BDH|652090312265091640</stp>
        <tr r="G16" s="2"/>
      </tp>
      <tp t="s">
        <v>#N/A N/A</v>
        <stp/>
        <stp>BDH|529040512905765621</stp>
        <tr r="P24" s="4"/>
      </tp>
      <tp t="s">
        <v>#N/A N/A</v>
        <stp/>
        <stp>BDH|795931681907753454</stp>
        <tr r="O9" s="8"/>
      </tp>
      <tp t="s">
        <v>#N/A N/A</v>
        <stp/>
        <stp>BDH|617311051612025666</stp>
        <tr r="H15" s="4"/>
      </tp>
      <tp t="s">
        <v>#N/A N/A</v>
        <stp/>
        <stp>BDH|684483571938825966</stp>
        <tr r="K13" s="2"/>
      </tp>
      <tp t="s">
        <v>#N/A N/A</v>
        <stp/>
        <stp>BDH|963167501961955240</stp>
        <tr r="U7" s="7"/>
      </tp>
      <tp t="s">
        <v>#N/A N/A</v>
        <stp/>
        <stp>BDH|520556498804040570</stp>
        <tr r="L22" s="3"/>
      </tp>
      <tp t="s">
        <v>#N/A N/A</v>
        <stp/>
        <stp>BDH|704224129879348404</stp>
        <tr r="E12" s="8"/>
      </tp>
      <tp t="s">
        <v>#N/A N/A</v>
        <stp/>
        <stp>BDH|381310528939319567</stp>
        <tr r="N17" s="3"/>
      </tp>
      <tp t="s">
        <v>#N/A N/A</v>
        <stp/>
        <stp>BDH|328458520129804245</stp>
        <tr r="E12" s="3"/>
      </tp>
      <tp t="s">
        <v>#N/A N/A</v>
        <stp/>
        <stp>BDH|823855063711538217</stp>
        <tr r="J8" s="7"/>
      </tp>
      <tp t="s">
        <v>#N/A N/A</v>
        <stp/>
        <stp>BDH|495020453988529050</stp>
        <tr r="C15" s="7"/>
      </tp>
      <tp t="s">
        <v>#N/A N/A</v>
        <stp/>
        <stp>BDH|698022667509523261</stp>
        <tr r="O6" s="5"/>
      </tp>
      <tp t="s">
        <v>#N/A N/A</v>
        <stp/>
        <stp>BDH|707444104178757112</stp>
        <tr r="P7" s="2"/>
      </tp>
      <tp t="s">
        <v>#N/A N/A</v>
        <stp/>
        <stp>BDH|684035781373424636</stp>
        <tr r="R8" s="5"/>
      </tp>
      <tp t="s">
        <v>#N/A N/A</v>
        <stp/>
        <stp>BDH|661199368269515311</stp>
        <tr r="M9" s="3"/>
      </tp>
      <tp t="s">
        <v>#N/A N/A</v>
        <stp/>
        <stp>BDH|857819853755051465</stp>
        <tr r="V13" s="7"/>
      </tp>
      <tp t="s">
        <v>#N/A N/A</v>
        <stp/>
        <stp>BDH|648492997250242148</stp>
        <tr r="F7" s="5"/>
      </tp>
      <tp t="s">
        <v>#N/A N/A</v>
        <stp/>
        <stp>BDH|494800597798642534</stp>
        <tr r="L7" s="8"/>
      </tp>
      <tp t="s">
        <v>#N/A N/A</v>
        <stp/>
        <stp>BDH|509720957699575725</stp>
        <tr r="V15" s="2"/>
      </tp>
      <tp t="s">
        <v>#N/A N/A</v>
        <stp/>
        <stp>BDH|647860637086643131</stp>
        <tr r="J15" s="9"/>
      </tp>
      <tp t="s">
        <v>#N/A N/A</v>
        <stp/>
        <stp>BDH|101078494647120202</stp>
        <tr r="H20" s="8"/>
      </tp>
      <tp t="s">
        <v>#N/A N/A</v>
        <stp/>
        <stp>BDH|751570666308911432</stp>
        <tr r="G8" s="7"/>
      </tp>
      <tp t="s">
        <v>#N/A N/A</v>
        <stp/>
        <stp>BDH|339438778209568545</stp>
        <tr r="J28" s="5"/>
      </tp>
      <tp t="s">
        <v>#N/A N/A</v>
        <stp/>
        <stp>BDH|343008913197166968</stp>
        <tr r="H18" s="4"/>
      </tp>
      <tp t="s">
        <v>#N/A N/A</v>
        <stp/>
        <stp>BDH|495901086278609794</stp>
        <tr r="D9" s="6"/>
      </tp>
      <tp t="s">
        <v>#N/A N/A</v>
        <stp/>
        <stp>BDH|373286246039172121</stp>
        <tr r="H17" s="7"/>
      </tp>
      <tp t="s">
        <v>#N/A N/A</v>
        <stp/>
        <stp>BDH|524014436845936838</stp>
        <tr r="O22" s="6"/>
      </tp>
      <tp t="s">
        <v>#N/A N/A</v>
        <stp/>
        <stp>BDH|603827949087809517</stp>
        <tr r="P12" s="3"/>
      </tp>
      <tp t="s">
        <v>#N/A N/A</v>
        <stp/>
        <stp>BDH|710111493767688152</stp>
        <tr r="T17" s="2"/>
      </tp>
      <tp t="s">
        <v>#N/A N/A</v>
        <stp/>
        <stp>BDH|521753546744716922</stp>
        <tr r="I21" s="6"/>
      </tp>
      <tp t="s">
        <v>#N/A N/A</v>
        <stp/>
        <stp>BDH|940968986399131150</stp>
        <tr r="K18" s="3"/>
      </tp>
      <tp t="s">
        <v>#N/A N/A</v>
        <stp/>
        <stp>BDH|623073009168401123</stp>
        <tr r="Q15" s="4"/>
      </tp>
      <tp t="s">
        <v>#N/A N/A</v>
        <stp/>
        <stp>BDH|974969175001561651</stp>
        <tr r="L13" s="4"/>
      </tp>
      <tp t="s">
        <v>#N/A N/A</v>
        <stp/>
        <stp>BDH|286727450742500914</stp>
        <tr r="N10" s="4"/>
      </tp>
      <tp t="s">
        <v>#N/A N/A</v>
        <stp/>
        <stp>BDH|365921257200609549</stp>
        <tr r="S10" s="4"/>
      </tp>
      <tp t="s">
        <v>#N/A N/A</v>
        <stp/>
        <stp>BDH|339043276178693639</stp>
        <tr r="S17" s="4"/>
      </tp>
      <tp t="s">
        <v>#N/A N/A</v>
        <stp/>
        <stp>BDH|814839527907660492</stp>
        <tr r="D22" s="8"/>
      </tp>
      <tp t="s">
        <v>#N/A N/A</v>
        <stp/>
        <stp>BDH|520583602429630403</stp>
        <tr r="G20" s="8"/>
      </tp>
      <tp t="s">
        <v>#N/A N/A</v>
        <stp/>
        <stp>BDH|603097714869502041</stp>
        <tr r="K19" s="2"/>
      </tp>
      <tp t="s">
        <v>#N/A N/A</v>
        <stp/>
        <stp>BDH|599816713628029926</stp>
        <tr r="O18" s="3"/>
      </tp>
      <tp t="s">
        <v>#N/A N/A</v>
        <stp/>
        <stp>BDH|940880059112237796</stp>
        <tr r="J6" s="3"/>
      </tp>
      <tp t="s">
        <v>#N/A N/A</v>
        <stp/>
        <stp>BDH|367897379217784394</stp>
        <tr r="H21" s="5"/>
      </tp>
      <tp t="s">
        <v>#N/A N/A</v>
        <stp/>
        <stp>BDH|707329278858149784</stp>
        <tr r="N16" s="2"/>
      </tp>
      <tp t="s">
        <v>#N/A N/A</v>
        <stp/>
        <stp>BDH|481197729879135135</stp>
        <tr r="M22" s="5"/>
      </tp>
      <tp t="s">
        <v>#N/A N/A</v>
        <stp/>
        <stp>BDH|567331379546631842</stp>
        <tr r="P18" s="5"/>
      </tp>
      <tp t="s">
        <v>#N/A N/A</v>
        <stp/>
        <stp>BDH|737298970037772837</stp>
        <tr r="G15" s="9"/>
      </tp>
      <tp t="s">
        <v>#N/A N/A</v>
        <stp/>
        <stp>BDH|975278060966320875</stp>
        <tr r="L14" s="6"/>
      </tp>
      <tp t="s">
        <v>#N/A N/A</v>
        <stp/>
        <stp>BDH|131283127889363368</stp>
        <tr r="F22" s="6"/>
      </tp>
      <tp t="s">
        <v>#N/A N/A</v>
        <stp/>
        <stp>BDH|772635523977555967</stp>
        <tr r="U13" s="5"/>
      </tp>
      <tp t="s">
        <v>#N/A N/A</v>
        <stp/>
        <stp>BDH|107177119488913236</stp>
        <tr r="Q12" s="5"/>
      </tp>
      <tp t="s">
        <v>#N/A N/A</v>
        <stp/>
        <stp>BDH|832448361430471890</stp>
        <tr r="Q17" s="2"/>
      </tp>
      <tp t="s">
        <v>#N/A N/A</v>
        <stp/>
        <stp>BDH|829528520058801527</stp>
        <tr r="O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workbookViewId="0"/>
  </sheetViews>
  <sheetFormatPr defaultRowHeight="15.75" x14ac:dyDescent="0.25"/>
  <cols>
    <col min="1" max="1" width="35.140625" customWidth="1"/>
    <col min="2" max="2" width="0" hidden="1" customWidth="1"/>
    <col min="3" max="22" width="11.85546875" customWidth="1"/>
  </cols>
  <sheetData>
    <row r="1" spans="1:22" ht="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x14ac:dyDescent="0.25">
      <c r="A4" s="9" t="s">
        <v>3</v>
      </c>
      <c r="B4" s="9"/>
      <c r="C4" s="10" t="s">
        <v>4</v>
      </c>
      <c r="D4" s="10" t="s">
        <v>1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15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</row>
    <row r="5" spans="1:22" ht="15" x14ac:dyDescent="0.25">
      <c r="A5" s="15" t="s">
        <v>23</v>
      </c>
      <c r="B5" s="15"/>
      <c r="C5" s="11" t="s">
        <v>24</v>
      </c>
      <c r="D5" s="11" t="s">
        <v>25</v>
      </c>
      <c r="E5" s="11" t="s">
        <v>26</v>
      </c>
      <c r="F5" s="11" t="s">
        <v>27</v>
      </c>
      <c r="G5" s="11" t="s">
        <v>28</v>
      </c>
      <c r="H5" s="11" t="s">
        <v>29</v>
      </c>
      <c r="I5" s="11" t="s">
        <v>30</v>
      </c>
      <c r="J5" s="11" t="s">
        <v>31</v>
      </c>
      <c r="K5" s="11" t="s">
        <v>32</v>
      </c>
      <c r="L5" s="11" t="s">
        <v>33</v>
      </c>
      <c r="M5" s="11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s="11" t="s">
        <v>42</v>
      </c>
      <c r="V5" s="11" t="s">
        <v>43</v>
      </c>
    </row>
    <row r="6" spans="1:22" ht="15" x14ac:dyDescent="0.25">
      <c r="A6" s="12" t="s">
        <v>44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5" x14ac:dyDescent="0.25">
      <c r="A7" s="16" t="s">
        <v>45</v>
      </c>
      <c r="B7" s="16" t="s">
        <v>46</v>
      </c>
      <c r="C7" s="18">
        <f>_xll.BDH("TCS IN Equity","RETURN_COM_EQY","FY 2004","FY 2004","Currency=INR","Period=FY","BEST_FPERIOD_OVERRIDE=FY","FILING_STATUS=MR","EQY_CONSOLIDATED=Y","ACCOUNTING_STANDARD_OVERRIDE=MIXED","FA_ADJUSTED=GAAP","Sort=A","Dates=H","DateFormat=P","Fill=—","Direction=H","UseDPDF=Y")</f>
        <v>95.183999999999997</v>
      </c>
      <c r="D7" s="18">
        <f>_xll.BDH("TCS IN Equity","RETURN_COM_EQY","FY 2005","FY 2005","Currency=INR","Period=FY","BEST_FPERIOD_OVERRIDE=FY","FILING_STATUS=MR","EQY_CONSOLIDATED=Y","ACCOUNTING_STANDARD_OVERRIDE=MIXED","FA_ADJUSTED=GAAP","Sort=A","Dates=H","DateFormat=P","Fill=—","Direction=H","UseDPDF=Y")</f>
        <v>71.349699999999999</v>
      </c>
      <c r="E7" s="18">
        <f>_xll.BDH("TCS IN Equity","RETURN_COM_EQY","FY 2006","FY 2006","Currency=INR","Period=FY","BEST_FPERIOD_OVERRIDE=FY","FILING_STATUS=MR","EQY_CONSOLIDATED=Y","ACCOUNTING_STANDARD_OVERRIDE=MIXED","FA_ADJUSTED=GAAP","Sort=A","Dates=H","DateFormat=P","Fill=—","Direction=H","UseDPDF=Y")</f>
        <v>63.721200000000003</v>
      </c>
      <c r="F7" s="18">
        <f>_xll.BDH("TCS IN Equity","RETURN_COM_EQY","FY 2007","FY 2007","Currency=INR","Period=FY","BEST_FPERIOD_OVERRIDE=FY","FILING_STATUS=MR","EQY_CONSOLIDATED=Y","ACCOUNTING_STANDARD_OVERRIDE=MIXED","FA_ADJUSTED=GAAP","Sort=A","Dates=H","DateFormat=P","Fill=—","Direction=H","UseDPDF=Y")</f>
        <v>57.376399999999997</v>
      </c>
      <c r="G7" s="18">
        <f>_xll.BDH("TCS IN Equity","RETURN_COM_EQY","FY 2008","FY 2008","Currency=INR","Period=FY","BEST_FPERIOD_OVERRIDE=FY","FILING_STATUS=MR","EQY_CONSOLIDATED=Y","ACCOUNTING_STANDARD_OVERRIDE=MIXED","FA_ADJUSTED=GAAP","Sort=A","Dates=H","DateFormat=P","Fill=—","Direction=H","UseDPDF=Y")</f>
        <v>47.751899999999999</v>
      </c>
      <c r="H7" s="18">
        <f>_xll.BDH("TCS IN Equity","RETURN_COM_EQY","FY 2009","FY 2009","Currency=INR","Period=FY","BEST_FPERIOD_OVERRIDE=FY","FILING_STATUS=MR","EQY_CONSOLIDATED=Y","ACCOUNTING_STANDARD_OVERRIDE=MIXED","FA_ADJUSTED=GAAP","Sort=A","Dates=H","DateFormat=P","Fill=—","Direction=H","UseDPDF=Y")</f>
        <v>37.756900000000002</v>
      </c>
      <c r="I7" s="18">
        <f>_xll.BDH("TCS IN Equity","RETURN_COM_EQY","FY 2010","FY 2010","Currency=INR","Period=FY","BEST_FPERIOD_OVERRIDE=FY","FILING_STATUS=MR","EQY_CONSOLIDATED=Y","ACCOUNTING_STANDARD_OVERRIDE=MIXED","FA_ADJUSTED=GAAP","Sort=A","Dates=H","DateFormat=P","Fill=—","Direction=H","UseDPDF=Y")</f>
        <v>41.103900000000003</v>
      </c>
      <c r="J7" s="18">
        <f>_xll.BDH("TCS IN Equity","RETURN_COM_EQY","FY 2011","FY 2011","Currency=INR","Period=FY","BEST_FPERIOD_OVERRIDE=FY","FILING_STATUS=MR","EQY_CONSOLIDATED=Y","ACCOUNTING_STANDARD_OVERRIDE=MIXED","FA_ADJUSTED=GAAP","Sort=A","Dates=H","DateFormat=P","Fill=—","Direction=H","UseDPDF=Y")</f>
        <v>42.342500000000001</v>
      </c>
      <c r="K7" s="18">
        <f>_xll.BDH("TCS IN Equity","RETURN_COM_EQY","FY 2012","FY 2012","Currency=INR","Period=FY","BEST_FPERIOD_OVERRIDE=FY","FILING_STATUS=MR","EQY_CONSOLIDATED=Y","ACCOUNTING_STANDARD_OVERRIDE=MIXED","FA_ADJUSTED=GAAP","Sort=A","Dates=H","DateFormat=P","Fill=—","Direction=H","UseDPDF=Y")</f>
        <v>38.556600000000003</v>
      </c>
      <c r="L7" s="18">
        <f>_xll.BDH("TCS IN Equity","RETURN_COM_EQY","FY 2013","FY 2013","Currency=INR","Period=FY","BEST_FPERIOD_OVERRIDE=FY","FILING_STATUS=MR","EQY_CONSOLIDATED=Y","ACCOUNTING_STANDARD_OVERRIDE=MIXED","FA_ADJUSTED=GAAP","Sort=A","Dates=H","DateFormat=P","Fill=—","Direction=H","UseDPDF=Y")</f>
        <v>40.852899999999998</v>
      </c>
      <c r="M7" s="18">
        <f>_xll.BDH("TCS IN Equity","RETURN_COM_EQY","FY 2014","FY 2014","Currency=INR","Period=FY","BEST_FPERIOD_OVERRIDE=FY","FILING_STATUS=MR","EQY_CONSOLIDATED=Y","ACCOUNTING_STANDARD_OVERRIDE=MIXED","FA_ADJUSTED=GAAP","Sort=A","Dates=H","DateFormat=P","Fill=—","Direction=H","UseDPDF=Y")</f>
        <v>40.725700000000003</v>
      </c>
      <c r="N7" s="18">
        <f>_xll.BDH("TCS IN Equity","RETURN_COM_EQY","FY 2015","FY 2015","Currency=INR","Period=FY","BEST_FPERIOD_OVERRIDE=FY","FILING_STATUS=MR","EQY_CONSOLIDATED=Y","ACCOUNTING_STANDARD_OVERRIDE=MIXED","FA_ADJUSTED=GAAP","Sort=A","Dates=H","DateFormat=P","Fill=—","Direction=H","UseDPDF=Y")</f>
        <v>37.467599999999997</v>
      </c>
      <c r="O7" s="18">
        <f>_xll.BDH("TCS IN Equity","RETURN_COM_EQY","FY 2016","FY 2016","Currency=INR","Period=FY","BEST_FPERIOD_OVERRIDE=FY","FILING_STATUS=MR","EQY_CONSOLIDATED=Y","ACCOUNTING_STANDARD_OVERRIDE=MIXED","FA_ADJUSTED=GAAP","Sort=A","Dates=H","DateFormat=P","Fill=—","Direction=H","UseDPDF=Y")</f>
        <v>39.112000000000002</v>
      </c>
      <c r="P7" s="18">
        <f>_xll.BDH("TCS IN Equity","RETURN_COM_EQY","FY 2017","FY 2017","Currency=INR","Period=FY","BEST_FPERIOD_OVERRIDE=FY","FILING_STATUS=MR","EQY_CONSOLIDATED=Y","ACCOUNTING_STANDARD_OVERRIDE=MIXED","FA_ADJUSTED=GAAP","Sort=A","Dates=H","DateFormat=P","Fill=—","Direction=H","UseDPDF=Y")</f>
        <v>32.555199999999999</v>
      </c>
      <c r="Q7" s="18">
        <f>_xll.BDH("TCS IN Equity","RETURN_COM_EQY","FY 2018","FY 2018","Currency=INR","Period=FY","BEST_FPERIOD_OVERRIDE=FY","FILING_STATUS=MR","EQY_CONSOLIDATED=Y","ACCOUNTING_STANDARD_OVERRIDE=MIXED","FA_ADJUSTED=GAAP","Sort=A","Dates=H","DateFormat=P","Fill=—","Direction=H","UseDPDF=Y")</f>
        <v>29.422000000000001</v>
      </c>
      <c r="R7" s="18">
        <f>_xll.BDH("TCS IN Equity","RETURN_COM_EQY","FY 2019","FY 2019","Currency=INR","Period=FY","BEST_FPERIOD_OVERRIDE=FY","FILING_STATUS=MR","EQY_CONSOLIDATED=Y","ACCOUNTING_STANDARD_OVERRIDE=MIXED","FA_ADJUSTED=GAAP","Sort=A","Dates=H","DateFormat=P","Fill=—","Direction=H","UseDPDF=Y")</f>
        <v>35.2042</v>
      </c>
      <c r="S7" s="18">
        <f>_xll.BDH("TCS IN Equity","RETURN_COM_EQY","FY 2020","FY 2020","Currency=INR","Period=FY","BEST_FPERIOD_OVERRIDE=FY","FILING_STATUS=MR","EQY_CONSOLIDATED=Y","ACCOUNTING_STANDARD_OVERRIDE=MIXED","FA_ADJUSTED=GAAP","Sort=A","Dates=H","DateFormat=P","Fill=—","Direction=H","UseDPDF=Y")</f>
        <v>36.816499999999998</v>
      </c>
      <c r="T7" s="18">
        <f>_xll.BDH("TCS IN Equity","RETURN_COM_EQY","FY 2021","FY 2021","Currency=INR","Period=FY","BEST_FPERIOD_OVERRIDE=FY","FILING_STATUS=MR","EQY_CONSOLIDATED=Y","ACCOUNTING_STANDARD_OVERRIDE=MIXED","FA_ADJUSTED=GAAP","Sort=A","Dates=H","DateFormat=P","Fill=—","Direction=H","UseDPDF=Y")</f>
        <v>37.560600000000001</v>
      </c>
      <c r="U7" s="18">
        <f>_xll.BDH("TCS IN Equity","RETURN_COM_EQY","FY 2022","FY 2022","Currency=INR","Period=FY","BEST_FPERIOD_OVERRIDE=FY","FILING_STATUS=MR","EQY_CONSOLIDATED=Y","ACCOUNTING_STANDARD_OVERRIDE=MIXED","FA_ADJUSTED=GAAP","Sort=A","Dates=H","DateFormat=P","Fill=—","Direction=H","UseDPDF=Y")</f>
        <v>43.138199999999998</v>
      </c>
      <c r="V7" s="18">
        <f>_xll.BDH("TCS IN Equity","RETURN_COM_EQY","FY 2023","FY 2023","Currency=INR","Period=FY","BEST_FPERIOD_OVERRIDE=FY","FILING_STATUS=MR","EQY_CONSOLIDATED=Y","ACCOUNTING_STANDARD_OVERRIDE=MIXED","FA_ADJUSTED=GAAP","Sort=A","Dates=H","DateFormat=P","Fill=—","Direction=H","UseDPDF=Y")</f>
        <v>46.396700000000003</v>
      </c>
    </row>
    <row r="8" spans="1:22" ht="15" x14ac:dyDescent="0.25">
      <c r="A8" s="16" t="s">
        <v>47</v>
      </c>
      <c r="B8" s="16" t="s">
        <v>48</v>
      </c>
      <c r="C8" s="18">
        <f>_xll.BDH("TCS IN Equity","RETURN_ON_ASSET","FY 2004","FY 2004","Currency=INR","Period=FY","BEST_FPERIOD_OVERRIDE=FY","FILING_STATUS=MR","EQY_CONSOLIDATED=Y","ACCOUNTING_STANDARD_OVERRIDE=MIXED","FA_ADJUSTED=GAAP","Sort=A","Dates=H","DateFormat=P","Fill=—","Direction=H","UseDPDF=Y")</f>
        <v>46.559399999999997</v>
      </c>
      <c r="D8" s="18">
        <f>_xll.BDH("TCS IN Equity","RETURN_ON_ASSET","FY 2005","FY 2005","Currency=INR","Period=FY","BEST_FPERIOD_OVERRIDE=FY","FILING_STATUS=MR","EQY_CONSOLIDATED=Y","ACCOUNTING_STANDARD_OVERRIDE=MIXED","FA_ADJUSTED=GAAP","Sort=A","Dates=H","DateFormat=P","Fill=—","Direction=H","UseDPDF=Y")</f>
        <v>43.757599999999996</v>
      </c>
      <c r="E8" s="18">
        <f>_xll.BDH("TCS IN Equity","RETURN_ON_ASSET","FY 2006","FY 2006","Currency=INR","Period=FY","BEST_FPERIOD_OVERRIDE=FY","FILING_STATUS=MR","EQY_CONSOLIDATED=Y","ACCOUNTING_STANDARD_OVERRIDE=MIXED","FA_ADJUSTED=GAAP","Sort=A","Dates=H","DateFormat=P","Fill=—","Direction=H","UseDPDF=Y")</f>
        <v>44.707799999999999</v>
      </c>
      <c r="F8" s="18">
        <f>_xll.BDH("TCS IN Equity","RETURN_ON_ASSET","FY 2007","FY 2007","Currency=INR","Period=FY","BEST_FPERIOD_OVERRIDE=FY","FILING_STATUS=MR","EQY_CONSOLIDATED=Y","ACCOUNTING_STANDARD_OVERRIDE=MIXED","FA_ADJUSTED=GAAP","Sort=A","Dates=H","DateFormat=P","Fill=—","Direction=H","UseDPDF=Y")</f>
        <v>39.801900000000003</v>
      </c>
      <c r="G8" s="18">
        <f>_xll.BDH("TCS IN Equity","RETURN_ON_ASSET","FY 2008","FY 2008","Currency=INR","Period=FY","BEST_FPERIOD_OVERRIDE=FY","FILING_STATUS=MR","EQY_CONSOLIDATED=Y","ACCOUNTING_STANDARD_OVERRIDE=MIXED","FA_ADJUSTED=GAAP","Sort=A","Dates=H","DateFormat=P","Fill=—","Direction=H","UseDPDF=Y")</f>
        <v>32.688000000000002</v>
      </c>
      <c r="H8" s="18">
        <f>_xll.BDH("TCS IN Equity","RETURN_ON_ASSET","FY 2009","FY 2009","Currency=INR","Period=FY","BEST_FPERIOD_OVERRIDE=FY","FILING_STATUS=MR","EQY_CONSOLIDATED=Y","ACCOUNTING_STANDARD_OVERRIDE=MIXED","FA_ADJUSTED=GAAP","Sort=A","Dates=H","DateFormat=P","Fill=—","Direction=H","UseDPDF=Y")</f>
        <v>26.1496</v>
      </c>
      <c r="I8" s="18">
        <f>_xll.BDH("TCS IN Equity","RETURN_ON_ASSET","FY 2010","FY 2010","Currency=INR","Period=FY","BEST_FPERIOD_OVERRIDE=FY","FILING_STATUS=MR","EQY_CONSOLIDATED=Y","ACCOUNTING_STANDARD_OVERRIDE=MIXED","FA_ADJUSTED=GAAP","Sort=A","Dates=H","DateFormat=P","Fill=—","Direction=H","UseDPDF=Y")</f>
        <v>27.9849</v>
      </c>
      <c r="J8" s="18">
        <f>_xll.BDH("TCS IN Equity","RETURN_ON_ASSET","FY 2011","FY 2011","Currency=INR","Period=FY","BEST_FPERIOD_OVERRIDE=FY","FILING_STATUS=MR","EQY_CONSOLIDATED=Y","ACCOUNTING_STANDARD_OVERRIDE=MIXED","FA_ADJUSTED=GAAP","Sort=A","Dates=H","DateFormat=P","Fill=—","Direction=H","UseDPDF=Y")</f>
        <v>30.1889</v>
      </c>
      <c r="K8" s="18">
        <f>_xll.BDH("TCS IN Equity","RETURN_ON_ASSET","FY 2012","FY 2012","Currency=INR","Period=FY","BEST_FPERIOD_OVERRIDE=FY","FILING_STATUS=MR","EQY_CONSOLIDATED=Y","ACCOUNTING_STANDARD_OVERRIDE=MIXED","FA_ADJUSTED=GAAP","Sort=A","Dates=H","DateFormat=P","Fill=—","Direction=H","UseDPDF=Y")</f>
        <v>28.1402</v>
      </c>
      <c r="L8" s="18">
        <f>_xll.BDH("TCS IN Equity","RETURN_ON_ASSET","FY 2013","FY 2013","Currency=INR","Period=FY","BEST_FPERIOD_OVERRIDE=FY","FILING_STATUS=MR","EQY_CONSOLIDATED=Y","ACCOUNTING_STANDARD_OVERRIDE=MIXED","FA_ADJUSTED=GAAP","Sort=A","Dates=H","DateFormat=P","Fill=—","Direction=H","UseDPDF=Y")</f>
        <v>29.770199999999999</v>
      </c>
      <c r="M8" s="18">
        <f>_xll.BDH("TCS IN Equity","RETURN_ON_ASSET","FY 2014","FY 2014","Currency=INR","Period=FY","BEST_FPERIOD_OVERRIDE=FY","FILING_STATUS=MR","EQY_CONSOLIDATED=Y","ACCOUNTING_STANDARD_OVERRIDE=MIXED","FA_ADJUSTED=GAAP","Sort=A","Dates=H","DateFormat=P","Fill=—","Direction=H","UseDPDF=Y")</f>
        <v>31.577100000000002</v>
      </c>
      <c r="N8" s="18">
        <f>_xll.BDH("TCS IN Equity","RETURN_ON_ASSET","FY 2015","FY 2015","Currency=INR","Period=FY","BEST_FPERIOD_OVERRIDE=FY","FILING_STATUS=MR","EQY_CONSOLIDATED=Y","ACCOUNTING_STANDARD_OVERRIDE=MIXED","FA_ADJUSTED=GAAP","Sort=A","Dates=H","DateFormat=P","Fill=—","Direction=H","UseDPDF=Y")</f>
        <v>27.848400000000002</v>
      </c>
      <c r="O8" s="18">
        <f>_xll.BDH("TCS IN Equity","RETURN_ON_ASSET","FY 2016","FY 2016","Currency=INR","Period=FY","BEST_FPERIOD_OVERRIDE=FY","FILING_STATUS=MR","EQY_CONSOLIDATED=Y","ACCOUNTING_STANDARD_OVERRIDE=MIXED","FA_ADJUSTED=GAAP","Sort=A","Dates=H","DateFormat=P","Fill=—","Direction=H","UseDPDF=Y")</f>
        <v>29.373999999999999</v>
      </c>
      <c r="P8" s="18">
        <f>_xll.BDH("TCS IN Equity","RETURN_ON_ASSET","FY 2017","FY 2017","Currency=INR","Period=FY","BEST_FPERIOD_OVERRIDE=FY","FILING_STATUS=MR","EQY_CONSOLIDATED=Y","ACCOUNTING_STANDARD_OVERRIDE=MIXED","FA_ADJUSTED=GAAP","Sort=A","Dates=H","DateFormat=P","Fill=—","Direction=H","UseDPDF=Y")</f>
        <v>26.7483</v>
      </c>
      <c r="Q8" s="18">
        <f>_xll.BDH("TCS IN Equity","RETURN_ON_ASSET","FY 2018","FY 2018","Currency=INR","Period=FY","BEST_FPERIOD_OVERRIDE=FY","FILING_STATUS=MR","EQY_CONSOLIDATED=Y","ACCOUNTING_STANDARD_OVERRIDE=MIXED","FA_ADJUSTED=GAAP","Sort=A","Dates=H","DateFormat=P","Fill=—","Direction=H","UseDPDF=Y")</f>
        <v>24.1633</v>
      </c>
      <c r="R8" s="18">
        <f>_xll.BDH("TCS IN Equity","RETURN_ON_ASSET","FY 2019","FY 2019","Currency=INR","Period=FY","BEST_FPERIOD_OVERRIDE=FY","FILING_STATUS=MR","EQY_CONSOLIDATED=Y","ACCOUNTING_STANDARD_OVERRIDE=MIXED","FA_ADJUSTED=GAAP","Sort=A","Dates=H","DateFormat=P","Fill=—","Direction=H","UseDPDF=Y")</f>
        <v>27.9178</v>
      </c>
      <c r="S8" s="18">
        <f>_xll.BDH("TCS IN Equity","RETURN_ON_ASSET","FY 2020","FY 2020","Currency=INR","Period=FY","BEST_FPERIOD_OVERRIDE=FY","FILING_STATUS=MR","EQY_CONSOLIDATED=Y","ACCOUNTING_STANDARD_OVERRIDE=MIXED","FA_ADJUSTED=GAAP","Sort=A","Dates=H","DateFormat=P","Fill=—","Direction=H","UseDPDF=Y")</f>
        <v>27.181999999999999</v>
      </c>
      <c r="T8" s="18">
        <f>_xll.BDH("TCS IN Equity","RETURN_ON_ASSET","FY 2021","FY 2021","Currency=INR","Period=FY","BEST_FPERIOD_OVERRIDE=FY","FILING_STATUS=MR","EQY_CONSOLIDATED=Y","ACCOUNTING_STANDARD_OVERRIDE=MIXED","FA_ADJUSTED=GAAP","Sort=A","Dates=H","DateFormat=P","Fill=—","Direction=H","UseDPDF=Y")</f>
        <v>25.557600000000001</v>
      </c>
      <c r="U8" s="18">
        <f>_xll.BDH("TCS IN Equity","RETURN_ON_ASSET","FY 2022","FY 2022","Currency=INR","Period=FY","BEST_FPERIOD_OVERRIDE=FY","FILING_STATUS=MR","EQY_CONSOLIDATED=Y","ACCOUNTING_STANDARD_OVERRIDE=MIXED","FA_ADJUSTED=GAAP","Sort=A","Dates=H","DateFormat=P","Fill=—","Direction=H","UseDPDF=Y")</f>
        <v>27.935600000000001</v>
      </c>
      <c r="V8" s="18">
        <f>_xll.BDH("TCS IN Equity","RETURN_ON_ASSET","FY 2023","FY 2023","Currency=INR","Period=FY","BEST_FPERIOD_OVERRIDE=FY","FILING_STATUS=MR","EQY_CONSOLIDATED=Y","ACCOUNTING_STANDARD_OVERRIDE=MIXED","FA_ADJUSTED=GAAP","Sort=A","Dates=H","DateFormat=P","Fill=—","Direction=H","UseDPDF=Y")</f>
        <v>29.341799999999999</v>
      </c>
    </row>
    <row r="9" spans="1:22" ht="15" x14ac:dyDescent="0.25">
      <c r="A9" s="16" t="s">
        <v>49</v>
      </c>
      <c r="B9" s="16" t="s">
        <v>50</v>
      </c>
      <c r="C9" s="18" t="str">
        <f>_xll.BDH("TCS IN Equity","RETURN_ON_CAP","FY 2004","FY 2004","Currency=INR","Period=FY","BEST_FPERIOD_OVERRIDE=FY","FILING_STATUS=MR","EQY_CONSOLIDATED=Y","ACCOUNTING_STANDARD_OVERRIDE=MIXED","FA_ADJUSTED=GAAP","Sort=A","Dates=H","DateFormat=P","Fill=—","Direction=H","UseDPDF=Y")</f>
        <v>—</v>
      </c>
      <c r="D9" s="18">
        <f>_xll.BDH("TCS IN Equity","RETURN_ON_CAP","FY 2005","FY 2005","Currency=INR","Period=FY","BEST_FPERIOD_OVERRIDE=FY","FILING_STATUS=MR","EQY_CONSOLIDATED=Y","ACCOUNTING_STANDARD_OVERRIDE=MIXED","FA_ADJUSTED=GAAP","Sort=A","Dates=H","DateFormat=P","Fill=—","Direction=H","UseDPDF=Y")</f>
        <v>60.655099999999997</v>
      </c>
      <c r="E9" s="18">
        <f>_xll.BDH("TCS IN Equity","RETURN_ON_CAP","FY 2006","FY 2006","Currency=INR","Period=FY","BEST_FPERIOD_OVERRIDE=FY","FILING_STATUS=MR","EQY_CONSOLIDATED=Y","ACCOUNTING_STANDARD_OVERRIDE=MIXED","FA_ADJUSTED=GAAP","Sort=A","Dates=H","DateFormat=P","Fill=—","Direction=H","UseDPDF=Y")</f>
        <v>59.941699999999997</v>
      </c>
      <c r="F9" s="18" t="str">
        <f>_xll.BDH("TCS IN Equity","RETURN_ON_CAP","FY 2007","FY 2007","Currency=INR","Period=FY","BEST_FPERIOD_OVERRIDE=FY","FILING_STATUS=MR","EQY_CONSOLIDATED=Y","ACCOUNTING_STANDARD_OVERRIDE=MIXED","FA_ADJUSTED=GAAP","Sort=A","Dates=H","DateFormat=P","Fill=—","Direction=H","UseDPDF=Y")</f>
        <v>—</v>
      </c>
      <c r="G9" s="18" t="str">
        <f>_xll.BDH("TCS IN Equity","RETURN_ON_CAP","FY 2008","FY 2008","Currency=INR","Period=FY","BEST_FPERIOD_OVERRIDE=FY","FILING_STATUS=MR","EQY_CONSOLIDATED=Y","ACCOUNTING_STANDARD_OVERRIDE=MIXED","FA_ADJUSTED=GAAP","Sort=A","Dates=H","DateFormat=P","Fill=—","Direction=H","UseDPDF=Y")</f>
        <v>—</v>
      </c>
      <c r="H9" s="18">
        <f>_xll.BDH("TCS IN Equity","RETURN_ON_CAP","FY 2009","FY 2009","Currency=INR","Period=FY","BEST_FPERIOD_OVERRIDE=FY","FILING_STATUS=MR","EQY_CONSOLIDATED=Y","ACCOUNTING_STANDARD_OVERRIDE=MIXED","FA_ADJUSTED=GAAP","Sort=A","Dates=H","DateFormat=P","Fill=—","Direction=H","UseDPDF=Y")</f>
        <v>36.132199999999997</v>
      </c>
      <c r="I9" s="18">
        <f>_xll.BDH("TCS IN Equity","RETURN_ON_CAP","FY 2010","FY 2010","Currency=INR","Period=FY","BEST_FPERIOD_OVERRIDE=FY","FILING_STATUS=MR","EQY_CONSOLIDATED=Y","ACCOUNTING_STANDARD_OVERRIDE=MIXED","FA_ADJUSTED=GAAP","Sort=A","Dates=H","DateFormat=P","Fill=—","Direction=H","UseDPDF=Y")</f>
        <v>40.061199999999999</v>
      </c>
      <c r="J9" s="18">
        <f>_xll.BDH("TCS IN Equity","RETURN_ON_CAP","FY 2011","FY 2011","Currency=INR","Period=FY","BEST_FPERIOD_OVERRIDE=FY","FILING_STATUS=MR","EQY_CONSOLIDATED=Y","ACCOUNTING_STANDARD_OVERRIDE=MIXED","FA_ADJUSTED=GAAP","Sort=A","Dates=H","DateFormat=P","Fill=—","Direction=H","UseDPDF=Y")</f>
        <v>41.899900000000002</v>
      </c>
      <c r="K9" s="18">
        <f>_xll.BDH("TCS IN Equity","RETURN_ON_CAP","FY 2012","FY 2012","Currency=INR","Period=FY","BEST_FPERIOD_OVERRIDE=FY","FILING_STATUS=MR","EQY_CONSOLIDATED=Y","ACCOUNTING_STANDARD_OVERRIDE=MIXED","FA_ADJUSTED=GAAP","Sort=A","Dates=H","DateFormat=P","Fill=—","Direction=H","UseDPDF=Y")</f>
        <v>38.118699999999997</v>
      </c>
      <c r="L9" s="18">
        <f>_xll.BDH("TCS IN Equity","RETURN_ON_CAP","FY 2013","FY 2013","Currency=INR","Period=FY","BEST_FPERIOD_OVERRIDE=FY","FILING_STATUS=MR","EQY_CONSOLIDATED=Y","ACCOUNTING_STANDARD_OVERRIDE=MIXED","FA_ADJUSTED=GAAP","Sort=A","Dates=H","DateFormat=P","Fill=—","Direction=H","UseDPDF=Y")</f>
        <v>40.417700000000004</v>
      </c>
      <c r="M9" s="18">
        <f>_xll.BDH("TCS IN Equity","RETURN_ON_CAP","FY 2014","FY 2014","Currency=INR","Period=FY","BEST_FPERIOD_OVERRIDE=FY","FILING_STATUS=MR","EQY_CONSOLIDATED=Y","ACCOUNTING_STANDARD_OVERRIDE=MIXED","FA_ADJUSTED=GAAP","Sort=A","Dates=H","DateFormat=P","Fill=—","Direction=H","UseDPDF=Y")</f>
        <v>40.420299999999997</v>
      </c>
      <c r="N9" s="18">
        <f>_xll.BDH("TCS IN Equity","RETURN_ON_CAP","FY 2015","FY 2015","Currency=INR","Period=FY","BEST_FPERIOD_OVERRIDE=FY","FILING_STATUS=MR","EQY_CONSOLIDATED=Y","ACCOUNTING_STANDARD_OVERRIDE=MIXED","FA_ADJUSTED=GAAP","Sort=A","Dates=H","DateFormat=P","Fill=—","Direction=H","UseDPDF=Y")</f>
        <v>37.142499999999998</v>
      </c>
      <c r="O9" s="18">
        <f>_xll.BDH("TCS IN Equity","RETURN_ON_CAP","FY 2016","FY 2016","Currency=INR","Period=FY","BEST_FPERIOD_OVERRIDE=FY","FILING_STATUS=MR","EQY_CONSOLIDATED=Y","ACCOUNTING_STANDARD_OVERRIDE=MIXED","FA_ADJUSTED=GAAP","Sort=A","Dates=H","DateFormat=P","Fill=—","Direction=H","UseDPDF=Y")</f>
        <v>38.6997</v>
      </c>
      <c r="P9" s="18">
        <f>_xll.BDH("TCS IN Equity","RETURN_ON_CAP","FY 2017","FY 2017","Currency=INR","Period=FY","BEST_FPERIOD_OVERRIDE=FY","FILING_STATUS=MR","EQY_CONSOLIDATED=Y","ACCOUNTING_STANDARD_OVERRIDE=MIXED","FA_ADJUSTED=GAAP","Sort=A","Dates=H","DateFormat=P","Fill=—","Direction=H","UseDPDF=Y")</f>
        <v>32.4178</v>
      </c>
      <c r="Q9" s="18">
        <f>_xll.BDH("TCS IN Equity","RETURN_ON_CAP","FY 2018","FY 2018","Currency=INR","Period=FY","BEST_FPERIOD_OVERRIDE=FY","FILING_STATUS=MR","EQY_CONSOLIDATED=Y","ACCOUNTING_STANDARD_OVERRIDE=MIXED","FA_ADJUSTED=GAAP","Sort=A","Dates=H","DateFormat=P","Fill=—","Direction=H","UseDPDF=Y")</f>
        <v>29.310700000000001</v>
      </c>
      <c r="R9" s="18">
        <f>_xll.BDH("TCS IN Equity","RETURN_ON_CAP","FY 2019","FY 2019","Currency=INR","Period=FY","BEST_FPERIOD_OVERRIDE=FY","FILING_STATUS=MR","EQY_CONSOLIDATED=Y","ACCOUNTING_STANDARD_OVERRIDE=MIXED","FA_ADJUSTED=GAAP","Sort=A","Dates=H","DateFormat=P","Fill=—","Direction=H","UseDPDF=Y")</f>
        <v>35.243600000000001</v>
      </c>
      <c r="S9" s="18">
        <f>_xll.BDH("TCS IN Equity","RETURN_ON_CAP","FY 2020","FY 2020","Currency=INR","Period=FY","BEST_FPERIOD_OVERRIDE=FY","FILING_STATUS=MR","EQY_CONSOLIDATED=Y","ACCOUNTING_STANDARD_OVERRIDE=MIXED","FA_ADJUSTED=GAAP","Sort=A","Dates=H","DateFormat=P","Fill=—","Direction=H","UseDPDF=Y")</f>
        <v>35.4373</v>
      </c>
      <c r="T9" s="18">
        <f>_xll.BDH("TCS IN Equity","RETURN_ON_CAP","FY 2021","FY 2021","Currency=INR","Period=FY","BEST_FPERIOD_OVERRIDE=FY","FILING_STATUS=MR","EQY_CONSOLIDATED=Y","ACCOUNTING_STANDARD_OVERRIDE=MIXED","FA_ADJUSTED=GAAP","Sort=A","Dates=H","DateFormat=P","Fill=—","Direction=H","UseDPDF=Y")</f>
        <v>34.783900000000003</v>
      </c>
      <c r="U9" s="18">
        <f>_xll.BDH("TCS IN Equity","RETURN_ON_CAP","FY 2022","FY 2022","Currency=INR","Period=FY","BEST_FPERIOD_OVERRIDE=FY","FILING_STATUS=MR","EQY_CONSOLIDATED=Y","ACCOUNTING_STANDARD_OVERRIDE=MIXED","FA_ADJUSTED=GAAP","Sort=A","Dates=H","DateFormat=P","Fill=—","Direction=H","UseDPDF=Y")</f>
        <v>39.700400000000002</v>
      </c>
      <c r="V9" s="18">
        <f>_xll.BDH("TCS IN Equity","RETURN_ON_CAP","FY 2023","FY 2023","Currency=INR","Period=FY","BEST_FPERIOD_OVERRIDE=FY","FILING_STATUS=MR","EQY_CONSOLIDATED=Y","ACCOUNTING_STANDARD_OVERRIDE=MIXED","FA_ADJUSTED=GAAP","Sort=A","Dates=H","DateFormat=P","Fill=—","Direction=H","UseDPDF=Y")</f>
        <v>43.167900000000003</v>
      </c>
    </row>
    <row r="10" spans="1:22" ht="15" x14ac:dyDescent="0.25">
      <c r="A10" s="16" t="s">
        <v>51</v>
      </c>
      <c r="B10" s="16" t="s">
        <v>52</v>
      </c>
      <c r="C10" s="18">
        <f>_xll.BDH("TCS IN Equity","RETURN_ON_INV_CAPITAL","FY 2004","FY 2004","Currency=INR","Period=FY","BEST_FPERIOD_OVERRIDE=FY","FILING_STATUS=MR","EQY_CONSOLIDATED=Y","ACCOUNTING_STANDARD_OVERRIDE=MIXED","FA_ADJUSTED=GAAP","Sort=A","Dates=H","DateFormat=P","Fill=—","Direction=H","UseDPDF=Y")</f>
        <v>63.779499999999999</v>
      </c>
      <c r="D10" s="18">
        <f>_xll.BDH("TCS IN Equity","RETURN_ON_INV_CAPITAL","FY 2005","FY 2005","Currency=INR","Period=FY","BEST_FPERIOD_OVERRIDE=FY","FILING_STATUS=MR","EQY_CONSOLIDATED=Y","ACCOUNTING_STANDARD_OVERRIDE=MIXED","FA_ADJUSTED=GAAP","Sort=A","Dates=H","DateFormat=P","Fill=—","Direction=H","UseDPDF=Y")</f>
        <v>66.584900000000005</v>
      </c>
      <c r="E10" s="18">
        <f>_xll.BDH("TCS IN Equity","RETURN_ON_INV_CAPITAL","FY 2006","FY 2006","Currency=INR","Period=FY","BEST_FPERIOD_OVERRIDE=FY","FILING_STATUS=MR","EQY_CONSOLIDATED=Y","ACCOUNTING_STANDARD_OVERRIDE=MIXED","FA_ADJUSTED=GAAP","Sort=A","Dates=H","DateFormat=P","Fill=—","Direction=H","UseDPDF=Y")</f>
        <v>57.053899999999999</v>
      </c>
      <c r="F10" s="18">
        <f>_xll.BDH("TCS IN Equity","RETURN_ON_INV_CAPITAL","FY 2007","FY 2007","Currency=INR","Period=FY","BEST_FPERIOD_OVERRIDE=FY","FILING_STATUS=MR","EQY_CONSOLIDATED=Y","ACCOUNTING_STANDARD_OVERRIDE=MIXED","FA_ADJUSTED=GAAP","Sort=A","Dates=H","DateFormat=P","Fill=—","Direction=H","UseDPDF=Y")</f>
        <v>50.488300000000002</v>
      </c>
      <c r="G10" s="18">
        <f>_xll.BDH("TCS IN Equity","RETURN_ON_INV_CAPITAL","FY 2008","FY 2008","Currency=INR","Period=FY","BEST_FPERIOD_OVERRIDE=FY","FILING_STATUS=MR","EQY_CONSOLIDATED=Y","ACCOUNTING_STANDARD_OVERRIDE=MIXED","FA_ADJUSTED=GAAP","Sort=A","Dates=H","DateFormat=P","Fill=—","Direction=H","UseDPDF=Y")</f>
        <v>39.450499999999998</v>
      </c>
      <c r="H10" s="18">
        <f>_xll.BDH("TCS IN Equity","RETURN_ON_INV_CAPITAL","FY 2009","FY 2009","Currency=INR","Period=FY","BEST_FPERIOD_OVERRIDE=FY","FILING_STATUS=MR","EQY_CONSOLIDATED=Y","ACCOUNTING_STANDARD_OVERRIDE=MIXED","FA_ADJUSTED=GAAP","Sort=A","Dates=H","DateFormat=P","Fill=—","Direction=H","UseDPDF=Y")</f>
        <v>38.636000000000003</v>
      </c>
      <c r="I10" s="18">
        <f>_xll.BDH("TCS IN Equity","RETURN_ON_INV_CAPITAL","FY 2010","FY 2010","Currency=INR","Period=FY","BEST_FPERIOD_OVERRIDE=FY","FILING_STATUS=MR","EQY_CONSOLIDATED=Y","ACCOUNTING_STANDARD_OVERRIDE=MIXED","FA_ADJUSTED=GAAP","Sort=A","Dates=H","DateFormat=P","Fill=—","Direction=H","UseDPDF=Y")</f>
        <v>39.204599999999999</v>
      </c>
      <c r="J10" s="18">
        <f>_xll.BDH("TCS IN Equity","RETURN_ON_INV_CAPITAL","FY 2011","FY 2011","Currency=INR","Period=FY","BEST_FPERIOD_OVERRIDE=FY","FILING_STATUS=MR","EQY_CONSOLIDATED=Y","ACCOUNTING_STANDARD_OVERRIDE=MIXED","FA_ADJUSTED=GAAP","Sort=A","Dates=H","DateFormat=P","Fill=—","Direction=H","UseDPDF=Y")</f>
        <v>38.790900000000001</v>
      </c>
      <c r="K10" s="18">
        <f>_xll.BDH("TCS IN Equity","RETURN_ON_INV_CAPITAL","FY 2012","FY 2012","Currency=INR","Period=FY","BEST_FPERIOD_OVERRIDE=FY","FILING_STATUS=MR","EQY_CONSOLIDATED=Y","ACCOUNTING_STANDARD_OVERRIDE=MIXED","FA_ADJUSTED=GAAP","Sort=A","Dates=H","DateFormat=P","Fill=—","Direction=H","UseDPDF=Y")</f>
        <v>36.687199999999997</v>
      </c>
      <c r="L10" s="18">
        <f>_xll.BDH("TCS IN Equity","RETURN_ON_INV_CAPITAL","FY 2013","FY 2013","Currency=INR","Period=FY","BEST_FPERIOD_OVERRIDE=FY","FILING_STATUS=MR","EQY_CONSOLIDATED=Y","ACCOUNTING_STANDARD_OVERRIDE=MIXED","FA_ADJUSTED=GAAP","Sort=A","Dates=H","DateFormat=P","Fill=—","Direction=H","UseDPDF=Y")</f>
        <v>37.700099999999999</v>
      </c>
      <c r="M10" s="18">
        <f>_xll.BDH("TCS IN Equity","RETURN_ON_INV_CAPITAL","FY 2014","FY 2014","Currency=INR","Period=FY","BEST_FPERIOD_OVERRIDE=FY","FILING_STATUS=MR","EQY_CONSOLIDATED=Y","ACCOUNTING_STANDARD_OVERRIDE=MIXED","FA_ADJUSTED=GAAP","Sort=A","Dates=H","DateFormat=P","Fill=—","Direction=H","UseDPDF=Y")</f>
        <v>38.1678</v>
      </c>
      <c r="N10" s="18">
        <f>_xll.BDH("TCS IN Equity","RETURN_ON_INV_CAPITAL","FY 2015","FY 2015","Currency=INR","Period=FY","BEST_FPERIOD_OVERRIDE=FY","FILING_STATUS=MR","EQY_CONSOLIDATED=Y","ACCOUNTING_STANDARD_OVERRIDE=MIXED","FA_ADJUSTED=GAAP","Sort=A","Dates=H","DateFormat=P","Fill=—","Direction=H","UseDPDF=Y")</f>
        <v>32.4788</v>
      </c>
      <c r="O10" s="18">
        <f>_xll.BDH("TCS IN Equity","RETURN_ON_INV_CAPITAL","FY 2016","FY 2016","Currency=INR","Period=FY","BEST_FPERIOD_OVERRIDE=FY","FILING_STATUS=MR","EQY_CONSOLIDATED=Y","ACCOUNTING_STANDARD_OVERRIDE=MIXED","FA_ADJUSTED=GAAP","Sort=A","Dates=H","DateFormat=P","Fill=—","Direction=H","UseDPDF=Y")</f>
        <v>35.256399999999999</v>
      </c>
      <c r="P10" s="18">
        <f>_xll.BDH("TCS IN Equity","RETURN_ON_INV_CAPITAL","FY 2017","FY 2017","Currency=INR","Period=FY","BEST_FPERIOD_OVERRIDE=FY","FILING_STATUS=MR","EQY_CONSOLIDATED=Y","ACCOUNTING_STANDARD_OVERRIDE=MIXED","FA_ADJUSTED=GAAP","Sort=A","Dates=H","DateFormat=P","Fill=—","Direction=H","UseDPDF=Y")</f>
        <v>28.7653</v>
      </c>
      <c r="Q10" s="18">
        <f>_xll.BDH("TCS IN Equity","RETURN_ON_INV_CAPITAL","FY 2018","FY 2018","Currency=INR","Period=FY","BEST_FPERIOD_OVERRIDE=FY","FILING_STATUS=MR","EQY_CONSOLIDATED=Y","ACCOUNTING_STANDARD_OVERRIDE=MIXED","FA_ADJUSTED=GAAP","Sort=A","Dates=H","DateFormat=P","Fill=—","Direction=H","UseDPDF=Y")</f>
        <v>26.379100000000001</v>
      </c>
      <c r="R10" s="18">
        <f>_xll.BDH("TCS IN Equity","RETURN_ON_INV_CAPITAL","FY 2019","FY 2019","Currency=INR","Period=FY","BEST_FPERIOD_OVERRIDE=FY","FILING_STATUS=MR","EQY_CONSOLIDATED=Y","ACCOUNTING_STANDARD_OVERRIDE=MIXED","FA_ADJUSTED=GAAP","Sort=A","Dates=H","DateFormat=P","Fill=—","Direction=H","UseDPDF=Y")</f>
        <v>31.5624</v>
      </c>
      <c r="S10" s="18">
        <f>_xll.BDH("TCS IN Equity","RETURN_ON_INV_CAPITAL","FY 2020","FY 2020","Currency=INR","Period=FY","BEST_FPERIOD_OVERRIDE=FY","FILING_STATUS=MR","EQY_CONSOLIDATED=Y","ACCOUNTING_STANDARD_OVERRIDE=MIXED","FA_ADJUSTED=GAAP","Sort=A","Dates=H","DateFormat=P","Fill=—","Direction=H","UseDPDF=Y")</f>
        <v>30.999300000000002</v>
      </c>
      <c r="T10" s="18">
        <f>_xll.BDH("TCS IN Equity","RETURN_ON_INV_CAPITAL","FY 2021","FY 2021","Currency=INR","Period=FY","BEST_FPERIOD_OVERRIDE=FY","FILING_STATUS=MR","EQY_CONSOLIDATED=Y","ACCOUNTING_STANDARD_OVERRIDE=MIXED","FA_ADJUSTED=GAAP","Sort=A","Dates=H","DateFormat=P","Fill=—","Direction=H","UseDPDF=Y")</f>
        <v>30.9908</v>
      </c>
      <c r="U10" s="18">
        <f>_xll.BDH("TCS IN Equity","RETURN_ON_INV_CAPITAL","FY 2022","FY 2022","Currency=INR","Period=FY","BEST_FPERIOD_OVERRIDE=FY","FILING_STATUS=MR","EQY_CONSOLIDATED=Y","ACCOUNTING_STANDARD_OVERRIDE=MIXED","FA_ADJUSTED=GAAP","Sort=A","Dates=H","DateFormat=P","Fill=—","Direction=H","UseDPDF=Y")</f>
        <v>34.182400000000001</v>
      </c>
      <c r="V10" s="18">
        <f>_xll.BDH("TCS IN Equity","RETURN_ON_INV_CAPITAL","FY 2023","FY 2023","Currency=INR","Period=FY","BEST_FPERIOD_OVERRIDE=FY","FILING_STATUS=MR","EQY_CONSOLIDATED=Y","ACCOUNTING_STANDARD_OVERRIDE=MIXED","FA_ADJUSTED=GAAP","Sort=A","Dates=H","DateFormat=P","Fill=—","Direction=H","UseDPDF=Y")</f>
        <v>36.882899999999999</v>
      </c>
    </row>
    <row r="11" spans="1:22" ht="15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15" x14ac:dyDescent="0.25">
      <c r="A12" s="12" t="s">
        <v>53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5" x14ac:dyDescent="0.25">
      <c r="A13" s="16" t="s">
        <v>54</v>
      </c>
      <c r="B13" s="16" t="s">
        <v>55</v>
      </c>
      <c r="C13" s="18">
        <f>_xll.BDH("TCS IN Equity","GROSS_MARGIN","FY 2004","FY 2004","Currency=INR","Period=FY","BEST_FPERIOD_OVERRIDE=FY","FILING_STATUS=MR","EQY_CONSOLIDATED=Y","ACCOUNTING_STANDARD_OVERRIDE=MIXED","FA_ADJUSTED=GAAP","Sort=A","Dates=H","DateFormat=P","Fill=—","Direction=H","UseDPDF=Y")</f>
        <v>45.896000000000001</v>
      </c>
      <c r="D13" s="18" t="str">
        <f>_xll.BDH("TCS IN Equity","GROSS_MARGIN","FY 2005","FY 2005","Currency=INR","Period=FY","BEST_FPERIOD_OVERRIDE=FY","FILING_STATUS=MR","EQY_CONSOLIDATED=Y","ACCOUNTING_STANDARD_OVERRIDE=MIXED","FA_ADJUSTED=GAAP","Sort=A","Dates=H","DateFormat=P","Fill=—","Direction=H","UseDPDF=Y")</f>
        <v>—</v>
      </c>
      <c r="E13" s="18" t="str">
        <f>_xll.BDH("TCS IN Equity","GROSS_MARGIN","FY 2006","FY 2006","Currency=INR","Period=FY","BEST_FPERIOD_OVERRIDE=FY","FILING_STATUS=MR","EQY_CONSOLIDATED=Y","ACCOUNTING_STANDARD_OVERRIDE=MIXED","FA_ADJUSTED=GAAP","Sort=A","Dates=H","DateFormat=P","Fill=—","Direction=H","UseDPDF=Y")</f>
        <v>—</v>
      </c>
      <c r="F13" s="18" t="str">
        <f>_xll.BDH("TCS IN Equity","GROSS_MARGIN","FY 2007","FY 2007","Currency=INR","Period=FY","BEST_FPERIOD_OVERRIDE=FY","FILING_STATUS=MR","EQY_CONSOLIDATED=Y","ACCOUNTING_STANDARD_OVERRIDE=MIXED","FA_ADJUSTED=GAAP","Sort=A","Dates=H","DateFormat=P","Fill=—","Direction=H","UseDPDF=Y")</f>
        <v>—</v>
      </c>
      <c r="G13" s="18" t="str">
        <f>_xll.BDH("TCS IN Equity","GROSS_MARGIN","FY 2008","FY 2008","Currency=INR","Period=FY","BEST_FPERIOD_OVERRIDE=FY","FILING_STATUS=MR","EQY_CONSOLIDATED=Y","ACCOUNTING_STANDARD_OVERRIDE=MIXED","FA_ADJUSTED=GAAP","Sort=A","Dates=H","DateFormat=P","Fill=—","Direction=H","UseDPDF=Y")</f>
        <v>—</v>
      </c>
      <c r="H13" s="18" t="str">
        <f>_xll.BDH("TCS IN Equity","GROSS_MARGIN","FY 2009","FY 2009","Currency=INR","Period=FY","BEST_FPERIOD_OVERRIDE=FY","FILING_STATUS=MR","EQY_CONSOLIDATED=Y","ACCOUNTING_STANDARD_OVERRIDE=MIXED","FA_ADJUSTED=GAAP","Sort=A","Dates=H","DateFormat=P","Fill=—","Direction=H","UseDPDF=Y")</f>
        <v>—</v>
      </c>
      <c r="I13" s="18" t="str">
        <f>_xll.BDH("TCS IN Equity","GROSS_MARGIN","FY 2010","FY 2010","Currency=INR","Period=FY","BEST_FPERIOD_OVERRIDE=FY","FILING_STATUS=MR","EQY_CONSOLIDATED=Y","ACCOUNTING_STANDARD_OVERRIDE=MIXED","FA_ADJUSTED=GAAP","Sort=A","Dates=H","DateFormat=P","Fill=—","Direction=H","UseDPDF=Y")</f>
        <v>—</v>
      </c>
      <c r="J13" s="18" t="str">
        <f>_xll.BDH("TCS IN Equity","GROSS_MARGIN","FY 2011","FY 2011","Currency=INR","Period=FY","BEST_FPERIOD_OVERRIDE=FY","FILING_STATUS=MR","EQY_CONSOLIDATED=Y","ACCOUNTING_STANDARD_OVERRIDE=MIXED","FA_ADJUSTED=GAAP","Sort=A","Dates=H","DateFormat=P","Fill=—","Direction=H","UseDPDF=Y")</f>
        <v>—</v>
      </c>
      <c r="K13" s="18" t="str">
        <f>_xll.BDH("TCS IN Equity","GROSS_MARGIN","FY 2012","FY 2012","Currency=INR","Period=FY","BEST_FPERIOD_OVERRIDE=FY","FILING_STATUS=MR","EQY_CONSOLIDATED=Y","ACCOUNTING_STANDARD_OVERRIDE=MIXED","FA_ADJUSTED=GAAP","Sort=A","Dates=H","DateFormat=P","Fill=—","Direction=H","UseDPDF=Y")</f>
        <v>—</v>
      </c>
      <c r="L13" s="18" t="str">
        <f>_xll.BDH("TCS IN Equity","GROSS_MARGIN","FY 2013","FY 2013","Currency=INR","Period=FY","BEST_FPERIOD_OVERRIDE=FY","FILING_STATUS=MR","EQY_CONSOLIDATED=Y","ACCOUNTING_STANDARD_OVERRIDE=MIXED","FA_ADJUSTED=GAAP","Sort=A","Dates=H","DateFormat=P","Fill=—","Direction=H","UseDPDF=Y")</f>
        <v>—</v>
      </c>
      <c r="M13" s="18">
        <f>_xll.BDH("TCS IN Equity","GROSS_MARGIN","FY 2014","FY 2014","Currency=INR","Period=FY","BEST_FPERIOD_OVERRIDE=FY","FILING_STATUS=MR","EQY_CONSOLIDATED=Y","ACCOUNTING_STANDARD_OVERRIDE=MIXED","FA_ADJUSTED=GAAP","Sort=A","Dates=H","DateFormat=P","Fill=—","Direction=H","UseDPDF=Y")</f>
        <v>47.36</v>
      </c>
      <c r="N13" s="18" t="str">
        <f>_xll.BDH("TCS IN Equity","GROSS_MARGIN","FY 2015","FY 2015","Currency=INR","Period=FY","BEST_FPERIOD_OVERRIDE=FY","FILING_STATUS=MR","EQY_CONSOLIDATED=Y","ACCOUNTING_STANDARD_OVERRIDE=MIXED","FA_ADJUSTED=GAAP","Sort=A","Dates=H","DateFormat=P","Fill=—","Direction=H","UseDPDF=Y")</f>
        <v>—</v>
      </c>
      <c r="O13" s="18">
        <f>_xll.BDH("TCS IN Equity","GROSS_MARGIN","FY 2016","FY 2016","Currency=INR","Period=FY","BEST_FPERIOD_OVERRIDE=FY","FILING_STATUS=MR","EQY_CONSOLIDATED=Y","ACCOUNTING_STANDARD_OVERRIDE=MIXED","FA_ADJUSTED=GAAP","Sort=A","Dates=H","DateFormat=P","Fill=—","Direction=H","UseDPDF=Y")</f>
        <v>43.946399999999997</v>
      </c>
      <c r="P13" s="18">
        <f>_xll.BDH("TCS IN Equity","GROSS_MARGIN","FY 2017","FY 2017","Currency=INR","Period=FY","BEST_FPERIOD_OVERRIDE=FY","FILING_STATUS=MR","EQY_CONSOLIDATED=Y","ACCOUNTING_STANDARD_OVERRIDE=MIXED","FA_ADJUSTED=GAAP","Sort=A","Dates=H","DateFormat=P","Fill=—","Direction=H","UseDPDF=Y")</f>
        <v>43.299799999999998</v>
      </c>
      <c r="Q13" s="18">
        <f>_xll.BDH("TCS IN Equity","GROSS_MARGIN","FY 2018","FY 2018","Currency=INR","Period=FY","BEST_FPERIOD_OVERRIDE=FY","FILING_STATUS=MR","EQY_CONSOLIDATED=Y","ACCOUNTING_STANDARD_OVERRIDE=MIXED","FA_ADJUSTED=GAAP","Sort=A","Dates=H","DateFormat=P","Fill=—","Direction=H","UseDPDF=Y")</f>
        <v>42.091200000000001</v>
      </c>
      <c r="R13" s="18">
        <f>_xll.BDH("TCS IN Equity","GROSS_MARGIN","FY 2019","FY 2019","Currency=INR","Period=FY","BEST_FPERIOD_OVERRIDE=FY","FILING_STATUS=MR","EQY_CONSOLIDATED=Y","ACCOUNTING_STANDARD_OVERRIDE=MIXED","FA_ADJUSTED=GAAP","Sort=A","Dates=H","DateFormat=P","Fill=—","Direction=H","UseDPDF=Y")</f>
        <v>41.856999999999999</v>
      </c>
      <c r="S13" s="18" t="str">
        <f>_xll.BDH("TCS IN Equity","GROSS_MARGIN","FY 2020","FY 2020","Currency=INR","Period=FY","BEST_FPERIOD_OVERRIDE=FY","FILING_STATUS=MR","EQY_CONSOLIDATED=Y","ACCOUNTING_STANDARD_OVERRIDE=MIXED","FA_ADJUSTED=GAAP","Sort=A","Dates=H","DateFormat=P","Fill=—","Direction=H","UseDPDF=Y")</f>
        <v>—</v>
      </c>
      <c r="T13" s="18">
        <f>_xll.BDH("TCS IN Equity","GROSS_MARGIN","FY 2021","FY 2021","Currency=INR","Period=FY","BEST_FPERIOD_OVERRIDE=FY","FILING_STATUS=MR","EQY_CONSOLIDATED=Y","ACCOUNTING_STANDARD_OVERRIDE=MIXED","FA_ADJUSTED=GAAP","Sort=A","Dates=H","DateFormat=P","Fill=—","Direction=H","UseDPDF=Y")</f>
        <v>40.833399999999997</v>
      </c>
      <c r="U13" s="18" t="str">
        <f>_xll.BDH("TCS IN Equity","GROSS_MARGIN","FY 2022","FY 2022","Currency=INR","Period=FY","BEST_FPERIOD_OVERRIDE=FY","FILING_STATUS=MR","EQY_CONSOLIDATED=Y","ACCOUNTING_STANDARD_OVERRIDE=MIXED","FA_ADJUSTED=GAAP","Sort=A","Dates=H","DateFormat=P","Fill=—","Direction=H","UseDPDF=Y")</f>
        <v>—</v>
      </c>
      <c r="V13" s="18">
        <f>_xll.BDH("TCS IN Equity","GROSS_MARGIN","FY 2023","FY 2023","Currency=INR","Period=FY","BEST_FPERIOD_OVERRIDE=FY","FILING_STATUS=MR","EQY_CONSOLIDATED=Y","ACCOUNTING_STANDARD_OVERRIDE=MIXED","FA_ADJUSTED=GAAP","Sort=A","Dates=H","DateFormat=P","Fill=—","Direction=H","UseDPDF=Y")</f>
        <v>39.5595</v>
      </c>
    </row>
    <row r="14" spans="1:22" ht="15" x14ac:dyDescent="0.25">
      <c r="A14" s="16" t="s">
        <v>56</v>
      </c>
      <c r="B14" s="16" t="s">
        <v>57</v>
      </c>
      <c r="C14" s="18">
        <f>_xll.BDH("TCS IN Equity","EBITDA_TO_REVENUE","FY 2004","FY 2004","Currency=INR","Period=FY","BEST_FPERIOD_OVERRIDE=FY","FILING_STATUS=MR","EQY_CONSOLIDATED=Y","ACCOUNTING_STANDARD_OVERRIDE=MIXED","FA_ADJUSTED=GAAP","Sort=A","Dates=H","DateFormat=P","Fill=—","Direction=H","UseDPDF=Y")</f>
        <v>28.319099999999999</v>
      </c>
      <c r="D14" s="18">
        <f>_xll.BDH("TCS IN Equity","EBITDA_TO_REVENUE","FY 2005","FY 2005","Currency=INR","Period=FY","BEST_FPERIOD_OVERRIDE=FY","FILING_STATUS=MR","EQY_CONSOLIDATED=Y","ACCOUNTING_STANDARD_OVERRIDE=MIXED","FA_ADJUSTED=GAAP","Sort=A","Dates=H","DateFormat=P","Fill=—","Direction=H","UseDPDF=Y")</f>
        <v>29.658000000000001</v>
      </c>
      <c r="E14" s="18">
        <f>_xll.BDH("TCS IN Equity","EBITDA_TO_REVENUE","FY 2006","FY 2006","Currency=INR","Period=FY","BEST_FPERIOD_OVERRIDE=FY","FILING_STATUS=MR","EQY_CONSOLIDATED=Y","ACCOUNTING_STANDARD_OVERRIDE=MIXED","FA_ADJUSTED=GAAP","Sort=A","Dates=H","DateFormat=P","Fill=—","Direction=H","UseDPDF=Y")</f>
        <v>27.826000000000001</v>
      </c>
      <c r="F14" s="18">
        <f>_xll.BDH("TCS IN Equity","EBITDA_TO_REVENUE","FY 2007","FY 2007","Currency=INR","Period=FY","BEST_FPERIOD_OVERRIDE=FY","FILING_STATUS=MR","EQY_CONSOLIDATED=Y","ACCOUNTING_STANDARD_OVERRIDE=MIXED","FA_ADJUSTED=GAAP","Sort=A","Dates=H","DateFormat=P","Fill=—","Direction=H","UseDPDF=Y")</f>
        <v>27.5059</v>
      </c>
      <c r="G14" s="18">
        <f>_xll.BDH("TCS IN Equity","EBITDA_TO_REVENUE","FY 2008","FY 2008","Currency=INR","Period=FY","BEST_FPERIOD_OVERRIDE=FY","FILING_STATUS=MR","EQY_CONSOLIDATED=Y","ACCOUNTING_STANDARD_OVERRIDE=MIXED","FA_ADJUSTED=GAAP","Sort=A","Dates=H","DateFormat=P","Fill=—","Direction=H","UseDPDF=Y")</f>
        <v>25.471</v>
      </c>
      <c r="H14" s="18">
        <f>_xll.BDH("TCS IN Equity","EBITDA_TO_REVENUE","FY 2009","FY 2009","Currency=INR","Period=FY","BEST_FPERIOD_OVERRIDE=FY","FILING_STATUS=MR","EQY_CONSOLIDATED=Y","ACCOUNTING_STANDARD_OVERRIDE=MIXED","FA_ADJUSTED=GAAP","Sort=A","Dates=H","DateFormat=P","Fill=—","Direction=H","UseDPDF=Y")</f>
        <v>25.778700000000001</v>
      </c>
      <c r="I14" s="18">
        <f>_xll.BDH("TCS IN Equity","EBITDA_TO_REVENUE","FY 2010","FY 2010","Currency=INR","Period=FY","BEST_FPERIOD_OVERRIDE=FY","FILING_STATUS=MR","EQY_CONSOLIDATED=Y","ACCOUNTING_STANDARD_OVERRIDE=MIXED","FA_ADJUSTED=GAAP","Sort=A","Dates=H","DateFormat=P","Fill=—","Direction=H","UseDPDF=Y")</f>
        <v>28.953900000000001</v>
      </c>
      <c r="J14" s="18">
        <f>_xll.BDH("TCS IN Equity","EBITDA_TO_REVENUE","FY 2011","FY 2011","Currency=INR","Period=FY","BEST_FPERIOD_OVERRIDE=FY","FILING_STATUS=MR","EQY_CONSOLIDATED=Y","ACCOUNTING_STANDARD_OVERRIDE=MIXED","FA_ADJUSTED=GAAP","Sort=A","Dates=H","DateFormat=P","Fill=—","Direction=H","UseDPDF=Y")</f>
        <v>29.949100000000001</v>
      </c>
      <c r="K14" s="18">
        <f>_xll.BDH("TCS IN Equity","EBITDA_TO_REVENUE","FY 2012","FY 2012","Currency=INR","Period=FY","BEST_FPERIOD_OVERRIDE=FY","FILING_STATUS=MR","EQY_CONSOLIDATED=Y","ACCOUNTING_STANDARD_OVERRIDE=MIXED","FA_ADJUSTED=GAAP","Sort=A","Dates=H","DateFormat=P","Fill=—","Direction=H","UseDPDF=Y")</f>
        <v>29.523800000000001</v>
      </c>
      <c r="L14" s="18">
        <f>_xll.BDH("TCS IN Equity","EBITDA_TO_REVENUE","FY 2013","FY 2013","Currency=INR","Period=FY","BEST_FPERIOD_OVERRIDE=FY","FILING_STATUS=MR","EQY_CONSOLIDATED=Y","ACCOUNTING_STANDARD_OVERRIDE=MIXED","FA_ADJUSTED=GAAP","Sort=A","Dates=H","DateFormat=P","Fill=—","Direction=H","UseDPDF=Y")</f>
        <v>28.639600000000002</v>
      </c>
      <c r="M14" s="18">
        <f>_xll.BDH("TCS IN Equity","EBITDA_TO_REVENUE","FY 2014","FY 2014","Currency=INR","Period=FY","BEST_FPERIOD_OVERRIDE=FY","FILING_STATUS=MR","EQY_CONSOLIDATED=Y","ACCOUNTING_STANDARD_OVERRIDE=MIXED","FA_ADJUSTED=GAAP","Sort=A","Dates=H","DateFormat=P","Fill=—","Direction=H","UseDPDF=Y")</f>
        <v>30.720500000000001</v>
      </c>
      <c r="N14" s="18">
        <f>_xll.BDH("TCS IN Equity","EBITDA_TO_REVENUE","FY 2015","FY 2015","Currency=INR","Period=FY","BEST_FPERIOD_OVERRIDE=FY","FILING_STATUS=MR","EQY_CONSOLIDATED=Y","ACCOUNTING_STANDARD_OVERRIDE=MIXED","FA_ADJUSTED=GAAP","Sort=A","Dates=H","DateFormat=P","Fill=—","Direction=H","UseDPDF=Y")</f>
        <v>25.348500000000001</v>
      </c>
      <c r="O14" s="18">
        <f>_xll.BDH("TCS IN Equity","EBITDA_TO_REVENUE","FY 2016","FY 2016","Currency=INR","Period=FY","BEST_FPERIOD_OVERRIDE=FY","FILING_STATUS=MR","EQY_CONSOLIDATED=Y","ACCOUNTING_STANDARD_OVERRIDE=MIXED","FA_ADJUSTED=GAAP","Sort=A","Dates=H","DateFormat=P","Fill=—","Direction=H","UseDPDF=Y")</f>
        <v>28.236699999999999</v>
      </c>
      <c r="P14" s="18">
        <f>_xll.BDH("TCS IN Equity","EBITDA_TO_REVENUE","FY 2017","FY 2017","Currency=INR","Period=FY","BEST_FPERIOD_OVERRIDE=FY","FILING_STATUS=MR","EQY_CONSOLIDATED=Y","ACCOUNTING_STANDARD_OVERRIDE=MIXED","FA_ADJUSTED=GAAP","Sort=A","Dates=H","DateFormat=P","Fill=—","Direction=H","UseDPDF=Y")</f>
        <v>27.3901</v>
      </c>
      <c r="Q14" s="18">
        <f>_xll.BDH("TCS IN Equity","EBITDA_TO_REVENUE","FY 2018","FY 2018","Currency=INR","Period=FY","BEST_FPERIOD_OVERRIDE=FY","FILING_STATUS=MR","EQY_CONSOLIDATED=Y","ACCOUNTING_STANDARD_OVERRIDE=MIXED","FA_ADJUSTED=GAAP","Sort=A","Dates=H","DateFormat=P","Fill=—","Direction=H","UseDPDF=Y")</f>
        <v>26.413399999999999</v>
      </c>
      <c r="R14" s="18">
        <f>_xll.BDH("TCS IN Equity","EBITDA_TO_REVENUE","FY 2019","FY 2019","Currency=INR","Period=FY","BEST_FPERIOD_OVERRIDE=FY","FILING_STATUS=MR","EQY_CONSOLIDATED=Y","ACCOUNTING_STANDARD_OVERRIDE=MIXED","FA_ADJUSTED=GAAP","Sort=A","Dates=H","DateFormat=P","Fill=—","Direction=H","UseDPDF=Y")</f>
        <v>26.973400000000002</v>
      </c>
      <c r="S14" s="18">
        <f>_xll.BDH("TCS IN Equity","EBITDA_TO_REVENUE","FY 2020","FY 2020","Currency=INR","Period=FY","BEST_FPERIOD_OVERRIDE=FY","FILING_STATUS=MR","EQY_CONSOLIDATED=Y","ACCOUNTING_STANDARD_OVERRIDE=MIXED","FA_ADJUSTED=GAAP","Sort=A","Dates=H","DateFormat=P","Fill=—","Direction=H","UseDPDF=Y")</f>
        <v>26.829699999999999</v>
      </c>
      <c r="T14" s="18">
        <f>_xll.BDH("TCS IN Equity","EBITDA_TO_REVENUE","FY 2021","FY 2021","Currency=INR","Period=FY","BEST_FPERIOD_OVERRIDE=FY","FILING_STATUS=MR","EQY_CONSOLIDATED=Y","ACCOUNTING_STANDARD_OVERRIDE=MIXED","FA_ADJUSTED=GAAP","Sort=A","Dates=H","DateFormat=P","Fill=—","Direction=H","UseDPDF=Y")</f>
        <v>27.609200000000001</v>
      </c>
      <c r="U14" s="18">
        <f>_xll.BDH("TCS IN Equity","EBITDA_TO_REVENUE","FY 2022","FY 2022","Currency=INR","Period=FY","BEST_FPERIOD_OVERRIDE=FY","FILING_STATUS=MR","EQY_CONSOLIDATED=Y","ACCOUNTING_STANDARD_OVERRIDE=MIXED","FA_ADJUSTED=GAAP","Sort=A","Dates=H","DateFormat=P","Fill=—","Direction=H","UseDPDF=Y")</f>
        <v>27.6693</v>
      </c>
      <c r="V14" s="18">
        <f>_xll.BDH("TCS IN Equity","EBITDA_TO_REVENUE","FY 2023","FY 2023","Currency=INR","Period=FY","BEST_FPERIOD_OVERRIDE=FY","FILING_STATUS=MR","EQY_CONSOLIDATED=Y","ACCOUNTING_STANDARD_OVERRIDE=MIXED","FA_ADJUSTED=GAAP","Sort=A","Dates=H","DateFormat=P","Fill=—","Direction=H","UseDPDF=Y")</f>
        <v>26.283799999999999</v>
      </c>
    </row>
    <row r="15" spans="1:22" ht="15" x14ac:dyDescent="0.25">
      <c r="A15" s="16" t="s">
        <v>58</v>
      </c>
      <c r="B15" s="16" t="s">
        <v>59</v>
      </c>
      <c r="C15" s="18">
        <f>_xll.BDH("TCS IN Equity","OPER_MARGIN","FY 2004","FY 2004","Currency=INR","Period=FY","BEST_FPERIOD_OVERRIDE=FY","FILING_STATUS=MR","EQY_CONSOLIDATED=Y","ACCOUNTING_STANDARD_OVERRIDE=MIXED","FA_ADJUSTED=GAAP","Sort=A","Dates=H","DateFormat=P","Fill=—","Direction=H","UseDPDF=Y")</f>
        <v>26.5885</v>
      </c>
      <c r="D15" s="18">
        <f>_xll.BDH("TCS IN Equity","OPER_MARGIN","FY 2005","FY 2005","Currency=INR","Period=FY","BEST_FPERIOD_OVERRIDE=FY","FILING_STATUS=MR","EQY_CONSOLIDATED=Y","ACCOUNTING_STANDARD_OVERRIDE=MIXED","FA_ADJUSTED=GAAP","Sort=A","Dates=H","DateFormat=P","Fill=—","Direction=H","UseDPDF=Y")</f>
        <v>28.014500000000002</v>
      </c>
      <c r="E15" s="18">
        <f>_xll.BDH("TCS IN Equity","OPER_MARGIN","FY 2006","FY 2006","Currency=INR","Period=FY","BEST_FPERIOD_OVERRIDE=FY","FILING_STATUS=MR","EQY_CONSOLIDATED=Y","ACCOUNTING_STANDARD_OVERRIDE=MIXED","FA_ADJUSTED=GAAP","Sort=A","Dates=H","DateFormat=P","Fill=—","Direction=H","UseDPDF=Y")</f>
        <v>25.694800000000001</v>
      </c>
      <c r="F15" s="18">
        <f>_xll.BDH("TCS IN Equity","OPER_MARGIN","FY 2007","FY 2007","Currency=INR","Period=FY","BEST_FPERIOD_OVERRIDE=FY","FILING_STATUS=MR","EQY_CONSOLIDATED=Y","ACCOUNTING_STANDARD_OVERRIDE=MIXED","FA_ADJUSTED=GAAP","Sort=A","Dates=H","DateFormat=P","Fill=—","Direction=H","UseDPDF=Y")</f>
        <v>25.150200000000002</v>
      </c>
      <c r="G15" s="18">
        <f>_xll.BDH("TCS IN Equity","OPER_MARGIN","FY 2008","FY 2008","Currency=INR","Period=FY","BEST_FPERIOD_OVERRIDE=FY","FILING_STATUS=MR","EQY_CONSOLIDATED=Y","ACCOUNTING_STANDARD_OVERRIDE=MIXED","FA_ADJUSTED=GAAP","Sort=A","Dates=H","DateFormat=P","Fill=—","Direction=H","UseDPDF=Y")</f>
        <v>22.9788</v>
      </c>
      <c r="H15" s="18">
        <f>_xll.BDH("TCS IN Equity","OPER_MARGIN","FY 2009","FY 2009","Currency=INR","Period=FY","BEST_FPERIOD_OVERRIDE=FY","FILING_STATUS=MR","EQY_CONSOLIDATED=Y","ACCOUNTING_STANDARD_OVERRIDE=MIXED","FA_ADJUSTED=GAAP","Sort=A","Dates=H","DateFormat=P","Fill=—","Direction=H","UseDPDF=Y")</f>
        <v>23.750599999999999</v>
      </c>
      <c r="I15" s="18">
        <f>_xll.BDH("TCS IN Equity","OPER_MARGIN","FY 2010","FY 2010","Currency=INR","Period=FY","BEST_FPERIOD_OVERRIDE=FY","FILING_STATUS=MR","EQY_CONSOLIDATED=Y","ACCOUNTING_STANDARD_OVERRIDE=MIXED","FA_ADJUSTED=GAAP","Sort=A","Dates=H","DateFormat=P","Fill=—","Direction=H","UseDPDF=Y")</f>
        <v>26.7531</v>
      </c>
      <c r="J15" s="18">
        <f>_xll.BDH("TCS IN Equity","OPER_MARGIN","FY 2011","FY 2011","Currency=INR","Period=FY","BEST_FPERIOD_OVERRIDE=FY","FILING_STATUS=MR","EQY_CONSOLIDATED=Y","ACCOUNTING_STANDARD_OVERRIDE=MIXED","FA_ADJUSTED=GAAP","Sort=A","Dates=H","DateFormat=P","Fill=—","Direction=H","UseDPDF=Y")</f>
        <v>27.979199999999999</v>
      </c>
      <c r="K15" s="18">
        <f>_xll.BDH("TCS IN Equity","OPER_MARGIN","FY 2012","FY 2012","Currency=INR","Period=FY","BEST_FPERIOD_OVERRIDE=FY","FILING_STATUS=MR","EQY_CONSOLIDATED=Y","ACCOUNTING_STANDARD_OVERRIDE=MIXED","FA_ADJUSTED=GAAP","Sort=A","Dates=H","DateFormat=P","Fill=—","Direction=H","UseDPDF=Y")</f>
        <v>27.6464</v>
      </c>
      <c r="L15" s="18">
        <f>_xll.BDH("TCS IN Equity","OPER_MARGIN","FY 2013","FY 2013","Currency=INR","Period=FY","BEST_FPERIOD_OVERRIDE=FY","FILING_STATUS=MR","EQY_CONSOLIDATED=Y","ACCOUNTING_STANDARD_OVERRIDE=MIXED","FA_ADJUSTED=GAAP","Sort=A","Dates=H","DateFormat=P","Fill=—","Direction=H","UseDPDF=Y")</f>
        <v>26.9251</v>
      </c>
      <c r="M15" s="18">
        <f>_xll.BDH("TCS IN Equity","OPER_MARGIN","FY 2014","FY 2014","Currency=INR","Period=FY","BEST_FPERIOD_OVERRIDE=FY","FILING_STATUS=MR","EQY_CONSOLIDATED=Y","ACCOUNTING_STANDARD_OVERRIDE=MIXED","FA_ADJUSTED=GAAP","Sort=A","Dates=H","DateFormat=P","Fill=—","Direction=H","UseDPDF=Y")</f>
        <v>29.101800000000001</v>
      </c>
      <c r="N15" s="18">
        <f>_xll.BDH("TCS IN Equity","OPER_MARGIN","FY 2015","FY 2015","Currency=INR","Period=FY","BEST_FPERIOD_OVERRIDE=FY","FILING_STATUS=MR","EQY_CONSOLIDATED=Y","ACCOUNTING_STANDARD_OVERRIDE=MIXED","FA_ADJUSTED=GAAP","Sort=A","Dates=H","DateFormat=P","Fill=—","Direction=H","UseDPDF=Y")</f>
        <v>23.965599999999998</v>
      </c>
      <c r="O15" s="18">
        <f>_xll.BDH("TCS IN Equity","OPER_MARGIN","FY 2016","FY 2016","Currency=INR","Period=FY","BEST_FPERIOD_OVERRIDE=FY","FILING_STATUS=MR","EQY_CONSOLIDATED=Y","ACCOUNTING_STANDARD_OVERRIDE=MIXED","FA_ADJUSTED=GAAP","Sort=A","Dates=H","DateFormat=P","Fill=—","Direction=H","UseDPDF=Y")</f>
        <v>26.498899999999999</v>
      </c>
      <c r="P15" s="18">
        <f>_xll.BDH("TCS IN Equity","OPER_MARGIN","FY 2017","FY 2017","Currency=INR","Period=FY","BEST_FPERIOD_OVERRIDE=FY","FILING_STATUS=MR","EQY_CONSOLIDATED=Y","ACCOUNTING_STANDARD_OVERRIDE=MIXED","FA_ADJUSTED=GAAP","Sort=A","Dates=H","DateFormat=P","Fill=—","Direction=H","UseDPDF=Y")</f>
        <v>25.7057</v>
      </c>
      <c r="Q15" s="18">
        <f>_xll.BDH("TCS IN Equity","OPER_MARGIN","FY 2018","FY 2018","Currency=INR","Period=FY","BEST_FPERIOD_OVERRIDE=FY","FILING_STATUS=MR","EQY_CONSOLIDATED=Y","ACCOUNTING_STANDARD_OVERRIDE=MIXED","FA_ADJUSTED=GAAP","Sort=A","Dates=H","DateFormat=P","Fill=—","Direction=H","UseDPDF=Y")</f>
        <v>24.7774</v>
      </c>
      <c r="R15" s="18">
        <f>_xll.BDH("TCS IN Equity","OPER_MARGIN","FY 2019","FY 2019","Currency=INR","Period=FY","BEST_FPERIOD_OVERRIDE=FY","FILING_STATUS=MR","EQY_CONSOLIDATED=Y","ACCOUNTING_STANDARD_OVERRIDE=MIXED","FA_ADJUSTED=GAAP","Sort=A","Dates=H","DateFormat=P","Fill=—","Direction=H","UseDPDF=Y")</f>
        <v>25.569600000000001</v>
      </c>
      <c r="S15" s="18">
        <f>_xll.BDH("TCS IN Equity","OPER_MARGIN","FY 2020","FY 2020","Currency=INR","Period=FY","BEST_FPERIOD_OVERRIDE=FY","FILING_STATUS=MR","EQY_CONSOLIDATED=Y","ACCOUNTING_STANDARD_OVERRIDE=MIXED","FA_ADJUSTED=GAAP","Sort=A","Dates=H","DateFormat=P","Fill=—","Direction=H","UseDPDF=Y")</f>
        <v>24.581199999999999</v>
      </c>
      <c r="T15" s="18">
        <f>_xll.BDH("TCS IN Equity","OPER_MARGIN","FY 2021","FY 2021","Currency=INR","Period=FY","BEST_FPERIOD_OVERRIDE=FY","FILING_STATUS=MR","EQY_CONSOLIDATED=Y","ACCOUNTING_STANDARD_OVERRIDE=MIXED","FA_ADJUSTED=GAAP","Sort=A","Dates=H","DateFormat=P","Fill=—","Direction=H","UseDPDF=Y")</f>
        <v>25.133199999999999</v>
      </c>
      <c r="U15" s="18">
        <f>_xll.BDH("TCS IN Equity","OPER_MARGIN","FY 2022","FY 2022","Currency=INR","Period=FY","BEST_FPERIOD_OVERRIDE=FY","FILING_STATUS=MR","EQY_CONSOLIDATED=Y","ACCOUNTING_STANDARD_OVERRIDE=MIXED","FA_ADJUSTED=GAAP","Sort=A","Dates=H","DateFormat=P","Fill=—","Direction=H","UseDPDF=Y")</f>
        <v>25.2683</v>
      </c>
      <c r="V15" s="18">
        <f>_xll.BDH("TCS IN Equity","OPER_MARGIN","FY 2023","FY 2023","Currency=INR","Period=FY","BEST_FPERIOD_OVERRIDE=FY","FILING_STATUS=MR","EQY_CONSOLIDATED=Y","ACCOUNTING_STANDARD_OVERRIDE=MIXED","FA_ADJUSTED=GAAP","Sort=A","Dates=H","DateFormat=P","Fill=—","Direction=H","UseDPDF=Y")</f>
        <v>24.0564</v>
      </c>
    </row>
    <row r="16" spans="1:22" ht="15" x14ac:dyDescent="0.25">
      <c r="A16" s="16" t="s">
        <v>60</v>
      </c>
      <c r="B16" s="16" t="s">
        <v>61</v>
      </c>
      <c r="C16" s="18">
        <f>_xll.BDH("TCS IN Equity","INCREMENTAL_OPERATING_MARGIN","FY 2004","FY 2004","Currency=INR","Period=FY","BEST_FPERIOD_OVERRIDE=FY","FILING_STATUS=MR","EQY_CONSOLIDATED=Y","ACCOUNTING_STANDARD_OVERRIDE=MIXED","FA_ADJUSTED=GAAP","Sort=A","Dates=H","DateFormat=P","Fill=—","Direction=H","UseDPDF=Y")</f>
        <v>38.323399999999999</v>
      </c>
      <c r="D16" s="18">
        <f>_xll.BDH("TCS IN Equity","INCREMENTAL_OPERATING_MARGIN","FY 2005","FY 2005","Currency=INR","Period=FY","BEST_FPERIOD_OVERRIDE=FY","FILING_STATUS=MR","EQY_CONSOLIDATED=Y","ACCOUNTING_STANDARD_OVERRIDE=MIXED","FA_ADJUSTED=GAAP","Sort=A","Dates=H","DateFormat=P","Fill=—","Direction=H","UseDPDF=Y")</f>
        <v>32.011800000000001</v>
      </c>
      <c r="E16" s="18">
        <f>_xll.BDH("TCS IN Equity","INCREMENTAL_OPERATING_MARGIN","FY 2006","FY 2006","Currency=INR","Period=FY","BEST_FPERIOD_OVERRIDE=FY","FILING_STATUS=MR","EQY_CONSOLIDATED=Y","ACCOUNTING_STANDARD_OVERRIDE=MIXED","FA_ADJUSTED=GAAP","Sort=A","Dates=H","DateFormat=P","Fill=—","Direction=H","UseDPDF=Y")</f>
        <v>19.447900000000001</v>
      </c>
      <c r="F16" s="18">
        <f>_xll.BDH("TCS IN Equity","INCREMENTAL_OPERATING_MARGIN","FY 2007","FY 2007","Currency=INR","Period=FY","BEST_FPERIOD_OVERRIDE=FY","FILING_STATUS=MR","EQY_CONSOLIDATED=Y","ACCOUNTING_STANDARD_OVERRIDE=MIXED","FA_ADJUSTED=GAAP","Sort=A","Dates=H","DateFormat=P","Fill=—","Direction=H","UseDPDF=Y")</f>
        <v>23.821899999999999</v>
      </c>
      <c r="G16" s="18">
        <f>_xll.BDH("TCS IN Equity","INCREMENTAL_OPERATING_MARGIN","FY 2008","FY 2008","Currency=INR","Period=FY","BEST_FPERIOD_OVERRIDE=FY","FILING_STATUS=MR","EQY_CONSOLIDATED=Y","ACCOUNTING_STANDARD_OVERRIDE=MIXED","FA_ADJUSTED=GAAP","Sort=A","Dates=H","DateFormat=P","Fill=—","Direction=H","UseDPDF=Y")</f>
        <v>12.6663</v>
      </c>
      <c r="H16" s="18">
        <f>_xll.BDH("TCS IN Equity","INCREMENTAL_OPERATING_MARGIN","FY 2009","FY 2009","Currency=INR","Period=FY","BEST_FPERIOD_OVERRIDE=FY","FILING_STATUS=MR","EQY_CONSOLIDATED=Y","ACCOUNTING_STANDARD_OVERRIDE=MIXED","FA_ADJUSTED=GAAP","Sort=A","Dates=H","DateFormat=P","Fill=—","Direction=H","UseDPDF=Y")</f>
        <v>27.111899999999999</v>
      </c>
      <c r="I16" s="18">
        <f>_xll.BDH("TCS IN Equity","INCREMENTAL_OPERATING_MARGIN","FY 2010","FY 2010","Currency=INR","Period=FY","BEST_FPERIOD_OVERRIDE=FY","FILING_STATUS=MR","EQY_CONSOLIDATED=Y","ACCOUNTING_STANDARD_OVERRIDE=MIXED","FA_ADJUSTED=GAAP","Sort=A","Dates=H","DateFormat=P","Fill=—","Direction=H","UseDPDF=Y")</f>
        <v>64.436599999999999</v>
      </c>
      <c r="J16" s="18">
        <f>_xll.BDH("TCS IN Equity","INCREMENTAL_OPERATING_MARGIN","FY 2011","FY 2011","Currency=INR","Period=FY","BEST_FPERIOD_OVERRIDE=FY","FILING_STATUS=MR","EQY_CONSOLIDATED=Y","ACCOUNTING_STANDARD_OVERRIDE=MIXED","FA_ADJUSTED=GAAP","Sort=A","Dates=H","DateFormat=P","Fill=—","Direction=H","UseDPDF=Y")</f>
        <v>33.026000000000003</v>
      </c>
      <c r="K16" s="18">
        <f>_xll.BDH("TCS IN Equity","INCREMENTAL_OPERATING_MARGIN","FY 2012","FY 2012","Currency=INR","Period=FY","BEST_FPERIOD_OVERRIDE=FY","FILING_STATUS=MR","EQY_CONSOLIDATED=Y","ACCOUNTING_STANDARD_OVERRIDE=MIXED","FA_ADJUSTED=GAAP","Sort=A","Dates=H","DateFormat=P","Fill=—","Direction=H","UseDPDF=Y")</f>
        <v>26.572600000000001</v>
      </c>
      <c r="L16" s="18">
        <f>_xll.BDH("TCS IN Equity","INCREMENTAL_OPERATING_MARGIN","FY 2013","FY 2013","Currency=INR","Period=FY","BEST_FPERIOD_OVERRIDE=FY","FILING_STATUS=MR","EQY_CONSOLIDATED=Y","ACCOUNTING_STANDARD_OVERRIDE=MIXED","FA_ADJUSTED=GAAP","Sort=A","Dates=H","DateFormat=P","Fill=—","Direction=H","UseDPDF=Y")</f>
        <v>24.423300000000001</v>
      </c>
      <c r="M16" s="18">
        <f>_xll.BDH("TCS IN Equity","INCREMENTAL_OPERATING_MARGIN","FY 2014","FY 2014","Currency=INR","Period=FY","BEST_FPERIOD_OVERRIDE=FY","FILING_STATUS=MR","EQY_CONSOLIDATED=Y","ACCOUNTING_STANDARD_OVERRIDE=MIXED","FA_ADJUSTED=GAAP","Sort=A","Dates=H","DateFormat=P","Fill=—","Direction=H","UseDPDF=Y")</f>
        <v>36.387</v>
      </c>
      <c r="N16" s="18" t="str">
        <f>_xll.BDH("TCS IN Equity","INCREMENTAL_OPERATING_MARGIN","FY 2015","FY 2015","Currency=INR","Period=FY","BEST_FPERIOD_OVERRIDE=FY","FILING_STATUS=MR","EQY_CONSOLIDATED=Y","ACCOUNTING_STANDARD_OVERRIDE=MIXED","FA_ADJUSTED=GAAP","Sort=A","Dates=H","DateFormat=P","Fill=—","Direction=H","UseDPDF=Y")</f>
        <v>—</v>
      </c>
      <c r="O16" s="18">
        <f>_xll.BDH("TCS IN Equity","INCREMENTAL_OPERATING_MARGIN","FY 2016","FY 2016","Currency=INR","Period=FY","BEST_FPERIOD_OVERRIDE=FY","FILING_STATUS=MR","EQY_CONSOLIDATED=Y","ACCOUNTING_STANDARD_OVERRIDE=MIXED","FA_ADJUSTED=GAAP","Sort=A","Dates=H","DateFormat=P","Fill=—","Direction=H","UseDPDF=Y")</f>
        <v>43.628799999999998</v>
      </c>
      <c r="P16" s="18">
        <f>_xll.BDH("TCS IN Equity","INCREMENTAL_OPERATING_MARGIN","FY 2017","FY 2017","Currency=INR","Period=FY","BEST_FPERIOD_OVERRIDE=FY","FILING_STATUS=MR","EQY_CONSOLIDATED=Y","ACCOUNTING_STANDARD_OVERRIDE=MIXED","FA_ADJUSTED=GAAP","Sort=A","Dates=H","DateFormat=P","Fill=—","Direction=H","UseDPDF=Y")</f>
        <v>16.459199999999999</v>
      </c>
      <c r="Q16" s="18">
        <f>_xll.BDH("TCS IN Equity","INCREMENTAL_OPERATING_MARGIN","FY 2018","FY 2018","Currency=INR","Period=FY","BEST_FPERIOD_OVERRIDE=FY","FILING_STATUS=MR","EQY_CONSOLIDATED=Y","ACCOUNTING_STANDARD_OVERRIDE=MIXED","FA_ADJUSTED=GAAP","Sort=A","Dates=H","DateFormat=P","Fill=—","Direction=H","UseDPDF=Y")</f>
        <v>3.4643999999999999</v>
      </c>
      <c r="R16" s="18">
        <f>_xll.BDH("TCS IN Equity","INCREMENTAL_OPERATING_MARGIN","FY 2019","FY 2019","Currency=INR","Period=FY","BEST_FPERIOD_OVERRIDE=FY","FILING_STATUS=MR","EQY_CONSOLIDATED=Y","ACCOUNTING_STANDARD_OVERRIDE=MIXED","FA_ADJUSTED=GAAP","Sort=A","Dates=H","DateFormat=P","Fill=—","Direction=H","UseDPDF=Y")</f>
        <v>29.744399999999999</v>
      </c>
      <c r="S16" s="18">
        <f>_xll.BDH("TCS IN Equity","INCREMENTAL_OPERATING_MARGIN","FY 2020","FY 2020","Currency=INR","Period=FY","BEST_FPERIOD_OVERRIDE=FY","FILING_STATUS=MR","EQY_CONSOLIDATED=Y","ACCOUNTING_STANDARD_OVERRIDE=MIXED","FA_ADJUSTED=GAAP","Sort=A","Dates=H","DateFormat=P","Fill=—","Direction=H","UseDPDF=Y")</f>
        <v>10.776300000000001</v>
      </c>
      <c r="T16" s="18">
        <f>_xll.BDH("TCS IN Equity","INCREMENTAL_OPERATING_MARGIN","FY 2021","FY 2021","Currency=INR","Period=FY","BEST_FPERIOD_OVERRIDE=FY","FILING_STATUS=MR","EQY_CONSOLIDATED=Y","ACCOUNTING_STANDARD_OVERRIDE=MIXED","FA_ADJUSTED=GAAP","Sort=A","Dates=H","DateFormat=P","Fill=—","Direction=H","UseDPDF=Y")</f>
        <v>37.119500000000002</v>
      </c>
      <c r="U16" s="18">
        <f>_xll.BDH("TCS IN Equity","INCREMENTAL_OPERATING_MARGIN","FY 2022","FY 2022","Currency=INR","Period=FY","BEST_FPERIOD_OVERRIDE=FY","FILING_STATUS=MR","EQY_CONSOLIDATED=Y","ACCOUNTING_STANDARD_OVERRIDE=MIXED","FA_ADJUSTED=GAAP","Sort=A","Dates=H","DateFormat=P","Fill=—","Direction=H","UseDPDF=Y")</f>
        <v>26.072500000000002</v>
      </c>
      <c r="V16" s="18">
        <f>_xll.BDH("TCS IN Equity","INCREMENTAL_OPERATING_MARGIN","FY 2023","FY 2023","Currency=INR","Period=FY","BEST_FPERIOD_OVERRIDE=FY","FILING_STATUS=MR","EQY_CONSOLIDATED=Y","ACCOUNTING_STANDARD_OVERRIDE=MIXED","FA_ADJUSTED=GAAP","Sort=A","Dates=H","DateFormat=P","Fill=—","Direction=H","UseDPDF=Y")</f>
        <v>17.161200000000001</v>
      </c>
    </row>
    <row r="17" spans="1:22" ht="15" x14ac:dyDescent="0.25">
      <c r="A17" s="16" t="s">
        <v>62</v>
      </c>
      <c r="B17" s="16" t="s">
        <v>63</v>
      </c>
      <c r="C17" s="18">
        <f>_xll.BDH("TCS IN Equity","PRETAX_INC_TO_NET_SALES","FY 2004","FY 2004","Currency=INR","Period=FY","BEST_FPERIOD_OVERRIDE=FY","FILING_STATUS=MR","EQY_CONSOLIDATED=Y","ACCOUNTING_STANDARD_OVERRIDE=MIXED","FA_ADJUSTED=GAAP","Sort=A","Dates=H","DateFormat=P","Fill=—","Direction=H","UseDPDF=Y")</f>
        <v>26.723500000000001</v>
      </c>
      <c r="D17" s="18">
        <f>_xll.BDH("TCS IN Equity","PRETAX_INC_TO_NET_SALES","FY 2005","FY 2005","Currency=INR","Period=FY","BEST_FPERIOD_OVERRIDE=FY","FILING_STATUS=MR","EQY_CONSOLIDATED=Y","ACCOUNTING_STANDARD_OVERRIDE=MIXED","FA_ADJUSTED=GAAP","Sort=A","Dates=H","DateFormat=P","Fill=—","Direction=H","UseDPDF=Y")</f>
        <v>24.659500000000001</v>
      </c>
      <c r="E17" s="18">
        <f>_xll.BDH("TCS IN Equity","PRETAX_INC_TO_NET_SALES","FY 2006","FY 2006","Currency=INR","Period=FY","BEST_FPERIOD_OVERRIDE=FY","FILING_STATUS=MR","EQY_CONSOLIDATED=Y","ACCOUNTING_STANDARD_OVERRIDE=MIXED","FA_ADJUSTED=GAAP","Sort=A","Dates=H","DateFormat=P","Fill=—","Direction=H","UseDPDF=Y")</f>
        <v>26.006900000000002</v>
      </c>
      <c r="F17" s="18">
        <f>_xll.BDH("TCS IN Equity","PRETAX_INC_TO_NET_SALES","FY 2007","FY 2007","Currency=INR","Period=FY","BEST_FPERIOD_OVERRIDE=FY","FILING_STATUS=MR","EQY_CONSOLIDATED=Y","ACCOUNTING_STANDARD_OVERRIDE=MIXED","FA_ADJUSTED=GAAP","Sort=A","Dates=H","DateFormat=P","Fill=—","Direction=H","UseDPDF=Y")</f>
        <v>26.3276</v>
      </c>
      <c r="G17" s="18">
        <f>_xll.BDH("TCS IN Equity","PRETAX_INC_TO_NET_SALES","FY 2008","FY 2008","Currency=INR","Period=FY","BEST_FPERIOD_OVERRIDE=FY","FILING_STATUS=MR","EQY_CONSOLIDATED=Y","ACCOUNTING_STANDARD_OVERRIDE=MIXED","FA_ADJUSTED=GAAP","Sort=A","Dates=H","DateFormat=P","Fill=—","Direction=H","UseDPDF=Y")</f>
        <v>25.8447</v>
      </c>
      <c r="H17" s="18">
        <f>_xll.BDH("TCS IN Equity","PRETAX_INC_TO_NET_SALES","FY 2009","FY 2009","Currency=INR","Period=FY","BEST_FPERIOD_OVERRIDE=FY","FILING_STATUS=MR","EQY_CONSOLIDATED=Y","ACCOUNTING_STANDARD_OVERRIDE=MIXED","FA_ADJUSTED=GAAP","Sort=A","Dates=H","DateFormat=P","Fill=—","Direction=H","UseDPDF=Y")</f>
        <v>22.112300000000001</v>
      </c>
      <c r="I17" s="18">
        <f>_xll.BDH("TCS IN Equity","PRETAX_INC_TO_NET_SALES","FY 2010","FY 2010","Currency=INR","Period=FY","BEST_FPERIOD_OVERRIDE=FY","FILING_STATUS=MR","EQY_CONSOLIDATED=Y","ACCOUNTING_STANDARD_OVERRIDE=MIXED","FA_ADJUSTED=GAAP","Sort=A","Dates=H","DateFormat=P","Fill=—","Direction=H","UseDPDF=Y")</f>
        <v>27.605499999999999</v>
      </c>
      <c r="J17" s="18">
        <f>_xll.BDH("TCS IN Equity","PRETAX_INC_TO_NET_SALES","FY 2011","FY 2011","Currency=INR","Period=FY","BEST_FPERIOD_OVERRIDE=FY","FILING_STATUS=MR","EQY_CONSOLIDATED=Y","ACCOUNTING_STANDARD_OVERRIDE=MIXED","FA_ADJUSTED=GAAP","Sort=A","Dates=H","DateFormat=P","Fill=—","Direction=H","UseDPDF=Y")</f>
        <v>29.526499999999999</v>
      </c>
      <c r="K17" s="18">
        <f>_xll.BDH("TCS IN Equity","PRETAX_INC_TO_NET_SALES","FY 2012","FY 2012","Currency=INR","Period=FY","BEST_FPERIOD_OVERRIDE=FY","FILING_STATUS=MR","EQY_CONSOLIDATED=Y","ACCOUNTING_STANDARD_OVERRIDE=MIXED","FA_ADJUSTED=GAAP","Sort=A","Dates=H","DateFormat=P","Fill=—","Direction=H","UseDPDF=Y")</f>
        <v>28.476600000000001</v>
      </c>
      <c r="L17" s="18">
        <f>_xll.BDH("TCS IN Equity","PRETAX_INC_TO_NET_SALES","FY 2013","FY 2013","Currency=INR","Period=FY","BEST_FPERIOD_OVERRIDE=FY","FILING_STATUS=MR","EQY_CONSOLIDATED=Y","ACCOUNTING_STANDARD_OVERRIDE=MIXED","FA_ADJUSTED=GAAP","Sort=A","Dates=H","DateFormat=P","Fill=—","Direction=H","UseDPDF=Y")</f>
        <v>28.718699999999998</v>
      </c>
      <c r="M17" s="18">
        <f>_xll.BDH("TCS IN Equity","PRETAX_INC_TO_NET_SALES","FY 2014","FY 2014","Currency=INR","Period=FY","BEST_FPERIOD_OVERRIDE=FY","FILING_STATUS=MR","EQY_CONSOLIDATED=Y","ACCOUNTING_STANDARD_OVERRIDE=MIXED","FA_ADJUSTED=GAAP","Sort=A","Dates=H","DateFormat=P","Fill=—","Direction=H","UseDPDF=Y")</f>
        <v>31.0442</v>
      </c>
      <c r="N17" s="18">
        <f>_xll.BDH("TCS IN Equity","PRETAX_INC_TO_NET_SALES","FY 2015","FY 2015","Currency=INR","Period=FY","BEST_FPERIOD_OVERRIDE=FY","FILING_STATUS=MR","EQY_CONSOLIDATED=Y","ACCOUNTING_STANDARD_OVERRIDE=MIXED","FA_ADJUSTED=GAAP","Sort=A","Dates=H","DateFormat=P","Fill=—","Direction=H","UseDPDF=Y")</f>
        <v>27.785499999999999</v>
      </c>
      <c r="O17" s="18">
        <f>_xll.BDH("TCS IN Equity","PRETAX_INC_TO_NET_SALES","FY 2016","FY 2016","Currency=INR","Period=FY","BEST_FPERIOD_OVERRIDE=FY","FILING_STATUS=MR","EQY_CONSOLIDATED=Y","ACCOUNTING_STANDARD_OVERRIDE=MIXED","FA_ADJUSTED=GAAP","Sort=A","Dates=H","DateFormat=P","Fill=—","Direction=H","UseDPDF=Y")</f>
        <v>29.307099999999998</v>
      </c>
      <c r="P17" s="18">
        <f>_xll.BDH("TCS IN Equity","PRETAX_INC_TO_NET_SALES","FY 2017","FY 2017","Currency=INR","Period=FY","BEST_FPERIOD_OVERRIDE=FY","FILING_STATUS=MR","EQY_CONSOLIDATED=Y","ACCOUNTING_STANDARD_OVERRIDE=MIXED","FA_ADJUSTED=GAAP","Sort=A","Dates=H","DateFormat=P","Fill=—","Direction=H","UseDPDF=Y")</f>
        <v>29.256699999999999</v>
      </c>
      <c r="Q17" s="18">
        <f>_xll.BDH("TCS IN Equity","PRETAX_INC_TO_NET_SALES","FY 2018","FY 2018","Currency=INR","Period=FY","BEST_FPERIOD_OVERRIDE=FY","FILING_STATUS=MR","EQY_CONSOLIDATED=Y","ACCOUNTING_STANDARD_OVERRIDE=MIXED","FA_ADJUSTED=GAAP","Sort=A","Dates=H","DateFormat=P","Fill=—","Direction=H","UseDPDF=Y")</f>
        <v>27.6937</v>
      </c>
      <c r="R17" s="18">
        <f>_xll.BDH("TCS IN Equity","PRETAX_INC_TO_NET_SALES","FY 2019","FY 2019","Currency=INR","Period=FY","BEST_FPERIOD_OVERRIDE=FY","FILING_STATUS=MR","EQY_CONSOLIDATED=Y","ACCOUNTING_STANDARD_OVERRIDE=MIXED","FA_ADJUSTED=GAAP","Sort=A","Dates=H","DateFormat=P","Fill=—","Direction=H","UseDPDF=Y")</f>
        <v>28.377800000000001</v>
      </c>
      <c r="S17" s="18">
        <f>_xll.BDH("TCS IN Equity","PRETAX_INC_TO_NET_SALES","FY 2020","FY 2020","Currency=INR","Period=FY","BEST_FPERIOD_OVERRIDE=FY","FILING_STATUS=MR","EQY_CONSOLIDATED=Y","ACCOUNTING_STANDARD_OVERRIDE=MIXED","FA_ADJUSTED=GAAP","Sort=A","Dates=H","DateFormat=P","Fill=—","Direction=H","UseDPDF=Y")</f>
        <v>26.918299999999999</v>
      </c>
      <c r="T17" s="18">
        <f>_xll.BDH("TCS IN Equity","PRETAX_INC_TO_NET_SALES","FY 2021","FY 2021","Currency=INR","Period=FY","BEST_FPERIOD_OVERRIDE=FY","FILING_STATUS=MR","EQY_CONSOLIDATED=Y","ACCOUNTING_STANDARD_OVERRIDE=MIXED","FA_ADJUSTED=GAAP","Sort=A","Dates=H","DateFormat=P","Fill=—","Direction=H","UseDPDF=Y")</f>
        <v>26.654199999999999</v>
      </c>
      <c r="U17" s="18">
        <f>_xll.BDH("TCS IN Equity","PRETAX_INC_TO_NET_SALES","FY 2022","FY 2022","Currency=INR","Period=FY","BEST_FPERIOD_OVERRIDE=FY","FILING_STATUS=MR","EQY_CONSOLIDATED=Y","ACCOUNTING_STANDARD_OVERRIDE=MIXED","FA_ADJUSTED=GAAP","Sort=A","Dates=H","DateFormat=P","Fill=—","Direction=H","UseDPDF=Y")</f>
        <v>26.954799999999999</v>
      </c>
      <c r="V17" s="18">
        <f>_xll.BDH("TCS IN Equity","PRETAX_INC_TO_NET_SALES","FY 2023","FY 2023","Currency=INR","Period=FY","BEST_FPERIOD_OVERRIDE=FY","FILING_STATUS=MR","EQY_CONSOLIDATED=Y","ACCOUNTING_STANDARD_OVERRIDE=MIXED","FA_ADJUSTED=GAAP","Sort=A","Dates=H","DateFormat=P","Fill=—","Direction=H","UseDPDF=Y")</f>
        <v>25.240600000000001</v>
      </c>
    </row>
    <row r="18" spans="1:22" ht="15" x14ac:dyDescent="0.25">
      <c r="A18" s="16" t="s">
        <v>64</v>
      </c>
      <c r="B18" s="16" t="s">
        <v>65</v>
      </c>
      <c r="C18" s="18">
        <f>_xll.BDH("TCS IN Equity","INC_BEF_XO_ITEMS_TO_NET_SALES","FY 2004","FY 2004","Currency=INR","Period=FY","BEST_FPERIOD_OVERRIDE=FY","FILING_STATUS=MR","EQY_CONSOLIDATED=Y","ACCOUNTING_STANDARD_OVERRIDE=MIXED","FA_ADJUSTED=GAAP","Sort=A","Dates=H","DateFormat=P","Fill=—","Direction=H","UseDPDF=Y")</f>
        <v>22.8141</v>
      </c>
      <c r="D18" s="18">
        <f>_xll.BDH("TCS IN Equity","INC_BEF_XO_ITEMS_TO_NET_SALES","FY 2005","FY 2005","Currency=INR","Period=FY","BEST_FPERIOD_OVERRIDE=FY","FILING_STATUS=MR","EQY_CONSOLIDATED=Y","ACCOUNTING_STANDARD_OVERRIDE=MIXED","FA_ADJUSTED=GAAP","Sort=A","Dates=H","DateFormat=P","Fill=—","Direction=H","UseDPDF=Y")</f>
        <v>20.551500000000001</v>
      </c>
      <c r="E18" s="18">
        <f>_xll.BDH("TCS IN Equity","INC_BEF_XO_ITEMS_TO_NET_SALES","FY 2006","FY 2006","Currency=INR","Period=FY","BEST_FPERIOD_OVERRIDE=FY","FILING_STATUS=MR","EQY_CONSOLIDATED=Y","ACCOUNTING_STANDARD_OVERRIDE=MIXED","FA_ADJUSTED=GAAP","Sort=A","Dates=H","DateFormat=P","Fill=—","Direction=H","UseDPDF=Y")</f>
        <v>22.1617</v>
      </c>
      <c r="F18" s="18">
        <f>_xll.BDH("TCS IN Equity","INC_BEF_XO_ITEMS_TO_NET_SALES","FY 2007","FY 2007","Currency=INR","Period=FY","BEST_FPERIOD_OVERRIDE=FY","FILING_STATUS=MR","EQY_CONSOLIDATED=Y","ACCOUNTING_STANDARD_OVERRIDE=MIXED","FA_ADJUSTED=GAAP","Sort=A","Dates=H","DateFormat=P","Fill=—","Direction=H","UseDPDF=Y")</f>
        <v>22.7742</v>
      </c>
      <c r="G18" s="18">
        <f>_xll.BDH("TCS IN Equity","INC_BEF_XO_ITEMS_TO_NET_SALES","FY 2008","FY 2008","Currency=INR","Period=FY","BEST_FPERIOD_OVERRIDE=FY","FILING_STATUS=MR","EQY_CONSOLIDATED=Y","ACCOUNTING_STANDARD_OVERRIDE=MIXED","FA_ADJUSTED=GAAP","Sort=A","Dates=H","DateFormat=P","Fill=—","Direction=H","UseDPDF=Y")</f>
        <v>22.372</v>
      </c>
      <c r="H18" s="18">
        <f>_xll.BDH("TCS IN Equity","INC_BEF_XO_ITEMS_TO_NET_SALES","FY 2009","FY 2009","Currency=INR","Period=FY","BEST_FPERIOD_OVERRIDE=FY","FILING_STATUS=MR","EQY_CONSOLIDATED=Y","ACCOUNTING_STANDARD_OVERRIDE=MIXED","FA_ADJUSTED=GAAP","Sort=A","Dates=H","DateFormat=P","Fill=—","Direction=H","UseDPDF=Y")</f>
        <v>19.093399999999999</v>
      </c>
      <c r="I18" s="18">
        <f>_xll.BDH("TCS IN Equity","INC_BEF_XO_ITEMS_TO_NET_SALES","FY 2010","FY 2010","Currency=INR","Period=FY","BEST_FPERIOD_OVERRIDE=FY","FILING_STATUS=MR","EQY_CONSOLIDATED=Y","ACCOUNTING_STANDARD_OVERRIDE=MIXED","FA_ADJUSTED=GAAP","Sort=A","Dates=H","DateFormat=P","Fill=—","Direction=H","UseDPDF=Y")</f>
        <v>23.616</v>
      </c>
      <c r="J18" s="18">
        <f>_xll.BDH("TCS IN Equity","INC_BEF_XO_ITEMS_TO_NET_SALES","FY 2011","FY 2011","Currency=INR","Period=FY","BEST_FPERIOD_OVERRIDE=FY","FILING_STATUS=MR","EQY_CONSOLIDATED=Y","ACCOUNTING_STANDARD_OVERRIDE=MIXED","FA_ADJUSTED=GAAP","Sort=A","Dates=H","DateFormat=P","Fill=—","Direction=H","UseDPDF=Y")</f>
        <v>24.6205</v>
      </c>
      <c r="K18" s="18">
        <f>_xll.BDH("TCS IN Equity","INC_BEF_XO_ITEMS_TO_NET_SALES","FY 2012","FY 2012","Currency=INR","Period=FY","BEST_FPERIOD_OVERRIDE=FY","FILING_STATUS=MR","EQY_CONSOLIDATED=Y","ACCOUNTING_STANDARD_OVERRIDE=MIXED","FA_ADJUSTED=GAAP","Sort=A","Dates=H","DateFormat=P","Fill=—","Direction=H","UseDPDF=Y")</f>
        <v>21.523099999999999</v>
      </c>
      <c r="L18" s="18">
        <f>_xll.BDH("TCS IN Equity","INC_BEF_XO_ITEMS_TO_NET_SALES","FY 2013","FY 2013","Currency=INR","Period=FY","BEST_FPERIOD_OVERRIDE=FY","FILING_STATUS=MR","EQY_CONSOLIDATED=Y","ACCOUNTING_STANDARD_OVERRIDE=MIXED","FA_ADJUSTED=GAAP","Sort=A","Dates=H","DateFormat=P","Fill=—","Direction=H","UseDPDF=Y")</f>
        <v>22.3461</v>
      </c>
      <c r="M18" s="18">
        <f>_xll.BDH("TCS IN Equity","INC_BEF_XO_ITEMS_TO_NET_SALES","FY 2014","FY 2014","Currency=INR","Period=FY","BEST_FPERIOD_OVERRIDE=FY","FILING_STATUS=MR","EQY_CONSOLIDATED=Y","ACCOUNTING_STANDARD_OVERRIDE=MIXED","FA_ADJUSTED=GAAP","Sort=A","Dates=H","DateFormat=P","Fill=—","Direction=H","UseDPDF=Y")</f>
        <v>23.622900000000001</v>
      </c>
      <c r="N18" s="18">
        <f>_xll.BDH("TCS IN Equity","INC_BEF_XO_ITEMS_TO_NET_SALES","FY 2015","FY 2015","Currency=INR","Period=FY","BEST_FPERIOD_OVERRIDE=FY","FILING_STATUS=MR","EQY_CONSOLIDATED=Y","ACCOUNTING_STANDARD_OVERRIDE=MIXED","FA_ADJUSTED=GAAP","Sort=A","Dates=H","DateFormat=P","Fill=—","Direction=H","UseDPDF=Y")</f>
        <v>21.193899999999999</v>
      </c>
      <c r="O18" s="18">
        <f>_xll.BDH("TCS IN Equity","INC_BEF_XO_ITEMS_TO_NET_SALES","FY 2016","FY 2016","Currency=INR","Period=FY","BEST_FPERIOD_OVERRIDE=FY","FILING_STATUS=MR","EQY_CONSOLIDATED=Y","ACCOUNTING_STANDARD_OVERRIDE=MIXED","FA_ADJUSTED=GAAP","Sort=A","Dates=H","DateFormat=P","Fill=—","Direction=H","UseDPDF=Y")</f>
        <v>22.401199999999999</v>
      </c>
      <c r="P18" s="18">
        <f>_xll.BDH("TCS IN Equity","INC_BEF_XO_ITEMS_TO_NET_SALES","FY 2017","FY 2017","Currency=INR","Period=FY","BEST_FPERIOD_OVERRIDE=FY","FILING_STATUS=MR","EQY_CONSOLIDATED=Y","ACCOUNTING_STANDARD_OVERRIDE=MIXED","FA_ADJUSTED=GAAP","Sort=A","Dates=H","DateFormat=P","Fill=—","Direction=H","UseDPDF=Y")</f>
        <v>22.3429</v>
      </c>
      <c r="Q18" s="18">
        <f>_xll.BDH("TCS IN Equity","INC_BEF_XO_ITEMS_TO_NET_SALES","FY 2018","FY 2018","Currency=INR","Period=FY","BEST_FPERIOD_OVERRIDE=FY","FILING_STATUS=MR","EQY_CONSOLIDATED=Y","ACCOUNTING_STANDARD_OVERRIDE=MIXED","FA_ADJUSTED=GAAP","Sort=A","Dates=H","DateFormat=P","Fill=—","Direction=H","UseDPDF=Y")</f>
        <v>21.0229</v>
      </c>
      <c r="R18" s="18">
        <f>_xll.BDH("TCS IN Equity","INC_BEF_XO_ITEMS_TO_NET_SALES","FY 2019","FY 2019","Currency=INR","Period=FY","BEST_FPERIOD_OVERRIDE=FY","FILING_STATUS=MR","EQY_CONSOLIDATED=Y","ACCOUNTING_STANDARD_OVERRIDE=MIXED","FA_ADJUSTED=GAAP","Sort=A","Dates=H","DateFormat=P","Fill=—","Direction=H","UseDPDF=Y")</f>
        <v>21.549499999999998</v>
      </c>
      <c r="S18" s="18">
        <f>_xll.BDH("TCS IN Equity","INC_BEF_XO_ITEMS_TO_NET_SALES","FY 2020","FY 2020","Currency=INR","Period=FY","BEST_FPERIOD_OVERRIDE=FY","FILING_STATUS=MR","EQY_CONSOLIDATED=Y","ACCOUNTING_STANDARD_OVERRIDE=MIXED","FA_ADJUSTED=GAAP","Sort=A","Dates=H","DateFormat=P","Fill=—","Direction=H","UseDPDF=Y")</f>
        <v>20.6736</v>
      </c>
      <c r="T18" s="18">
        <f>_xll.BDH("TCS IN Equity","INC_BEF_XO_ITEMS_TO_NET_SALES","FY 2021","FY 2021","Currency=INR","Period=FY","BEST_FPERIOD_OVERRIDE=FY","FILING_STATUS=MR","EQY_CONSOLIDATED=Y","ACCOUNTING_STANDARD_OVERRIDE=MIXED","FA_ADJUSTED=GAAP","Sort=A","Dates=H","DateFormat=P","Fill=—","Direction=H","UseDPDF=Y")</f>
        <v>19.833500000000001</v>
      </c>
      <c r="U18" s="18">
        <f>_xll.BDH("TCS IN Equity","INC_BEF_XO_ITEMS_TO_NET_SALES","FY 2022","FY 2022","Currency=INR","Period=FY","BEST_FPERIOD_OVERRIDE=FY","FILING_STATUS=MR","EQY_CONSOLIDATED=Y","ACCOUNTING_STANDARD_OVERRIDE=MIXED","FA_ADJUSTED=GAAP","Sort=A","Dates=H","DateFormat=P","Fill=—","Direction=H","UseDPDF=Y")</f>
        <v>20.051200000000001</v>
      </c>
      <c r="V18" s="18">
        <f>_xll.BDH("TCS IN Equity","INC_BEF_XO_ITEMS_TO_NET_SALES","FY 2023","FY 2023","Currency=INR","Period=FY","BEST_FPERIOD_OVERRIDE=FY","FILING_STATUS=MR","EQY_CONSOLIDATED=Y","ACCOUNTING_STANDARD_OVERRIDE=MIXED","FA_ADJUSTED=GAAP","Sort=A","Dates=H","DateFormat=P","Fill=—","Direction=H","UseDPDF=Y")</f>
        <v>18.763100000000001</v>
      </c>
    </row>
    <row r="19" spans="1:22" ht="15" x14ac:dyDescent="0.25">
      <c r="A19" s="16" t="s">
        <v>66</v>
      </c>
      <c r="B19" s="16" t="s">
        <v>67</v>
      </c>
      <c r="C19" s="18">
        <f>_xll.BDH("TCS IN Equity","PROF_MARGIN","FY 2004","FY 2004","Currency=INR","Period=FY","BEST_FPERIOD_OVERRIDE=FY","FILING_STATUS=MR","EQY_CONSOLIDATED=Y","ACCOUNTING_STANDARD_OVERRIDE=MIXED","FA_ADJUSTED=GAAP","Sort=A","Dates=H","DateFormat=P","Fill=—","Direction=H","UseDPDF=Y")</f>
        <v>22.638100000000001</v>
      </c>
      <c r="D19" s="18">
        <f>_xll.BDH("TCS IN Equity","PROF_MARGIN","FY 2005","FY 2005","Currency=INR","Period=FY","BEST_FPERIOD_OVERRIDE=FY","FILING_STATUS=MR","EQY_CONSOLIDATED=Y","ACCOUNTING_STANDARD_OVERRIDE=MIXED","FA_ADJUSTED=GAAP","Sort=A","Dates=H","DateFormat=P","Fill=—","Direction=H","UseDPDF=Y")</f>
        <v>20.457100000000001</v>
      </c>
      <c r="E19" s="18">
        <f>_xll.BDH("TCS IN Equity","PROF_MARGIN","FY 2006","FY 2006","Currency=INR","Period=FY","BEST_FPERIOD_OVERRIDE=FY","FILING_STATUS=MR","EQY_CONSOLIDATED=Y","ACCOUNTING_STANDARD_OVERRIDE=MIXED","FA_ADJUSTED=GAAP","Sort=A","Dates=H","DateFormat=P","Fill=—","Direction=H","UseDPDF=Y")</f>
        <v>22.386900000000001</v>
      </c>
      <c r="F19" s="18">
        <f>_xll.BDH("TCS IN Equity","PROF_MARGIN","FY 2007","FY 2007","Currency=INR","Period=FY","BEST_FPERIOD_OVERRIDE=FY","FILING_STATUS=MR","EQY_CONSOLIDATED=Y","ACCOUNTING_STANDARD_OVERRIDE=MIXED","FA_ADJUSTED=GAAP","Sort=A","Dates=H","DateFormat=P","Fill=—","Direction=H","UseDPDF=Y")</f>
        <v>22.545300000000001</v>
      </c>
      <c r="G19" s="18">
        <f>_xll.BDH("TCS IN Equity","PROF_MARGIN","FY 2008","FY 2008","Currency=INR","Period=FY","BEST_FPERIOD_OVERRIDE=FY","FILING_STATUS=MR","EQY_CONSOLIDATED=Y","ACCOUNTING_STANDARD_OVERRIDE=MIXED","FA_ADJUSTED=GAAP","Sort=A","Dates=H","DateFormat=P","Fill=—","Direction=H","UseDPDF=Y")</f>
        <v>22.219799999999999</v>
      </c>
      <c r="H19" s="18">
        <f>_xll.BDH("TCS IN Equity","PROF_MARGIN","FY 2009","FY 2009","Currency=INR","Period=FY","BEST_FPERIOD_OVERRIDE=FY","FILING_STATUS=MR","EQY_CONSOLIDATED=Y","ACCOUNTING_STANDARD_OVERRIDE=MIXED","FA_ADJUSTED=GAAP","Sort=A","Dates=H","DateFormat=P","Fill=—","Direction=H","UseDPDF=Y")</f>
        <v>18.8992</v>
      </c>
      <c r="I19" s="18">
        <f>_xll.BDH("TCS IN Equity","PROF_MARGIN","FY 2010","FY 2010","Currency=INR","Period=FY","BEST_FPERIOD_OVERRIDE=FY","FILING_STATUS=MR","EQY_CONSOLIDATED=Y","ACCOUNTING_STANDARD_OVERRIDE=MIXED","FA_ADJUSTED=GAAP","Sort=A","Dates=H","DateFormat=P","Fill=—","Direction=H","UseDPDF=Y")</f>
        <v>23.312999999999999</v>
      </c>
      <c r="J19" s="18">
        <f>_xll.BDH("TCS IN Equity","PROF_MARGIN","FY 2011","FY 2011","Currency=INR","Period=FY","BEST_FPERIOD_OVERRIDE=FY","FILING_STATUS=MR","EQY_CONSOLIDATED=Y","ACCOUNTING_STANDARD_OVERRIDE=MIXED","FA_ADJUSTED=GAAP","Sort=A","Dates=H","DateFormat=P","Fill=—","Direction=H","UseDPDF=Y")</f>
        <v>24.295100000000001</v>
      </c>
      <c r="K19" s="18">
        <f>_xll.BDH("TCS IN Equity","PROF_MARGIN","FY 2012","FY 2012","Currency=INR","Period=FY","BEST_FPERIOD_OVERRIDE=FY","FILING_STATUS=MR","EQY_CONSOLIDATED=Y","ACCOUNTING_STANDARD_OVERRIDE=MIXED","FA_ADJUSTED=GAAP","Sort=A","Dates=H","DateFormat=P","Fill=—","Direction=H","UseDPDF=Y")</f>
        <v>21.298200000000001</v>
      </c>
      <c r="L19" s="18">
        <f>_xll.BDH("TCS IN Equity","PROF_MARGIN","FY 2013","FY 2013","Currency=INR","Period=FY","BEST_FPERIOD_OVERRIDE=FY","FILING_STATUS=MR","EQY_CONSOLIDATED=Y","ACCOUNTING_STANDARD_OVERRIDE=MIXED","FA_ADJUSTED=GAAP","Sort=A","Dates=H","DateFormat=P","Fill=—","Direction=H","UseDPDF=Y")</f>
        <v>22.0947</v>
      </c>
      <c r="M19" s="18">
        <f>_xll.BDH("TCS IN Equity","PROF_MARGIN","FY 2014","FY 2014","Currency=INR","Period=FY","BEST_FPERIOD_OVERRIDE=FY","FILING_STATUS=MR","EQY_CONSOLIDATED=Y","ACCOUNTING_STANDARD_OVERRIDE=MIXED","FA_ADJUSTED=GAAP","Sort=A","Dates=H","DateFormat=P","Fill=—","Direction=H","UseDPDF=Y")</f>
        <v>23.3675</v>
      </c>
      <c r="N19" s="18">
        <f>_xll.BDH("TCS IN Equity","PROF_MARGIN","FY 2015","FY 2015","Currency=INR","Period=FY","BEST_FPERIOD_OVERRIDE=FY","FILING_STATUS=MR","EQY_CONSOLIDATED=Y","ACCOUNTING_STANDARD_OVERRIDE=MIXED","FA_ADJUSTED=GAAP","Sort=A","Dates=H","DateFormat=P","Fill=—","Direction=H","UseDPDF=Y")</f>
        <v>20.974699999999999</v>
      </c>
      <c r="O19" s="18">
        <f>_xll.BDH("TCS IN Equity","PROF_MARGIN","FY 2016","FY 2016","Currency=INR","Period=FY","BEST_FPERIOD_OVERRIDE=FY","FILING_STATUS=MR","EQY_CONSOLIDATED=Y","ACCOUNTING_STANDARD_OVERRIDE=MIXED","FA_ADJUSTED=GAAP","Sort=A","Dates=H","DateFormat=P","Fill=—","Direction=H","UseDPDF=Y")</f>
        <v>22.288</v>
      </c>
      <c r="P19" s="18">
        <f>_xll.BDH("TCS IN Equity","PROF_MARGIN","FY 2017","FY 2017","Currency=INR","Period=FY","BEST_FPERIOD_OVERRIDE=FY","FILING_STATUS=MR","EQY_CONSOLIDATED=Y","ACCOUNTING_STANDARD_OVERRIDE=MIXED","FA_ADJUSTED=GAAP","Sort=A","Dates=H","DateFormat=P","Fill=—","Direction=H","UseDPDF=Y")</f>
        <v>22.2852</v>
      </c>
      <c r="Q19" s="18">
        <f>_xll.BDH("TCS IN Equity","PROF_MARGIN","FY 2018","FY 2018","Currency=INR","Period=FY","BEST_FPERIOD_OVERRIDE=FY","FILING_STATUS=MR","EQY_CONSOLIDATED=Y","ACCOUNTING_STANDARD_OVERRIDE=MIXED","FA_ADJUSTED=GAAP","Sort=A","Dates=H","DateFormat=P","Fill=—","Direction=H","UseDPDF=Y")</f>
        <v>20.978999999999999</v>
      </c>
      <c r="R19" s="18">
        <f>_xll.BDH("TCS IN Equity","PROF_MARGIN","FY 2019","FY 2019","Currency=INR","Period=FY","BEST_FPERIOD_OVERRIDE=FY","FILING_STATUS=MR","EQY_CONSOLIDATED=Y","ACCOUNTING_STANDARD_OVERRIDE=MIXED","FA_ADJUSTED=GAAP","Sort=A","Dates=H","DateFormat=P","Fill=—","Direction=H","UseDPDF=Y")</f>
        <v>21.488</v>
      </c>
      <c r="S19" s="18">
        <f>_xll.BDH("TCS IN Equity","PROF_MARGIN","FY 2020","FY 2020","Currency=INR","Period=FY","BEST_FPERIOD_OVERRIDE=FY","FILING_STATUS=MR","EQY_CONSOLIDATED=Y","ACCOUNTING_STANDARD_OVERRIDE=MIXED","FA_ADJUSTED=GAAP","Sort=A","Dates=H","DateFormat=P","Fill=—","Direction=H","UseDPDF=Y")</f>
        <v>20.605399999999999</v>
      </c>
      <c r="T19" s="18">
        <f>_xll.BDH("TCS IN Equity","PROF_MARGIN","FY 2021","FY 2021","Currency=INR","Period=FY","BEST_FPERIOD_OVERRIDE=FY","FILING_STATUS=MR","EQY_CONSOLIDATED=Y","ACCOUNTING_STANDARD_OVERRIDE=MIXED","FA_ADJUSTED=GAAP","Sort=A","Dates=H","DateFormat=P","Fill=—","Direction=H","UseDPDF=Y")</f>
        <v>19.7531</v>
      </c>
      <c r="U19" s="18">
        <f>_xll.BDH("TCS IN Equity","PROF_MARGIN","FY 2022","FY 2022","Currency=INR","Period=FY","BEST_FPERIOD_OVERRIDE=FY","FILING_STATUS=MR","EQY_CONSOLIDATED=Y","ACCOUNTING_STANDARD_OVERRIDE=MIXED","FA_ADJUSTED=GAAP","Sort=A","Dates=H","DateFormat=P","Fill=—","Direction=H","UseDPDF=Y")</f>
        <v>19.9876</v>
      </c>
      <c r="V19" s="18">
        <f>_xll.BDH("TCS IN Equity","PROF_MARGIN","FY 2023","FY 2023","Currency=INR","Period=FY","BEST_FPERIOD_OVERRIDE=FY","FILING_STATUS=MR","EQY_CONSOLIDATED=Y","ACCOUNTING_STANDARD_OVERRIDE=MIXED","FA_ADJUSTED=GAAP","Sort=A","Dates=H","DateFormat=P","Fill=—","Direction=H","UseDPDF=Y")</f>
        <v>18.693899999999999</v>
      </c>
    </row>
    <row r="20" spans="1:22" ht="15" x14ac:dyDescent="0.25">
      <c r="A20" s="16" t="s">
        <v>68</v>
      </c>
      <c r="B20" s="16" t="s">
        <v>69</v>
      </c>
      <c r="C20" s="18">
        <f>_xll.BDH("TCS IN Equity","NET_INCOME_TO_COMMON_MARGIN","FY 2004","FY 2004","Currency=INR","Period=FY","BEST_FPERIOD_OVERRIDE=FY","FILING_STATUS=MR","EQY_CONSOLIDATED=Y","ACCOUNTING_STANDARD_OVERRIDE=MIXED","FA_ADJUSTED=GAAP","Sort=A","Dates=H","DateFormat=P","Fill=—","Direction=H","UseDPDF=Y")</f>
        <v>22.638100000000001</v>
      </c>
      <c r="D20" s="18">
        <f>_xll.BDH("TCS IN Equity","NET_INCOME_TO_COMMON_MARGIN","FY 2005","FY 2005","Currency=INR","Period=FY","BEST_FPERIOD_OVERRIDE=FY","FILING_STATUS=MR","EQY_CONSOLIDATED=Y","ACCOUNTING_STANDARD_OVERRIDE=MIXED","FA_ADJUSTED=GAAP","Sort=A","Dates=H","DateFormat=P","Fill=—","Direction=H","UseDPDF=Y")</f>
        <v>20.457100000000001</v>
      </c>
      <c r="E20" s="18">
        <f>_xll.BDH("TCS IN Equity","NET_INCOME_TO_COMMON_MARGIN","FY 2006","FY 2006","Currency=INR","Period=FY","BEST_FPERIOD_OVERRIDE=FY","FILING_STATUS=MR","EQY_CONSOLIDATED=Y","ACCOUNTING_STANDARD_OVERRIDE=MIXED","FA_ADJUSTED=GAAP","Sort=A","Dates=H","DateFormat=P","Fill=—","Direction=H","UseDPDF=Y")</f>
        <v>22.386900000000001</v>
      </c>
      <c r="F20" s="18">
        <f>_xll.BDH("TCS IN Equity","NET_INCOME_TO_COMMON_MARGIN","FY 2007","FY 2007","Currency=INR","Period=FY","BEST_FPERIOD_OVERRIDE=FY","FILING_STATUS=MR","EQY_CONSOLIDATED=Y","ACCOUNTING_STANDARD_OVERRIDE=MIXED","FA_ADJUSTED=GAAP","Sort=A","Dates=H","DateFormat=P","Fill=—","Direction=H","UseDPDF=Y")</f>
        <v>22.545300000000001</v>
      </c>
      <c r="G20" s="18">
        <f>_xll.BDH("TCS IN Equity","NET_INCOME_TO_COMMON_MARGIN","FY 2008","FY 2008","Currency=INR","Period=FY","BEST_FPERIOD_OVERRIDE=FY","FILING_STATUS=MR","EQY_CONSOLIDATED=Y","ACCOUNTING_STANDARD_OVERRIDE=MIXED","FA_ADJUSTED=GAAP","Sort=A","Dates=H","DateFormat=P","Fill=—","Direction=H","UseDPDF=Y")</f>
        <v>22.2195</v>
      </c>
      <c r="H20" s="18">
        <f>_xll.BDH("TCS IN Equity","NET_INCOME_TO_COMMON_MARGIN","FY 2009","FY 2009","Currency=INR","Period=FY","BEST_FPERIOD_OVERRIDE=FY","FILING_STATUS=MR","EQY_CONSOLIDATED=Y","ACCOUNTING_STANDARD_OVERRIDE=MIXED","FA_ADJUSTED=GAAP","Sort=A","Dates=H","DateFormat=P","Fill=—","Direction=H","UseDPDF=Y")</f>
        <v>18.869800000000001</v>
      </c>
      <c r="I20" s="18">
        <f>_xll.BDH("TCS IN Equity","NET_INCOME_TO_COMMON_MARGIN","FY 2010","FY 2010","Currency=INR","Period=FY","BEST_FPERIOD_OVERRIDE=FY","FILING_STATUS=MR","EQY_CONSOLIDATED=Y","ACCOUNTING_STANDARD_OVERRIDE=MIXED","FA_ADJUSTED=GAAP","Sort=A","Dates=H","DateFormat=P","Fill=—","Direction=H","UseDPDF=Y")</f>
        <v>23.247</v>
      </c>
      <c r="J20" s="18">
        <f>_xll.BDH("TCS IN Equity","NET_INCOME_TO_COMMON_MARGIN","FY 2011","FY 2011","Currency=INR","Period=FY","BEST_FPERIOD_OVERRIDE=FY","FILING_STATUS=MR","EQY_CONSOLIDATED=Y","ACCOUNTING_STANDARD_OVERRIDE=MIXED","FA_ADJUSTED=GAAP","Sort=A","Dates=H","DateFormat=P","Fill=—","Direction=H","UseDPDF=Y")</f>
        <v>24.260899999999999</v>
      </c>
      <c r="K20" s="18">
        <f>_xll.BDH("TCS IN Equity","NET_INCOME_TO_COMMON_MARGIN","FY 2012","FY 2012","Currency=INR","Period=FY","BEST_FPERIOD_OVERRIDE=FY","FILING_STATUS=MR","EQY_CONSOLIDATED=Y","ACCOUNTING_STANDARD_OVERRIDE=MIXED","FA_ADJUSTED=GAAP","Sort=A","Dates=H","DateFormat=P","Fill=—","Direction=H","UseDPDF=Y")</f>
        <v>21.245899999999999</v>
      </c>
      <c r="L20" s="18">
        <f>_xll.BDH("TCS IN Equity","NET_INCOME_TO_COMMON_MARGIN","FY 2013","FY 2013","Currency=INR","Period=FY","BEST_FPERIOD_OVERRIDE=FY","FILING_STATUS=MR","EQY_CONSOLIDATED=Y","ACCOUNTING_STANDARD_OVERRIDE=MIXED","FA_ADJUSTED=GAAP","Sort=A","Dates=H","DateFormat=P","Fill=—","Direction=H","UseDPDF=Y")</f>
        <v>22.0594</v>
      </c>
      <c r="M20" s="18">
        <f>_xll.BDH("TCS IN Equity","NET_INCOME_TO_COMMON_MARGIN","FY 2014","FY 2014","Currency=INR","Period=FY","BEST_FPERIOD_OVERRIDE=FY","FILING_STATUS=MR","EQY_CONSOLIDATED=Y","ACCOUNTING_STANDARD_OVERRIDE=MIXED","FA_ADJUSTED=GAAP","Sort=A","Dates=H","DateFormat=P","Fill=—","Direction=H","UseDPDF=Y")</f>
        <v>23.3675</v>
      </c>
      <c r="N20" s="18">
        <f>_xll.BDH("TCS IN Equity","NET_INCOME_TO_COMMON_MARGIN","FY 2015","FY 2015","Currency=INR","Period=FY","BEST_FPERIOD_OVERRIDE=FY","FILING_STATUS=MR","EQY_CONSOLIDATED=Y","ACCOUNTING_STANDARD_OVERRIDE=MIXED","FA_ADJUSTED=GAAP","Sort=A","Dates=H","DateFormat=P","Fill=—","Direction=H","UseDPDF=Y")</f>
        <v>20.974699999999999</v>
      </c>
      <c r="O20" s="18">
        <f>_xll.BDH("TCS IN Equity","NET_INCOME_TO_COMMON_MARGIN","FY 2016","FY 2016","Currency=INR","Period=FY","BEST_FPERIOD_OVERRIDE=FY","FILING_STATUS=MR","EQY_CONSOLIDATED=Y","ACCOUNTING_STANDARD_OVERRIDE=MIXED","FA_ADJUSTED=GAAP","Sort=A","Dates=H","DateFormat=P","Fill=—","Direction=H","UseDPDF=Y")</f>
        <v>22.288</v>
      </c>
      <c r="P20" s="18">
        <f>_xll.BDH("TCS IN Equity","NET_INCOME_TO_COMMON_MARGIN","FY 2017","FY 2017","Currency=INR","Period=FY","BEST_FPERIOD_OVERRIDE=FY","FILING_STATUS=MR","EQY_CONSOLIDATED=Y","ACCOUNTING_STANDARD_OVERRIDE=MIXED","FA_ADJUSTED=GAAP","Sort=A","Dates=H","DateFormat=P","Fill=—","Direction=H","UseDPDF=Y")</f>
        <v>22.2852</v>
      </c>
      <c r="Q20" s="18">
        <f>_xll.BDH("TCS IN Equity","NET_INCOME_TO_COMMON_MARGIN","FY 2018","FY 2018","Currency=INR","Period=FY","BEST_FPERIOD_OVERRIDE=FY","FILING_STATUS=MR","EQY_CONSOLIDATED=Y","ACCOUNTING_STANDARD_OVERRIDE=MIXED","FA_ADJUSTED=GAAP","Sort=A","Dates=H","DateFormat=P","Fill=—","Direction=H","UseDPDF=Y")</f>
        <v>20.978999999999999</v>
      </c>
      <c r="R20" s="18">
        <f>_xll.BDH("TCS IN Equity","NET_INCOME_TO_COMMON_MARGIN","FY 2019","FY 2019","Currency=INR","Period=FY","BEST_FPERIOD_OVERRIDE=FY","FILING_STATUS=MR","EQY_CONSOLIDATED=Y","ACCOUNTING_STANDARD_OVERRIDE=MIXED","FA_ADJUSTED=GAAP","Sort=A","Dates=H","DateFormat=P","Fill=—","Direction=H","UseDPDF=Y")</f>
        <v>21.488</v>
      </c>
      <c r="S20" s="18">
        <f>_xll.BDH("TCS IN Equity","NET_INCOME_TO_COMMON_MARGIN","FY 2020","FY 2020","Currency=INR","Period=FY","BEST_FPERIOD_OVERRIDE=FY","FILING_STATUS=MR","EQY_CONSOLIDATED=Y","ACCOUNTING_STANDARD_OVERRIDE=MIXED","FA_ADJUSTED=GAAP","Sort=A","Dates=H","DateFormat=P","Fill=—","Direction=H","UseDPDF=Y")</f>
        <v>20.605399999999999</v>
      </c>
      <c r="T20" s="18">
        <f>_xll.BDH("TCS IN Equity","NET_INCOME_TO_COMMON_MARGIN","FY 2021","FY 2021","Currency=INR","Period=FY","BEST_FPERIOD_OVERRIDE=FY","FILING_STATUS=MR","EQY_CONSOLIDATED=Y","ACCOUNTING_STANDARD_OVERRIDE=MIXED","FA_ADJUSTED=GAAP","Sort=A","Dates=H","DateFormat=P","Fill=—","Direction=H","UseDPDF=Y")</f>
        <v>19.7531</v>
      </c>
      <c r="U20" s="18">
        <f>_xll.BDH("TCS IN Equity","NET_INCOME_TO_COMMON_MARGIN","FY 2022","FY 2022","Currency=INR","Period=FY","BEST_FPERIOD_OVERRIDE=FY","FILING_STATUS=MR","EQY_CONSOLIDATED=Y","ACCOUNTING_STANDARD_OVERRIDE=MIXED","FA_ADJUSTED=GAAP","Sort=A","Dates=H","DateFormat=P","Fill=—","Direction=H","UseDPDF=Y")</f>
        <v>19.9876</v>
      </c>
      <c r="V20" s="18">
        <f>_xll.BDH("TCS IN Equity","NET_INCOME_TO_COMMON_MARGIN","FY 2023","FY 2023","Currency=INR","Period=FY","BEST_FPERIOD_OVERRIDE=FY","FILING_STATUS=MR","EQY_CONSOLIDATED=Y","ACCOUNTING_STANDARD_OVERRIDE=MIXED","FA_ADJUSTED=GAAP","Sort=A","Dates=H","DateFormat=P","Fill=—","Direction=H","UseDPDF=Y")</f>
        <v>18.693899999999999</v>
      </c>
    </row>
    <row r="21" spans="1:22" ht="15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5" x14ac:dyDescent="0.25">
      <c r="A22" s="12" t="s">
        <v>70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" x14ac:dyDescent="0.25">
      <c r="A23" s="16" t="s">
        <v>71</v>
      </c>
      <c r="B23" s="16" t="s">
        <v>72</v>
      </c>
      <c r="C23" s="18">
        <f>_xll.BDH("TCS IN Equity","EFF_TAX_RATE","FY 2004","FY 2004","Currency=INR","Period=FY","BEST_FPERIOD_OVERRIDE=FY","FILING_STATUS=MR","EQY_CONSOLIDATED=Y","ACCOUNTING_STANDARD_OVERRIDE=MIXED","FA_ADJUSTED=GAAP","Sort=A","Dates=H","DateFormat=P","Fill=—","Direction=H","UseDPDF=Y")</f>
        <v>15.1531</v>
      </c>
      <c r="D23" s="18">
        <f>_xll.BDH("TCS IN Equity","EFF_TAX_RATE","FY 2005","FY 2005","Currency=INR","Period=FY","BEST_FPERIOD_OVERRIDE=FY","FILING_STATUS=MR","EQY_CONSOLIDATED=Y","ACCOUNTING_STANDARD_OVERRIDE=MIXED","FA_ADJUSTED=GAAP","Sort=A","Dates=H","DateFormat=P","Fill=—","Direction=H","UseDPDF=Y")</f>
        <v>16.659199999999998</v>
      </c>
      <c r="E23" s="18">
        <f>_xll.BDH("TCS IN Equity","EFF_TAX_RATE","FY 2006","FY 2006","Currency=INR","Period=FY","BEST_FPERIOD_OVERRIDE=FY","FILING_STATUS=MR","EQY_CONSOLIDATED=Y","ACCOUNTING_STANDARD_OVERRIDE=MIXED","FA_ADJUSTED=GAAP","Sort=A","Dates=H","DateFormat=P","Fill=—","Direction=H","UseDPDF=Y")</f>
        <v>14.785299999999999</v>
      </c>
      <c r="F23" s="18">
        <f>_xll.BDH("TCS IN Equity","EFF_TAX_RATE","FY 2007","FY 2007","Currency=INR","Period=FY","BEST_FPERIOD_OVERRIDE=FY","FILING_STATUS=MR","EQY_CONSOLIDATED=Y","ACCOUNTING_STANDARD_OVERRIDE=MIXED","FA_ADJUSTED=GAAP","Sort=A","Dates=H","DateFormat=P","Fill=—","Direction=H","UseDPDF=Y")</f>
        <v>13.4969</v>
      </c>
      <c r="G23" s="18">
        <f>_xll.BDH("TCS IN Equity","EFF_TAX_RATE","FY 2008","FY 2008","Currency=INR","Period=FY","BEST_FPERIOD_OVERRIDE=FY","FILING_STATUS=MR","EQY_CONSOLIDATED=Y","ACCOUNTING_STANDARD_OVERRIDE=MIXED","FA_ADJUSTED=GAAP","Sort=A","Dates=H","DateFormat=P","Fill=—","Direction=H","UseDPDF=Y")</f>
        <v>13.4505</v>
      </c>
      <c r="H23" s="18">
        <f>_xll.BDH("TCS IN Equity","EFF_TAX_RATE","FY 2009","FY 2009","Currency=INR","Period=FY","BEST_FPERIOD_OVERRIDE=FY","FILING_STATUS=MR","EQY_CONSOLIDATED=Y","ACCOUNTING_STANDARD_OVERRIDE=MIXED","FA_ADJUSTED=GAAP","Sort=A","Dates=H","DateFormat=P","Fill=—","Direction=H","UseDPDF=Y")</f>
        <v>13.641299999999999</v>
      </c>
      <c r="I23" s="18">
        <f>_xll.BDH("TCS IN Equity","EFF_TAX_RATE","FY 2010","FY 2010","Currency=INR","Period=FY","BEST_FPERIOD_OVERRIDE=FY","FILING_STATUS=MR","EQY_CONSOLIDATED=Y","ACCOUNTING_STANDARD_OVERRIDE=MIXED","FA_ADJUSTED=GAAP","Sort=A","Dates=H","DateFormat=P","Fill=—","Direction=H","UseDPDF=Y")</f>
        <v>14.439399999999999</v>
      </c>
      <c r="J23" s="18">
        <f>_xll.BDH("TCS IN Equity","EFF_TAX_RATE","FY 2011","FY 2011","Currency=INR","Period=FY","BEST_FPERIOD_OVERRIDE=FY","FILING_STATUS=MR","EQY_CONSOLIDATED=Y","ACCOUNTING_STANDARD_OVERRIDE=MIXED","FA_ADJUSTED=GAAP","Sort=A","Dates=H","DateFormat=P","Fill=—","Direction=H","UseDPDF=Y")</f>
        <v>16.6128</v>
      </c>
      <c r="K23" s="18">
        <f>_xll.BDH("TCS IN Equity","EFF_TAX_RATE","FY 2012","FY 2012","Currency=INR","Period=FY","BEST_FPERIOD_OVERRIDE=FY","FILING_STATUS=MR","EQY_CONSOLIDATED=Y","ACCOUNTING_STANDARD_OVERRIDE=MIXED","FA_ADJUSTED=GAAP","Sort=A","Dates=H","DateFormat=P","Fill=—","Direction=H","UseDPDF=Y")</f>
        <v>24.418500000000002</v>
      </c>
      <c r="L23" s="18">
        <f>_xll.BDH("TCS IN Equity","EFF_TAX_RATE","FY 2013","FY 2013","Currency=INR","Period=FY","BEST_FPERIOD_OVERRIDE=FY","FILING_STATUS=MR","EQY_CONSOLIDATED=Y","ACCOUNTING_STANDARD_OVERRIDE=MIXED","FA_ADJUSTED=GAAP","Sort=A","Dates=H","DateFormat=P","Fill=—","Direction=H","UseDPDF=Y")</f>
        <v>22.189599999999999</v>
      </c>
      <c r="M23" s="18">
        <f>_xll.BDH("TCS IN Equity","EFF_TAX_RATE","FY 2014","FY 2014","Currency=INR","Period=FY","BEST_FPERIOD_OVERRIDE=FY","FILING_STATUS=MR","EQY_CONSOLIDATED=Y","ACCOUNTING_STANDARD_OVERRIDE=MIXED","FA_ADJUSTED=GAAP","Sort=A","Dates=H","DateFormat=P","Fill=—","Direction=H","UseDPDF=Y")</f>
        <v>23.9054</v>
      </c>
      <c r="N23" s="18">
        <f>_xll.BDH("TCS IN Equity","EFF_TAX_RATE","FY 2015","FY 2015","Currency=INR","Period=FY","BEST_FPERIOD_OVERRIDE=FY","FILING_STATUS=MR","EQY_CONSOLIDATED=Y","ACCOUNTING_STANDARD_OVERRIDE=MIXED","FA_ADJUSTED=GAAP","Sort=A","Dates=H","DateFormat=P","Fill=—","Direction=H","UseDPDF=Y")</f>
        <v>23.722999999999999</v>
      </c>
      <c r="O23" s="18">
        <f>_xll.BDH("TCS IN Equity","EFF_TAX_RATE","FY 2016","FY 2016","Currency=INR","Period=FY","BEST_FPERIOD_OVERRIDE=FY","FILING_STATUS=MR","EQY_CONSOLIDATED=Y","ACCOUNTING_STANDARD_OVERRIDE=MIXED","FA_ADJUSTED=GAAP","Sort=A","Dates=H","DateFormat=P","Fill=—","Direction=H","UseDPDF=Y")</f>
        <v>23.564</v>
      </c>
      <c r="P23" s="18">
        <f>_xll.BDH("TCS IN Equity","EFF_TAX_RATE","FY 2017","FY 2017","Currency=INR","Period=FY","BEST_FPERIOD_OVERRIDE=FY","FILING_STATUS=MR","EQY_CONSOLIDATED=Y","ACCOUNTING_STANDARD_OVERRIDE=MIXED","FA_ADJUSTED=GAAP","Sort=A","Dates=H","DateFormat=P","Fill=—","Direction=H","UseDPDF=Y")</f>
        <v>23.631699999999999</v>
      </c>
      <c r="Q23" s="18">
        <f>_xll.BDH("TCS IN Equity","EFF_TAX_RATE","FY 2018","FY 2018","Currency=INR","Period=FY","BEST_FPERIOD_OVERRIDE=FY","FILING_STATUS=MR","EQY_CONSOLIDATED=Y","ACCOUNTING_STANDARD_OVERRIDE=MIXED","FA_ADJUSTED=GAAP","Sort=A","Dates=H","DateFormat=P","Fill=—","Direction=H","UseDPDF=Y")</f>
        <v>24.087800000000001</v>
      </c>
      <c r="R23" s="18">
        <f>_xll.BDH("TCS IN Equity","EFF_TAX_RATE","FY 2019","FY 2019","Currency=INR","Period=FY","BEST_FPERIOD_OVERRIDE=FY","FILING_STATUS=MR","EQY_CONSOLIDATED=Y","ACCOUNTING_STANDARD_OVERRIDE=MIXED","FA_ADJUSTED=GAAP","Sort=A","Dates=H","DateFormat=P","Fill=—","Direction=H","UseDPDF=Y")</f>
        <v>24.0623</v>
      </c>
      <c r="S23" s="18">
        <f>_xll.BDH("TCS IN Equity","EFF_TAX_RATE","FY 2020","FY 2020","Currency=INR","Period=FY","BEST_FPERIOD_OVERRIDE=FY","FILING_STATUS=MR","EQY_CONSOLIDATED=Y","ACCOUNTING_STANDARD_OVERRIDE=MIXED","FA_ADJUSTED=GAAP","Sort=A","Dates=H","DateFormat=P","Fill=—","Direction=H","UseDPDF=Y")</f>
        <v>23.198699999999999</v>
      </c>
      <c r="T23" s="18">
        <f>_xll.BDH("TCS IN Equity","EFF_TAX_RATE","FY 2021","FY 2021","Currency=INR","Period=FY","BEST_FPERIOD_OVERRIDE=FY","FILING_STATUS=MR","EQY_CONSOLIDATED=Y","ACCOUNTING_STANDARD_OVERRIDE=MIXED","FA_ADJUSTED=GAAP","Sort=A","Dates=H","DateFormat=P","Fill=—","Direction=H","UseDPDF=Y")</f>
        <v>25.589600000000001</v>
      </c>
      <c r="U23" s="18">
        <f>_xll.BDH("TCS IN Equity","EFF_TAX_RATE","FY 2022","FY 2022","Currency=INR","Period=FY","BEST_FPERIOD_OVERRIDE=FY","FILING_STATUS=MR","EQY_CONSOLIDATED=Y","ACCOUNTING_STANDARD_OVERRIDE=MIXED","FA_ADJUSTED=GAAP","Sort=A","Dates=H","DateFormat=P","Fill=—","Direction=H","UseDPDF=Y")</f>
        <v>25.611899999999999</v>
      </c>
      <c r="V23" s="18">
        <f>_xll.BDH("TCS IN Equity","EFF_TAX_RATE","FY 2023","FY 2023","Currency=INR","Period=FY","BEST_FPERIOD_OVERRIDE=FY","FILING_STATUS=MR","EQY_CONSOLIDATED=Y","ACCOUNTING_STANDARD_OVERRIDE=MIXED","FA_ADJUSTED=GAAP","Sort=A","Dates=H","DateFormat=P","Fill=—","Direction=H","UseDPDF=Y")</f>
        <v>25.6629</v>
      </c>
    </row>
    <row r="24" spans="1:22" ht="15" x14ac:dyDescent="0.25">
      <c r="A24" s="16" t="s">
        <v>73</v>
      </c>
      <c r="B24" s="16" t="s">
        <v>74</v>
      </c>
      <c r="C24" s="18" t="str">
        <f>_xll.BDH("TCS IN Equity","DVD_PAYOUT_RATIO","FY 2004","FY 2004","Currency=INR","Period=FY","BEST_FPERIOD_OVERRIDE=FY","FILING_STATUS=MR","EQY_CONSOLIDATED=Y","ACCOUNTING_STANDARD_OVERRIDE=MIXED","FA_ADJUSTED=GAAP","Sort=A","Dates=H","DateFormat=P","Fill=—","Direction=H","UseDPDF=Y")</f>
        <v>—</v>
      </c>
      <c r="D24" s="18">
        <f>_xll.BDH("TCS IN Equity","DVD_PAYOUT_RATIO","FY 2005","FY 2005","Currency=INR","Period=FY","BEST_FPERIOD_OVERRIDE=FY","FILING_STATUS=MR","EQY_CONSOLIDATED=Y","ACCOUNTING_STANDARD_OVERRIDE=MIXED","FA_ADJUSTED=GAAP","Sort=A","Dates=H","DateFormat=P","Fill=—","Direction=H","UseDPDF=Y")</f>
        <v>27.929099999999998</v>
      </c>
      <c r="E24" s="18">
        <f>_xll.BDH("TCS IN Equity","DVD_PAYOUT_RATIO","FY 2006","FY 2006","Currency=INR","Period=FY","BEST_FPERIOD_OVERRIDE=FY","FILING_STATUS=MR","EQY_CONSOLIDATED=Y","ACCOUNTING_STANDARD_OVERRIDE=MIXED","FA_ADJUSTED=GAAP","Sort=A","Dates=H","DateFormat=P","Fill=—","Direction=H","UseDPDF=Y")</f>
        <v>21.986799999999999</v>
      </c>
      <c r="F24" s="18">
        <f>_xll.BDH("TCS IN Equity","DVD_PAYOUT_RATIO","FY 2007","FY 2007","Currency=INR","Period=FY","BEST_FPERIOD_OVERRIDE=FY","FILING_STATUS=MR","EQY_CONSOLIDATED=Y","ACCOUNTING_STANDARD_OVERRIDE=MIXED","FA_ADJUSTED=GAAP","Sort=A","Dates=H","DateFormat=P","Fill=—","Direction=H","UseDPDF=Y")</f>
        <v>30.199200000000001</v>
      </c>
      <c r="G24" s="18">
        <f>_xll.BDH("TCS IN Equity","DVD_PAYOUT_RATIO","FY 2008","FY 2008","Currency=INR","Period=FY","BEST_FPERIOD_OVERRIDE=FY","FILING_STATUS=MR","EQY_CONSOLIDATED=Y","ACCOUNTING_STANDARD_OVERRIDE=MIXED","FA_ADJUSTED=GAAP","Sort=A","Dates=H","DateFormat=P","Fill=—","Direction=H","UseDPDF=Y")</f>
        <v>27.259599999999999</v>
      </c>
      <c r="H24" s="18">
        <f>_xll.BDH("TCS IN Equity","DVD_PAYOUT_RATIO","FY 2009","FY 2009","Currency=INR","Period=FY","BEST_FPERIOD_OVERRIDE=FY","FILING_STATUS=MR","EQY_CONSOLIDATED=Y","ACCOUNTING_STANDARD_OVERRIDE=MIXED","FA_ADJUSTED=GAAP","Sort=A","Dates=H","DateFormat=P","Fill=—","Direction=H","UseDPDF=Y")</f>
        <v>26.105</v>
      </c>
      <c r="I24" s="18">
        <f>_xll.BDH("TCS IN Equity","DVD_PAYOUT_RATIO","FY 2010","FY 2010","Currency=INR","Period=FY","BEST_FPERIOD_OVERRIDE=FY","FILING_STATUS=MR","EQY_CONSOLIDATED=Y","ACCOUNTING_STANDARD_OVERRIDE=MIXED","FA_ADJUSTED=GAAP","Sort=A","Dates=H","DateFormat=P","Fill=—","Direction=H","UseDPDF=Y")</f>
        <v>56.074100000000001</v>
      </c>
      <c r="J24" s="18">
        <f>_xll.BDH("TCS IN Equity","DVD_PAYOUT_RATIO","FY 2011","FY 2011","Currency=INR","Period=FY","BEST_FPERIOD_OVERRIDE=FY","FILING_STATUS=MR","EQY_CONSOLIDATED=Y","ACCOUNTING_STANDARD_OVERRIDE=MIXED","FA_ADJUSTED=GAAP","Sort=A","Dates=H","DateFormat=P","Fill=—","Direction=H","UseDPDF=Y")</f>
        <v>30.259899999999998</v>
      </c>
      <c r="K24" s="18">
        <f>_xll.BDH("TCS IN Equity","DVD_PAYOUT_RATIO","FY 2012","FY 2012","Currency=INR","Period=FY","BEST_FPERIOD_OVERRIDE=FY","FILING_STATUS=MR","EQY_CONSOLIDATED=Y","ACCOUNTING_STANDARD_OVERRIDE=MIXED","FA_ADJUSTED=GAAP","Sort=A","Dates=H","DateFormat=P","Fill=—","Direction=H","UseDPDF=Y")</f>
        <v>62.176299999999998</v>
      </c>
      <c r="L24" s="18">
        <f>_xll.BDH("TCS IN Equity","DVD_PAYOUT_RATIO","FY 2013","FY 2013","Currency=INR","Period=FY","BEST_FPERIOD_OVERRIDE=FY","FILING_STATUS=MR","EQY_CONSOLIDATED=Y","ACCOUNTING_STANDARD_OVERRIDE=MIXED","FA_ADJUSTED=GAAP","Sort=A","Dates=H","DateFormat=P","Fill=—","Direction=H","UseDPDF=Y")</f>
        <v>30.988499999999998</v>
      </c>
      <c r="M24" s="18">
        <f>_xll.BDH("TCS IN Equity","DVD_PAYOUT_RATIO","FY 2014","FY 2014","Currency=INR","Period=FY","BEST_FPERIOD_OVERRIDE=FY","FILING_STATUS=MR","EQY_CONSOLIDATED=Y","ACCOUNTING_STANDARD_OVERRIDE=MIXED","FA_ADJUSTED=GAAP","Sort=A","Dates=H","DateFormat=P","Fill=—","Direction=H","UseDPDF=Y")</f>
        <v>32.787500000000001</v>
      </c>
      <c r="N24" s="18">
        <f>_xll.BDH("TCS IN Equity","DVD_PAYOUT_RATIO","FY 2015","FY 2015","Currency=INR","Period=FY","BEST_FPERIOD_OVERRIDE=FY","FILING_STATUS=MR","EQY_CONSOLIDATED=Y","ACCOUNTING_STANDARD_OVERRIDE=MIXED","FA_ADJUSTED=GAAP","Sort=A","Dates=H","DateFormat=P","Fill=—","Direction=H","UseDPDF=Y")</f>
        <v>77.945400000000006</v>
      </c>
      <c r="O24" s="18">
        <f>_xll.BDH("TCS IN Equity","DVD_PAYOUT_RATIO","FY 2016","FY 2016","Currency=INR","Period=FY","BEST_FPERIOD_OVERRIDE=FY","FILING_STATUS=MR","EQY_CONSOLIDATED=Y","ACCOUNTING_STANDARD_OVERRIDE=MIXED","FA_ADJUSTED=GAAP","Sort=A","Dates=H","DateFormat=P","Fill=—","Direction=H","UseDPDF=Y")</f>
        <v>35.396900000000002</v>
      </c>
      <c r="P24" s="18">
        <f>_xll.BDH("TCS IN Equity","DVD_PAYOUT_RATIO","FY 2017","FY 2017","Currency=INR","Period=FY","BEST_FPERIOD_OVERRIDE=FY","FILING_STATUS=MR","EQY_CONSOLIDATED=Y","ACCOUNTING_STANDARD_OVERRIDE=MIXED","FA_ADJUSTED=GAAP","Sort=A","Dates=H","DateFormat=P","Fill=—","Direction=H","UseDPDF=Y")</f>
        <v>35.227699999999999</v>
      </c>
      <c r="Q24" s="18">
        <f>_xll.BDH("TCS IN Equity","DVD_PAYOUT_RATIO","FY 2018","FY 2018","Currency=INR","Period=FY","BEST_FPERIOD_OVERRIDE=FY","FILING_STATUS=MR","EQY_CONSOLIDATED=Y","ACCOUNTING_STANDARD_OVERRIDE=MIXED","FA_ADJUSTED=GAAP","Sort=A","Dates=H","DateFormat=P","Fill=—","Direction=H","UseDPDF=Y")</f>
        <v>37.061199999999999</v>
      </c>
      <c r="R24" s="18">
        <f>_xll.BDH("TCS IN Equity","DVD_PAYOUT_RATIO","FY 2019","FY 2019","Currency=INR","Period=FY","BEST_FPERIOD_OVERRIDE=FY","FILING_STATUS=MR","EQY_CONSOLIDATED=Y","ACCOUNTING_STANDARD_OVERRIDE=MIXED","FA_ADJUSTED=GAAP","Sort=A","Dates=H","DateFormat=P","Fill=—","Direction=H","UseDPDF=Y")</f>
        <v>35.768799999999999</v>
      </c>
      <c r="S24" s="18">
        <f>_xll.BDH("TCS IN Equity","DVD_PAYOUT_RATIO","FY 2020","FY 2020","Currency=INR","Period=FY","BEST_FPERIOD_OVERRIDE=FY","FILING_STATUS=MR","EQY_CONSOLIDATED=Y","ACCOUNTING_STANDARD_OVERRIDE=MIXED","FA_ADJUSTED=GAAP","Sort=A","Dates=H","DateFormat=P","Fill=—","Direction=H","UseDPDF=Y")</f>
        <v>131.113</v>
      </c>
      <c r="T24" s="18">
        <f>_xll.BDH("TCS IN Equity","DVD_PAYOUT_RATIO","FY 2021","FY 2021","Currency=INR","Period=FY","BEST_FPERIOD_OVERRIDE=FY","FILING_STATUS=MR","EQY_CONSOLIDATED=Y","ACCOUNTING_STANDARD_OVERRIDE=MIXED","FA_ADJUSTED=GAAP","Sort=A","Dates=H","DateFormat=P","Fill=—","Direction=H","UseDPDF=Y")</f>
        <v>43.343800000000002</v>
      </c>
      <c r="U24" s="18">
        <f>_xll.BDH("TCS IN Equity","DVD_PAYOUT_RATIO","FY 2022","FY 2022","Currency=INR","Period=FY","BEST_FPERIOD_OVERRIDE=FY","FILING_STATUS=MR","EQY_CONSOLIDATED=Y","ACCOUNTING_STANDARD_OVERRIDE=MIXED","FA_ADJUSTED=GAAP","Sort=A","Dates=H","DateFormat=P","Fill=—","Direction=H","UseDPDF=Y")</f>
        <v>41.0518</v>
      </c>
      <c r="V24" s="18">
        <f>_xll.BDH("TCS IN Equity","DVD_PAYOUT_RATIO","FY 2023","FY 2023","Currency=INR","Period=FY","BEST_FPERIOD_OVERRIDE=FY","FILING_STATUS=MR","EQY_CONSOLIDATED=Y","ACCOUNTING_STANDARD_OVERRIDE=MIXED","FA_ADJUSTED=GAAP","Sort=A","Dates=H","DateFormat=P","Fill=—","Direction=H","UseDPDF=Y")</f>
        <v>158.0059</v>
      </c>
    </row>
    <row r="25" spans="1:22" ht="15" x14ac:dyDescent="0.25">
      <c r="A25" s="16" t="s">
        <v>75</v>
      </c>
      <c r="B25" s="16" t="s">
        <v>76</v>
      </c>
      <c r="C25" s="18" t="str">
        <f>_xll.BDH("TCS IN Equity","SUSTAIN_GROWTH_RT","FY 2004","FY 2004","Currency=INR","Period=FY","BEST_FPERIOD_OVERRIDE=FY","FILING_STATUS=MR","EQY_CONSOLIDATED=Y","ACCOUNTING_STANDARD_OVERRIDE=MIXED","FA_ADJUSTED=GAAP","Sort=A","Dates=H","DateFormat=P","Fill=—","Direction=H","UseDPDF=Y")</f>
        <v>—</v>
      </c>
      <c r="D25" s="18">
        <f>_xll.BDH("TCS IN Equity","SUSTAIN_GROWTH_RT","FY 2005","FY 2005","Currency=INR","Period=FY","BEST_FPERIOD_OVERRIDE=FY","FILING_STATUS=MR","EQY_CONSOLIDATED=Y","ACCOUNTING_STANDARD_OVERRIDE=MIXED","FA_ADJUSTED=GAAP","Sort=A","Dates=H","DateFormat=P","Fill=—","Direction=H","UseDPDF=Y")</f>
        <v>51.422400000000003</v>
      </c>
      <c r="E25" s="18">
        <f>_xll.BDH("TCS IN Equity","SUSTAIN_GROWTH_RT","FY 2006","FY 2006","Currency=INR","Period=FY","BEST_FPERIOD_OVERRIDE=FY","FILING_STATUS=MR","EQY_CONSOLIDATED=Y","ACCOUNTING_STANDARD_OVERRIDE=MIXED","FA_ADJUSTED=GAAP","Sort=A","Dates=H","DateFormat=P","Fill=—","Direction=H","UseDPDF=Y")</f>
        <v>49.710999999999999</v>
      </c>
      <c r="F25" s="18">
        <f>_xll.BDH("TCS IN Equity","SUSTAIN_GROWTH_RT","FY 2007","FY 2007","Currency=INR","Period=FY","BEST_FPERIOD_OVERRIDE=FY","FILING_STATUS=MR","EQY_CONSOLIDATED=Y","ACCOUNTING_STANDARD_OVERRIDE=MIXED","FA_ADJUSTED=GAAP","Sort=A","Dates=H","DateFormat=P","Fill=—","Direction=H","UseDPDF=Y")</f>
        <v>40.049199999999999</v>
      </c>
      <c r="G25" s="18">
        <f>_xll.BDH("TCS IN Equity","SUSTAIN_GROWTH_RT","FY 2008","FY 2008","Currency=INR","Period=FY","BEST_FPERIOD_OVERRIDE=FY","FILING_STATUS=MR","EQY_CONSOLIDATED=Y","ACCOUNTING_STANDARD_OVERRIDE=MIXED","FA_ADJUSTED=GAAP","Sort=A","Dates=H","DateFormat=P","Fill=—","Direction=H","UseDPDF=Y")</f>
        <v>34.734900000000003</v>
      </c>
      <c r="H25" s="18">
        <f>_xll.BDH("TCS IN Equity","SUSTAIN_GROWTH_RT","FY 2009","FY 2009","Currency=INR","Period=FY","BEST_FPERIOD_OVERRIDE=FY","FILING_STATUS=MR","EQY_CONSOLIDATED=Y","ACCOUNTING_STANDARD_OVERRIDE=MIXED","FA_ADJUSTED=GAAP","Sort=A","Dates=H","DateFormat=P","Fill=—","Direction=H","UseDPDF=Y")</f>
        <v>27.900400000000001</v>
      </c>
      <c r="I25" s="18">
        <f>_xll.BDH("TCS IN Equity","SUSTAIN_GROWTH_RT","FY 2010","FY 2010","Currency=INR","Period=FY","BEST_FPERIOD_OVERRIDE=FY","FILING_STATUS=MR","EQY_CONSOLIDATED=Y","ACCOUNTING_STANDARD_OVERRIDE=MIXED","FA_ADJUSTED=GAAP","Sort=A","Dates=H","DateFormat=P","Fill=—","Direction=H","UseDPDF=Y")</f>
        <v>18.055299999999999</v>
      </c>
      <c r="J25" s="18">
        <f>_xll.BDH("TCS IN Equity","SUSTAIN_GROWTH_RT","FY 2011","FY 2011","Currency=INR","Period=FY","BEST_FPERIOD_OVERRIDE=FY","FILING_STATUS=MR","EQY_CONSOLIDATED=Y","ACCOUNTING_STANDARD_OVERRIDE=MIXED","FA_ADJUSTED=GAAP","Sort=A","Dates=H","DateFormat=P","Fill=—","Direction=H","UseDPDF=Y")</f>
        <v>29.529699999999998</v>
      </c>
      <c r="K25" s="18">
        <f>_xll.BDH("TCS IN Equity","SUSTAIN_GROWTH_RT","FY 2012","FY 2012","Currency=INR","Period=FY","BEST_FPERIOD_OVERRIDE=FY","FILING_STATUS=MR","EQY_CONSOLIDATED=Y","ACCOUNTING_STANDARD_OVERRIDE=MIXED","FA_ADJUSTED=GAAP","Sort=A","Dates=H","DateFormat=P","Fill=—","Direction=H","UseDPDF=Y")</f>
        <v>14.583500000000001</v>
      </c>
      <c r="L25" s="18">
        <f>_xll.BDH("TCS IN Equity","SUSTAIN_GROWTH_RT","FY 2013","FY 2013","Currency=INR","Period=FY","BEST_FPERIOD_OVERRIDE=FY","FILING_STATUS=MR","EQY_CONSOLIDATED=Y","ACCOUNTING_STANDARD_OVERRIDE=MIXED","FA_ADJUSTED=GAAP","Sort=A","Dates=H","DateFormat=P","Fill=—","Direction=H","UseDPDF=Y")</f>
        <v>28.193200000000001</v>
      </c>
      <c r="M25" s="18">
        <f>_xll.BDH("TCS IN Equity","SUSTAIN_GROWTH_RT","FY 2014","FY 2014","Currency=INR","Period=FY","BEST_FPERIOD_OVERRIDE=FY","FILING_STATUS=MR","EQY_CONSOLIDATED=Y","ACCOUNTING_STANDARD_OVERRIDE=MIXED","FA_ADJUSTED=GAAP","Sort=A","Dates=H","DateFormat=P","Fill=—","Direction=H","UseDPDF=Y")</f>
        <v>27.372699999999998</v>
      </c>
      <c r="N25" s="18">
        <f>_xll.BDH("TCS IN Equity","SUSTAIN_GROWTH_RT","FY 2015","FY 2015","Currency=INR","Period=FY","BEST_FPERIOD_OVERRIDE=FY","FILING_STATUS=MR","EQY_CONSOLIDATED=Y","ACCOUNTING_STANDARD_OVERRIDE=MIXED","FA_ADJUSTED=GAAP","Sort=A","Dates=H","DateFormat=P","Fill=—","Direction=H","UseDPDF=Y")</f>
        <v>8.2632999999999992</v>
      </c>
      <c r="O25" s="18">
        <f>_xll.BDH("TCS IN Equity","SUSTAIN_GROWTH_RT","FY 2016","FY 2016","Currency=INR","Period=FY","BEST_FPERIOD_OVERRIDE=FY","FILING_STATUS=MR","EQY_CONSOLIDATED=Y","ACCOUNTING_STANDARD_OVERRIDE=MIXED","FA_ADJUSTED=GAAP","Sort=A","Dates=H","DateFormat=P","Fill=—","Direction=H","UseDPDF=Y")</f>
        <v>25.267600000000002</v>
      </c>
      <c r="P25" s="18">
        <f>_xll.BDH("TCS IN Equity","SUSTAIN_GROWTH_RT","FY 2017","FY 2017","Currency=INR","Period=FY","BEST_FPERIOD_OVERRIDE=FY","FILING_STATUS=MR","EQY_CONSOLIDATED=Y","ACCOUNTING_STANDARD_OVERRIDE=MIXED","FA_ADJUSTED=GAAP","Sort=A","Dates=H","DateFormat=P","Fill=—","Direction=H","UseDPDF=Y")</f>
        <v>21.0868</v>
      </c>
      <c r="Q25" s="18">
        <f>_xll.BDH("TCS IN Equity","SUSTAIN_GROWTH_RT","FY 2018","FY 2018","Currency=INR","Period=FY","BEST_FPERIOD_OVERRIDE=FY","FILING_STATUS=MR","EQY_CONSOLIDATED=Y","ACCOUNTING_STANDARD_OVERRIDE=MIXED","FA_ADJUSTED=GAAP","Sort=A","Dates=H","DateFormat=P","Fill=—","Direction=H","UseDPDF=Y")</f>
        <v>18.517800000000001</v>
      </c>
      <c r="R25" s="18">
        <f>_xll.BDH("TCS IN Equity","SUSTAIN_GROWTH_RT","FY 2019","FY 2019","Currency=INR","Period=FY","BEST_FPERIOD_OVERRIDE=FY","FILING_STATUS=MR","EQY_CONSOLIDATED=Y","ACCOUNTING_STANDARD_OVERRIDE=MIXED","FA_ADJUSTED=GAAP","Sort=A","Dates=H","DateFormat=P","Fill=—","Direction=H","UseDPDF=Y")</f>
        <v>22.612100000000002</v>
      </c>
      <c r="S25" s="18">
        <f>_xll.BDH("TCS IN Equity","SUSTAIN_GROWTH_RT","FY 2020","FY 2020","Currency=INR","Period=FY","BEST_FPERIOD_OVERRIDE=FY","FILING_STATUS=MR","EQY_CONSOLIDATED=Y","ACCOUNTING_STANDARD_OVERRIDE=MIXED","FA_ADJUSTED=GAAP","Sort=A","Dates=H","DateFormat=P","Fill=—","Direction=H","UseDPDF=Y")</f>
        <v>-11.454700000000001</v>
      </c>
      <c r="T25" s="18">
        <f>_xll.BDH("TCS IN Equity","SUSTAIN_GROWTH_RT","FY 2021","FY 2021","Currency=INR","Period=FY","BEST_FPERIOD_OVERRIDE=FY","FILING_STATUS=MR","EQY_CONSOLIDATED=Y","ACCOUNTING_STANDARD_OVERRIDE=MIXED","FA_ADJUSTED=GAAP","Sort=A","Dates=H","DateFormat=P","Fill=—","Direction=H","UseDPDF=Y")</f>
        <v>21.2804</v>
      </c>
      <c r="U25" s="18">
        <f>_xll.BDH("TCS IN Equity","SUSTAIN_GROWTH_RT","FY 2022","FY 2022","Currency=INR","Period=FY","BEST_FPERIOD_OVERRIDE=FY","FILING_STATUS=MR","EQY_CONSOLIDATED=Y","ACCOUNTING_STANDARD_OVERRIDE=MIXED","FA_ADJUSTED=GAAP","Sort=A","Dates=H","DateFormat=P","Fill=—","Direction=H","UseDPDF=Y")</f>
        <v>25.429200000000002</v>
      </c>
      <c r="V25" s="18">
        <f>_xll.BDH("TCS IN Equity","SUSTAIN_GROWTH_RT","FY 2023","FY 2023","Currency=INR","Period=FY","BEST_FPERIOD_OVERRIDE=FY","FILING_STATUS=MR","EQY_CONSOLIDATED=Y","ACCOUNTING_STANDARD_OVERRIDE=MIXED","FA_ADJUSTED=GAAP","Sort=A","Dates=H","DateFormat=P","Fill=—","Direction=H","UseDPDF=Y")</f>
        <v>-26.912800000000001</v>
      </c>
    </row>
    <row r="26" spans="1:22" ht="15" x14ac:dyDescent="0.25">
      <c r="A26" s="13" t="s">
        <v>77</v>
      </c>
      <c r="B26" s="13"/>
      <c r="C26" s="13" t="s"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9B2F-180D-4C65-9310-650ECB7B697B}">
  <dimension ref="A1:V25"/>
  <sheetViews>
    <sheetView workbookViewId="0">
      <selection activeCell="E30" sqref="E30"/>
    </sheetView>
  </sheetViews>
  <sheetFormatPr defaultRowHeight="15" x14ac:dyDescent="0.25"/>
  <cols>
    <col min="1" max="1" width="35.140625" customWidth="1"/>
    <col min="2" max="2" width="0" hidden="1" customWidth="1"/>
    <col min="3" max="22" width="11.85546875" customWidth="1"/>
  </cols>
  <sheetData>
    <row r="1" spans="1:2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113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6" t="s">
        <v>3</v>
      </c>
      <c r="B4" s="6"/>
      <c r="C4" s="5" t="s">
        <v>4</v>
      </c>
      <c r="D4" s="5" t="s">
        <v>1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</row>
    <row r="5" spans="1:22" x14ac:dyDescent="0.25">
      <c r="A5" s="15" t="s">
        <v>23</v>
      </c>
      <c r="B5" s="15"/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4" t="s">
        <v>43</v>
      </c>
    </row>
    <row r="6" spans="1:22" x14ac:dyDescent="0.25">
      <c r="A6" s="1" t="s">
        <v>44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3" t="s">
        <v>45</v>
      </c>
      <c r="B7" s="3" t="s">
        <v>46</v>
      </c>
      <c r="C7" s="18">
        <f>_xll.BDH("TATA IN Equity","RETURN_COM_EQY","FY 2004","FY 2004","Currency=INR","Period=FY","BEST_FPERIOD_OVERRIDE=FY","FILING_STATUS=MR","EQY_CONSOLIDATED=Y","FA_ADJUSTED=GAAP","Sort=A","Dates=H","DateFormat=P","Fill=—","Direction=H","UseDPDF=Y")</f>
        <v>44.994599999999998</v>
      </c>
      <c r="D7" s="18">
        <f>_xll.BDH("TATA IN Equity","RETURN_COM_EQY","FY 2005","FY 2005","Currency=INR","Period=FY","BEST_FPERIOD_OVERRIDE=FY","FILING_STATUS=MR","EQY_CONSOLIDATED=Y","FA_ADJUSTED=GAAP","Sort=A","Dates=H","DateFormat=P","Fill=—","Direction=H","UseDPDF=Y")</f>
        <v>60.0852</v>
      </c>
      <c r="E7" s="18">
        <f>_xll.BDH("TATA IN Equity","RETURN_COM_EQY","FY 2006","FY 2006","Currency=INR","Period=FY","BEST_FPERIOD_OVERRIDE=FY","FILING_STATUS=MR","EQY_CONSOLIDATED=Y","FA_ADJUSTED=GAAP","Sort=A","Dates=H","DateFormat=P","Fill=—","Direction=H","UseDPDF=Y")</f>
        <v>42.393099999999997</v>
      </c>
      <c r="F7" s="18">
        <f>_xll.BDH("TATA IN Equity","RETURN_COM_EQY","FY 2007","FY 2007","Currency=INR","Period=FY","BEST_FPERIOD_OVERRIDE=FY","FILING_STATUS=MR","EQY_CONSOLIDATED=Y","FA_ADJUSTED=GAAP","Sort=A","Dates=H","DateFormat=P","Fill=—","Direction=H","UseDPDF=Y")</f>
        <v>33.546900000000001</v>
      </c>
      <c r="G7" s="18">
        <f>_xll.BDH("TATA IN Equity","RETURN_COM_EQY","FY 2008","FY 2008","Currency=INR","Period=FY","BEST_FPERIOD_OVERRIDE=FY","FILING_STATUS=MR","EQY_CONSOLIDATED=Y","FA_ADJUSTED=GAAP","Sort=A","Dates=H","DateFormat=P","Fill=—","Direction=H","UseDPDF=Y")</f>
        <v>56.887500000000003</v>
      </c>
      <c r="H7" s="18">
        <f>_xll.BDH("TATA IN Equity","RETURN_COM_EQY","FY 2009","FY 2009","Currency=INR","Period=FY","BEST_FPERIOD_OVERRIDE=FY","FILING_STATUS=MR","EQY_CONSOLIDATED=Y","FA_ADJUSTED=GAAP","Sort=A","Dates=H","DateFormat=P","Fill=—","Direction=H","UseDPDF=Y")</f>
        <v>17.152899999999999</v>
      </c>
      <c r="I7" s="18">
        <f>_xll.BDH("TATA IN Equity","RETURN_COM_EQY","FY 2010","FY 2010","Currency=INR","Period=FY","BEST_FPERIOD_OVERRIDE=FY","FILING_STATUS=MR","EQY_CONSOLIDATED=Y","FA_ADJUSTED=GAAP","Sort=A","Dates=H","DateFormat=P","Fill=—","Direction=H","UseDPDF=Y")</f>
        <v>-8.1288999999999998</v>
      </c>
      <c r="J7" s="18">
        <f>_xll.BDH("TATA IN Equity","RETURN_COM_EQY","FY 2011","FY 2011","Currency=INR","Period=FY","BEST_FPERIOD_OVERRIDE=FY","FILING_STATUS=MR","EQY_CONSOLIDATED=Y","FA_ADJUSTED=GAAP","Sort=A","Dates=H","DateFormat=P","Fill=—","Direction=H","UseDPDF=Y")</f>
        <v>30.7559</v>
      </c>
      <c r="K7" s="18">
        <f>_xll.BDH("TATA IN Equity","RETURN_COM_EQY","FY 2012","FY 2012","Currency=INR","Period=FY","BEST_FPERIOD_OVERRIDE=FY","FILING_STATUS=MR","EQY_CONSOLIDATED=Y","FA_ADJUSTED=GAAP","Sort=A","Dates=H","DateFormat=P","Fill=—","Direction=H","UseDPDF=Y")</f>
        <v>13.7819</v>
      </c>
      <c r="L7" s="18">
        <f>_xll.BDH("TATA IN Equity","RETURN_COM_EQY","FY 2013","FY 2013","Currency=INR","Period=FY","BEST_FPERIOD_OVERRIDE=FY","FILING_STATUS=MR","EQY_CONSOLIDATED=Y","FA_ADJUSTED=GAAP","Sort=A","Dates=H","DateFormat=P","Fill=—","Direction=H","UseDPDF=Y")</f>
        <v>-18.377800000000001</v>
      </c>
      <c r="M7" s="18">
        <f>_xll.BDH("TATA IN Equity","RETURN_COM_EQY","FY 2014","FY 2014","Currency=INR","Period=FY","BEST_FPERIOD_OVERRIDE=FY","FILING_STATUS=MR","EQY_CONSOLIDATED=Y","FA_ADJUSTED=GAAP","Sort=A","Dates=H","DateFormat=P","Fill=—","Direction=H","UseDPDF=Y")</f>
        <v>9.6242999999999999</v>
      </c>
      <c r="N7" s="18">
        <f>_xll.BDH("TATA IN Equity","RETURN_COM_EQY","FY 2015","FY 2015","Currency=INR","Period=FY","BEST_FPERIOD_OVERRIDE=FY","FILING_STATUS=MR","EQY_CONSOLIDATED=Y","FA_ADJUSTED=GAAP","Sort=A","Dates=H","DateFormat=P","Fill=—","Direction=H","UseDPDF=Y")</f>
        <v>-10.6082</v>
      </c>
      <c r="O7" s="18">
        <f>_xll.BDH("TATA IN Equity","RETURN_COM_EQY","FY 2016","FY 2016","Currency=INR","Period=FY","BEST_FPERIOD_OVERRIDE=FY","FILING_STATUS=MR","EQY_CONSOLIDATED=Y","FA_ADJUSTED=GAAP","Sort=A","Dates=H","DateFormat=P","Fill=—","Direction=H","UseDPDF=Y")</f>
        <v>-1.4423999999999999</v>
      </c>
      <c r="P7" s="18">
        <f>_xll.BDH("TATA IN Equity","RETURN_COM_EQY","FY 2017","FY 2017","Currency=INR","Period=FY","BEST_FPERIOD_OVERRIDE=FY","FILING_STATUS=MR","EQY_CONSOLIDATED=Y","FA_ADJUSTED=GAAP","Sort=A","Dates=H","DateFormat=P","Fill=—","Direction=H","UseDPDF=Y")</f>
        <v>-10.827</v>
      </c>
      <c r="Q7" s="18">
        <f>_xll.BDH("TATA IN Equity","RETURN_COM_EQY","FY 2018","FY 2018","Currency=INR","Period=FY","BEST_FPERIOD_OVERRIDE=FY","FILING_STATUS=MR","EQY_CONSOLIDATED=Y","FA_ADJUSTED=GAAP","Sort=A","Dates=H","DateFormat=P","Fill=—","Direction=H","UseDPDF=Y")</f>
        <v>27.265799999999999</v>
      </c>
      <c r="R7" s="18">
        <f>_xll.BDH("TATA IN Equity","RETURN_COM_EQY","FY 2019","FY 2019","Currency=INR","Period=FY","BEST_FPERIOD_OVERRIDE=FY","FILING_STATUS=MR","EQY_CONSOLIDATED=Y","FA_ADJUSTED=GAAP","Sort=A","Dates=H","DateFormat=P","Fill=—","Direction=H","UseDPDF=Y")</f>
        <v>15.708500000000001</v>
      </c>
      <c r="S7" s="18">
        <f>_xll.BDH("TATA IN Equity","RETURN_COM_EQY","FY 2020","FY 2020","Currency=INR","Period=FY","BEST_FPERIOD_OVERRIDE=FY","FILING_STATUS=MR","EQY_CONSOLIDATED=Y","FA_ADJUSTED=GAAP","Sort=A","Dates=H","DateFormat=P","Fill=—","Direction=H","UseDPDF=Y")</f>
        <v>2.1846000000000001</v>
      </c>
      <c r="T7" s="18">
        <f>_xll.BDH("TATA IN Equity","RETURN_COM_EQY","FY 2021","FY 2021","Currency=INR","Period=FY","BEST_FPERIOD_OVERRIDE=FY","FILING_STATUS=MR","EQY_CONSOLIDATED=Y","FA_ADJUSTED=GAAP","Sort=A","Dates=H","DateFormat=P","Fill=—","Direction=H","UseDPDF=Y")</f>
        <v>10.134600000000001</v>
      </c>
      <c r="U7" s="18">
        <f>_xll.BDH("TATA IN Equity","RETURN_COM_EQY","FY 2022","FY 2022","Currency=INR","Period=FY","BEST_FPERIOD_OVERRIDE=FY","FILING_STATUS=MR","EQY_CONSOLIDATED=Y","FA_ADJUSTED=GAAP","Sort=A","Dates=H","DateFormat=P","Fill=—","Direction=H","UseDPDF=Y")</f>
        <v>42.562600000000003</v>
      </c>
      <c r="V7" s="18">
        <f>_xll.BDH("TATA IN Equity","RETURN_COM_EQY","FY 2023","FY 2023","Currency=INR","Period=FY","BEST_FPERIOD_OVERRIDE=FY","FILING_STATUS=MR","EQY_CONSOLIDATED=Y","FA_ADJUSTED=GAAP","Sort=A","Dates=H","DateFormat=P","Fill=—","Direction=H","UseDPDF=Y")</f>
        <v>8.0546000000000006</v>
      </c>
    </row>
    <row r="8" spans="1:22" x14ac:dyDescent="0.25">
      <c r="A8" s="3" t="s">
        <v>47</v>
      </c>
      <c r="B8" s="3" t="s">
        <v>48</v>
      </c>
      <c r="C8" s="18">
        <f>_xll.BDH("TATA IN Equity","RETURN_ON_ASSET","FY 2004","FY 2004","Currency=INR","Period=FY","BEST_FPERIOD_OVERRIDE=FY","FILING_STATUS=MR","EQY_CONSOLIDATED=Y","FA_ADJUSTED=GAAP","Sort=A","Dates=H","DateFormat=P","Fill=—","Direction=H","UseDPDF=Y")</f>
        <v>12.9815</v>
      </c>
      <c r="D8" s="18">
        <f>_xll.BDH("TATA IN Equity","RETURN_ON_ASSET","FY 2005","FY 2005","Currency=INR","Period=FY","BEST_FPERIOD_OVERRIDE=FY","FILING_STATUS=MR","EQY_CONSOLIDATED=Y","FA_ADJUSTED=GAAP","Sort=A","Dates=H","DateFormat=P","Fill=—","Direction=H","UseDPDF=Y")</f>
        <v>22.1724</v>
      </c>
      <c r="E8" s="18">
        <f>_xll.BDH("TATA IN Equity","RETURN_ON_ASSET","FY 2006","FY 2006","Currency=INR","Period=FY","BEST_FPERIOD_OVERRIDE=FY","FILING_STATUS=MR","EQY_CONSOLIDATED=Y","FA_ADJUSTED=GAAP","Sort=A","Dates=H","DateFormat=P","Fill=—","Direction=H","UseDPDF=Y")</f>
        <v>19.528300000000002</v>
      </c>
      <c r="F8" s="18">
        <f>_xll.BDH("TATA IN Equity","RETURN_ON_ASSET","FY 2007","FY 2007","Currency=INR","Period=FY","BEST_FPERIOD_OVERRIDE=FY","FILING_STATUS=MR","EQY_CONSOLIDATED=Y","FA_ADJUSTED=GAAP","Sort=A","Dates=H","DateFormat=P","Fill=—","Direction=H","UseDPDF=Y")</f>
        <v>11.911799999999999</v>
      </c>
      <c r="G8" s="18">
        <f>_xll.BDH("TATA IN Equity","RETURN_ON_ASSET","FY 2008","FY 2008","Currency=INR","Period=FY","BEST_FPERIOD_OVERRIDE=FY","FILING_STATUS=MR","EQY_CONSOLIDATED=Y","FA_ADJUSTED=GAAP","Sort=A","Dates=H","DateFormat=P","Fill=—","Direction=H","UseDPDF=Y")</f>
        <v>14.150399999999999</v>
      </c>
      <c r="H8" s="18">
        <f>_xll.BDH("TATA IN Equity","RETURN_ON_ASSET","FY 2009","FY 2009","Currency=INR","Period=FY","BEST_FPERIOD_OVERRIDE=FY","FILING_STATUS=MR","EQY_CONSOLIDATED=Y","FA_ADJUSTED=GAAP","Sort=A","Dates=H","DateFormat=P","Fill=—","Direction=H","UseDPDF=Y")</f>
        <v>4.0159000000000002</v>
      </c>
      <c r="I8" s="18">
        <f>_xll.BDH("TATA IN Equity","RETURN_ON_ASSET","FY 2010","FY 2010","Currency=INR","Period=FY","BEST_FPERIOD_OVERRIDE=FY","FILING_STATUS=MR","EQY_CONSOLIDATED=Y","FA_ADJUSTED=GAAP","Sort=A","Dates=H","DateFormat=P","Fill=—","Direction=H","UseDPDF=Y")</f>
        <v>-1.7366999999999999</v>
      </c>
      <c r="J8" s="18">
        <f>_xll.BDH("TATA IN Equity","RETURN_ON_ASSET","FY 2011","FY 2011","Currency=INR","Period=FY","BEST_FPERIOD_OVERRIDE=FY","FILING_STATUS=MR","EQY_CONSOLIDATED=Y","FA_ADJUSTED=GAAP","Sort=A","Dates=H","DateFormat=P","Fill=—","Direction=H","UseDPDF=Y")</f>
        <v>7.3249000000000004</v>
      </c>
      <c r="K8" s="18">
        <f>_xll.BDH("TATA IN Equity","RETURN_ON_ASSET","FY 2012","FY 2012","Currency=INR","Period=FY","BEST_FPERIOD_OVERRIDE=FY","FILING_STATUS=MR","EQY_CONSOLIDATED=Y","FA_ADJUSTED=GAAP","Sort=A","Dates=H","DateFormat=P","Fill=—","Direction=H","UseDPDF=Y")</f>
        <v>3.8178999999999998</v>
      </c>
      <c r="L8" s="18">
        <f>_xll.BDH("TATA IN Equity","RETURN_ON_ASSET","FY 2013","FY 2013","Currency=INR","Period=FY","BEST_FPERIOD_OVERRIDE=FY","FILING_STATUS=MR","EQY_CONSOLIDATED=Y","FA_ADJUSTED=GAAP","Sort=A","Dates=H","DateFormat=P","Fill=—","Direction=H","UseDPDF=Y")</f>
        <v>-4.8048999999999999</v>
      </c>
      <c r="M8" s="18">
        <f>_xll.BDH("TATA IN Equity","RETURN_ON_ASSET","FY 2014","FY 2014","Currency=INR","Period=FY","BEST_FPERIOD_OVERRIDE=FY","FILING_STATUS=MR","EQY_CONSOLIDATED=Y","FA_ADJUSTED=GAAP","Sort=A","Dates=H","DateFormat=P","Fill=—","Direction=H","UseDPDF=Y")</f>
        <v>2.2570000000000001</v>
      </c>
      <c r="N8" s="18">
        <f>_xll.BDH("TATA IN Equity","RETURN_ON_ASSET","FY 2015","FY 2015","Currency=INR","Period=FY","BEST_FPERIOD_OVERRIDE=FY","FILING_STATUS=MR","EQY_CONSOLIDATED=Y","FA_ADJUSTED=GAAP","Sort=A","Dates=H","DateFormat=P","Fill=—","Direction=H","UseDPDF=Y")</f>
        <v>-2.3734999999999999</v>
      </c>
      <c r="O8" s="18">
        <f>_xll.BDH("TATA IN Equity","RETURN_ON_ASSET","FY 2016","FY 2016","Currency=INR","Period=FY","BEST_FPERIOD_OVERRIDE=FY","FILING_STATUS=MR","EQY_CONSOLIDATED=Y","FA_ADJUSTED=GAAP","Sort=A","Dates=H","DateFormat=P","Fill=—","Direction=H","UseDPDF=Y")</f>
        <v>-0.22739999999999999</v>
      </c>
      <c r="P8" s="18">
        <f>_xll.BDH("TATA IN Equity","RETURN_ON_ASSET","FY 2017","FY 2017","Currency=INR","Period=FY","BEST_FPERIOD_OVERRIDE=FY","FILING_STATUS=MR","EQY_CONSOLIDATED=Y","FA_ADJUSTED=GAAP","Sort=A","Dates=H","DateFormat=P","Fill=—","Direction=H","UseDPDF=Y")</f>
        <v>-2.4175</v>
      </c>
      <c r="Q8" s="18">
        <f>_xll.BDH("TATA IN Equity","RETURN_ON_ASSET","FY 2018","FY 2018","Currency=INR","Period=FY","BEST_FPERIOD_OVERRIDE=FY","FILING_STATUS=MR","EQY_CONSOLIDATED=Y","FA_ADJUSTED=GAAP","Sort=A","Dates=H","DateFormat=P","Fill=—","Direction=H","UseDPDF=Y")</f>
        <v>7.0240999999999998</v>
      </c>
      <c r="R8" s="18">
        <f>_xll.BDH("TATA IN Equity","RETURN_ON_ASSET","FY 2019","FY 2019","Currency=INR","Period=FY","BEST_FPERIOD_OVERRIDE=FY","FILING_STATUS=MR","EQY_CONSOLIDATED=Y","FA_ADJUSTED=GAAP","Sort=A","Dates=H","DateFormat=P","Fill=—","Direction=H","UseDPDF=Y")</f>
        <v>4.5989000000000004</v>
      </c>
      <c r="S8" s="18">
        <f>_xll.BDH("TATA IN Equity","RETURN_ON_ASSET","FY 2020","FY 2020","Currency=INR","Period=FY","BEST_FPERIOD_OVERRIDE=FY","FILING_STATUS=MR","EQY_CONSOLIDATED=Y","FA_ADJUSTED=GAAP","Sort=A","Dates=H","DateFormat=P","Fill=—","Direction=H","UseDPDF=Y")</f>
        <v>0.64319999999999999</v>
      </c>
      <c r="T8" s="18">
        <f>_xll.BDH("TATA IN Equity","RETURN_ON_ASSET","FY 2021","FY 2021","Currency=INR","Period=FY","BEST_FPERIOD_OVERRIDE=FY","FILING_STATUS=MR","EQY_CONSOLIDATED=Y","FA_ADJUSTED=GAAP","Sort=A","Dates=H","DateFormat=P","Fill=—","Direction=H","UseDPDF=Y")</f>
        <v>3.0207999999999999</v>
      </c>
      <c r="U8" s="18">
        <f>_xll.BDH("TATA IN Equity","RETURN_ON_ASSET","FY 2022","FY 2022","Currency=INR","Period=FY","BEST_FPERIOD_OVERRIDE=FY","FILING_STATUS=MR","EQY_CONSOLIDATED=Y","FA_ADJUSTED=GAAP","Sort=A","Dates=H","DateFormat=P","Fill=—","Direction=H","UseDPDF=Y")</f>
        <v>15.1258</v>
      </c>
      <c r="V8" s="18">
        <f>_xll.BDH("TATA IN Equity","RETURN_ON_ASSET","FY 2023","FY 2023","Currency=INR","Period=FY","BEST_FPERIOD_OVERRIDE=FY","FILING_STATUS=MR","EQY_CONSOLIDATED=Y","FA_ADJUSTED=GAAP","Sort=A","Dates=H","DateFormat=P","Fill=—","Direction=H","UseDPDF=Y")</f>
        <v>3.0552000000000001</v>
      </c>
    </row>
    <row r="9" spans="1:22" x14ac:dyDescent="0.25">
      <c r="A9" s="3" t="s">
        <v>49</v>
      </c>
      <c r="B9" s="3" t="s">
        <v>50</v>
      </c>
      <c r="C9" s="18">
        <f>_xll.BDH("TATA IN Equity","RETURN_ON_CAP","FY 2004","FY 2004","Currency=INR","Period=FY","BEST_FPERIOD_OVERRIDE=FY","FILING_STATUS=MR","EQY_CONSOLIDATED=Y","FA_ADJUSTED=GAAP","Sort=A","Dates=H","DateFormat=P","Fill=—","Direction=H","UseDPDF=Y")</f>
        <v>24.071000000000002</v>
      </c>
      <c r="D9" s="18">
        <f>_xll.BDH("TATA IN Equity","RETURN_ON_CAP","FY 2005","FY 2005","Currency=INR","Period=FY","BEST_FPERIOD_OVERRIDE=FY","FILING_STATUS=MR","EQY_CONSOLIDATED=Y","FA_ADJUSTED=GAAP","Sort=A","Dates=H","DateFormat=P","Fill=—","Direction=H","UseDPDF=Y")</f>
        <v>39.985300000000002</v>
      </c>
      <c r="E9" s="18">
        <f>_xll.BDH("TATA IN Equity","RETURN_ON_CAP","FY 2006","FY 2006","Currency=INR","Period=FY","BEST_FPERIOD_OVERRIDE=FY","FILING_STATUS=MR","EQY_CONSOLIDATED=Y","FA_ADJUSTED=GAAP","Sort=A","Dates=H","DateFormat=P","Fill=—","Direction=H","UseDPDF=Y")</f>
        <v>31.7135</v>
      </c>
      <c r="F9" s="18">
        <f>_xll.BDH("TATA IN Equity","RETURN_ON_CAP","FY 2007","FY 2007","Currency=INR","Period=FY","BEST_FPERIOD_OVERRIDE=FY","FILING_STATUS=MR","EQY_CONSOLIDATED=Y","FA_ADJUSTED=GAAP","Sort=A","Dates=H","DateFormat=P","Fill=—","Direction=H","UseDPDF=Y")</f>
        <v>17.302800000000001</v>
      </c>
      <c r="G9" s="18">
        <f>_xll.BDH("TATA IN Equity","RETURN_ON_CAP","FY 2008","FY 2008","Currency=INR","Period=FY","BEST_FPERIOD_OVERRIDE=FY","FILING_STATUS=MR","EQY_CONSOLIDATED=Y","FA_ADJUSTED=GAAP","Sort=A","Dates=H","DateFormat=P","Fill=—","Direction=H","UseDPDF=Y")</f>
        <v>33.8902</v>
      </c>
      <c r="H9" s="18">
        <f>_xll.BDH("TATA IN Equity","RETURN_ON_CAP","FY 2009","FY 2009","Currency=INR","Period=FY","BEST_FPERIOD_OVERRIDE=FY","FILING_STATUS=MR","EQY_CONSOLIDATED=Y","FA_ADJUSTED=GAAP","Sort=A","Dates=H","DateFormat=P","Fill=—","Direction=H","UseDPDF=Y")</f>
        <v>10.736000000000001</v>
      </c>
      <c r="I9" s="18">
        <f>_xll.BDH("TATA IN Equity","RETURN_ON_CAP","FY 2010","FY 2010","Currency=INR","Period=FY","BEST_FPERIOD_OVERRIDE=FY","FILING_STATUS=MR","EQY_CONSOLIDATED=Y","FA_ADJUSTED=GAAP","Sort=A","Dates=H","DateFormat=P","Fill=—","Direction=H","UseDPDF=Y")</f>
        <v>-291.5804</v>
      </c>
      <c r="J9" s="18">
        <f>_xll.BDH("TATA IN Equity","RETURN_ON_CAP","FY 2011","FY 2011","Currency=INR","Period=FY","BEST_FPERIOD_OVERRIDE=FY","FILING_STATUS=MR","EQY_CONSOLIDATED=Y","FA_ADJUSTED=GAAP","Sort=A","Dates=H","DateFormat=P","Fill=—","Direction=H","UseDPDF=Y")</f>
        <v>12.9558</v>
      </c>
      <c r="K9" s="18">
        <f>_xll.BDH("TATA IN Equity","RETURN_ON_CAP","FY 2012","FY 2012","Currency=INR","Period=FY","BEST_FPERIOD_OVERRIDE=FY","FILING_STATUS=MR","EQY_CONSOLIDATED=Y","FA_ADJUSTED=GAAP","Sort=A","Dates=H","DateFormat=P","Fill=—","Direction=H","UseDPDF=Y")</f>
        <v>7.3894000000000002</v>
      </c>
      <c r="L9" s="18">
        <f>_xll.BDH("TATA IN Equity","RETURN_ON_CAP","FY 2013","FY 2013","Currency=INR","Period=FY","BEST_FPERIOD_OVERRIDE=FY","FILING_STATUS=MR","EQY_CONSOLIDATED=Y","FA_ADJUSTED=GAAP","Sort=A","Dates=H","DateFormat=P","Fill=—","Direction=H","UseDPDF=Y")</f>
        <v>-4.7636000000000003</v>
      </c>
      <c r="M9" s="18">
        <f>_xll.BDH("TATA IN Equity","RETURN_ON_CAP","FY 2014","FY 2014","Currency=INR","Period=FY","BEST_FPERIOD_OVERRIDE=FY","FILING_STATUS=MR","EQY_CONSOLIDATED=Y","FA_ADJUSTED=GAAP","Sort=A","Dates=H","DateFormat=P","Fill=—","Direction=H","UseDPDF=Y")</f>
        <v>5.0414000000000003</v>
      </c>
      <c r="N9" s="18">
        <f>_xll.BDH("TATA IN Equity","RETURN_ON_CAP","FY 2015","FY 2015","Currency=INR","Period=FY","BEST_FPERIOD_OVERRIDE=FY","FILING_STATUS=MR","EQY_CONSOLIDATED=Y","FA_ADJUSTED=GAAP","Sort=A","Dates=H","DateFormat=P","Fill=—","Direction=H","UseDPDF=Y")</f>
        <v>-0.90620000000000001</v>
      </c>
      <c r="O9" s="18">
        <f>_xll.BDH("TATA IN Equity","RETURN_ON_CAP","FY 2016","FY 2016","Currency=INR","Period=FY","BEST_FPERIOD_OVERRIDE=FY","FILING_STATUS=MR","EQY_CONSOLIDATED=Y","FA_ADJUSTED=GAAP","Sort=A","Dates=H","DateFormat=P","Fill=—","Direction=H","UseDPDF=Y")</f>
        <v>2.1934999999999998</v>
      </c>
      <c r="P9" s="18">
        <f>_xll.BDH("TATA IN Equity","RETURN_ON_CAP","FY 2017","FY 2017","Currency=INR","Period=FY","BEST_FPERIOD_OVERRIDE=FY","FILING_STATUS=MR","EQY_CONSOLIDATED=Y","FA_ADJUSTED=GAAP","Sort=A","Dates=H","DateFormat=P","Fill=—","Direction=H","UseDPDF=Y")</f>
        <v>-3.8506</v>
      </c>
      <c r="Q9" s="18">
        <f>_xll.BDH("TATA IN Equity","RETURN_ON_CAP","FY 2018","FY 2018","Currency=INR","Period=FY","BEST_FPERIOD_OVERRIDE=FY","FILING_STATUS=MR","EQY_CONSOLIDATED=Y","FA_ADJUSTED=GAAP","Sort=A","Dates=H","DateFormat=P","Fill=—","Direction=H","UseDPDF=Y")</f>
        <v>16.1616</v>
      </c>
      <c r="R9" s="18">
        <f>_xll.BDH("TATA IN Equity","RETURN_ON_CAP","FY 2019","FY 2019","Currency=INR","Period=FY","BEST_FPERIOD_OVERRIDE=FY","FILING_STATUS=MR","EQY_CONSOLIDATED=Y","FA_ADJUSTED=GAAP","Sort=A","Dates=H","DateFormat=P","Fill=—","Direction=H","UseDPDF=Y")</f>
        <v>8.2947000000000006</v>
      </c>
      <c r="S9" s="18">
        <f>_xll.BDH("TATA IN Equity","RETURN_ON_CAP","FY 2020","FY 2020","Currency=INR","Period=FY","BEST_FPERIOD_OVERRIDE=FY","FILING_STATUS=MR","EQY_CONSOLIDATED=Y","FA_ADJUSTED=GAAP","Sort=A","Dates=H","DateFormat=P","Fill=—","Direction=H","UseDPDF=Y")</f>
        <v>3.2917999999999998</v>
      </c>
      <c r="T9" s="18">
        <f>_xll.BDH("TATA IN Equity","RETURN_ON_CAP","FY 2021","FY 2021","Currency=INR","Period=FY","BEST_FPERIOD_OVERRIDE=FY","FILING_STATUS=MR","EQY_CONSOLIDATED=Y","FA_ADJUSTED=GAAP","Sort=A","Dates=H","DateFormat=P","Fill=—","Direction=H","UseDPDF=Y")</f>
        <v>6.9625000000000004</v>
      </c>
      <c r="U9" s="18">
        <f>_xll.BDH("TATA IN Equity","RETURN_ON_CAP","FY 2022","FY 2022","Currency=INR","Period=FY","BEST_FPERIOD_OVERRIDE=FY","FILING_STATUS=MR","EQY_CONSOLIDATED=Y","FA_ADJUSTED=GAAP","Sort=A","Dates=H","DateFormat=P","Fill=—","Direction=H","UseDPDF=Y")</f>
        <v>25.912700000000001</v>
      </c>
      <c r="V9" s="18">
        <f>_xll.BDH("TATA IN Equity","RETURN_ON_CAP","FY 2023","FY 2023","Currency=INR","Period=FY","BEST_FPERIOD_OVERRIDE=FY","FILING_STATUS=MR","EQY_CONSOLIDATED=Y","FA_ADJUSTED=GAAP","Sort=A","Dates=H","DateFormat=P","Fill=—","Direction=H","UseDPDF=Y")</f>
        <v>5.5429000000000004</v>
      </c>
    </row>
    <row r="10" spans="1:22" x14ac:dyDescent="0.25">
      <c r="A10" s="3" t="s">
        <v>51</v>
      </c>
      <c r="B10" s="3" t="s">
        <v>52</v>
      </c>
      <c r="C10" s="18">
        <f>_xll.BDH("TATA IN Equity","RETURN_ON_INV_CAPITAL","FY 2004","FY 2004","Currency=INR","Period=FY","BEST_FPERIOD_OVERRIDE=FY","FILING_STATUS=MR","EQY_CONSOLIDATED=Y","FA_ADJUSTED=GAAP","Sort=A","Dates=H","DateFormat=P","Fill=—","Direction=H","UseDPDF=Y")</f>
        <v>22.541499999999999</v>
      </c>
      <c r="D10" s="18">
        <f>_xll.BDH("TATA IN Equity","RETURN_ON_INV_CAPITAL","FY 2005","FY 2005","Currency=INR","Period=FY","BEST_FPERIOD_OVERRIDE=FY","FILING_STATUS=MR","EQY_CONSOLIDATED=Y","FA_ADJUSTED=GAAP","Sort=A","Dates=H","DateFormat=P","Fill=—","Direction=H","UseDPDF=Y")</f>
        <v>38.889400000000002</v>
      </c>
      <c r="E10" s="18">
        <f>_xll.BDH("TATA IN Equity","RETURN_ON_INV_CAPITAL","FY 2006","FY 2006","Currency=INR","Period=FY","BEST_FPERIOD_OVERRIDE=FY","FILING_STATUS=MR","EQY_CONSOLIDATED=Y","FA_ADJUSTED=GAAP","Sort=A","Dates=H","DateFormat=P","Fill=—","Direction=H","UseDPDF=Y")</f>
        <v>27.945699999999999</v>
      </c>
      <c r="F10" s="18">
        <f>_xll.BDH("TATA IN Equity","RETURN_ON_INV_CAPITAL","FY 2007","FY 2007","Currency=INR","Period=FY","BEST_FPERIOD_OVERRIDE=FY","FILING_STATUS=MR","EQY_CONSOLIDATED=Y","FA_ADJUSTED=GAAP","Sort=A","Dates=H","DateFormat=P","Fill=—","Direction=H","UseDPDF=Y")</f>
        <v>15.558299999999999</v>
      </c>
      <c r="G10" s="18">
        <f>_xll.BDH("TATA IN Equity","RETURN_ON_INV_CAPITAL","FY 2008","FY 2008","Currency=INR","Period=FY","BEST_FPERIOD_OVERRIDE=FY","FILING_STATUS=MR","EQY_CONSOLIDATED=Y","FA_ADJUSTED=GAAP","Sort=A","Dates=H","DateFormat=P","Fill=—","Direction=H","UseDPDF=Y")</f>
        <v>7.6855000000000002</v>
      </c>
      <c r="H10" s="18">
        <f>_xll.BDH("TATA IN Equity","RETURN_ON_INV_CAPITAL","FY 2009","FY 2009","Currency=INR","Period=FY","BEST_FPERIOD_OVERRIDE=FY","FILING_STATUS=MR","EQY_CONSOLIDATED=Y","FA_ADJUSTED=GAAP","Sort=A","Dates=H","DateFormat=P","Fill=—","Direction=H","UseDPDF=Y")</f>
        <v>21.5121</v>
      </c>
      <c r="I10" s="18">
        <f>_xll.BDH("TATA IN Equity","RETURN_ON_INV_CAPITAL","FY 2010","FY 2010","Currency=INR","Period=FY","BEST_FPERIOD_OVERRIDE=FY","FILING_STATUS=MR","EQY_CONSOLIDATED=Y","FA_ADJUSTED=GAAP","Sort=A","Dates=H","DateFormat=P","Fill=—","Direction=H","UseDPDF=Y")</f>
        <v>-282.98039999999997</v>
      </c>
      <c r="J10" s="18">
        <f>_xll.BDH("TATA IN Equity","RETURN_ON_INV_CAPITAL","FY 2011","FY 2011","Currency=INR","Period=FY","BEST_FPERIOD_OVERRIDE=FY","FILING_STATUS=MR","EQY_CONSOLIDATED=Y","FA_ADJUSTED=GAAP","Sort=A","Dates=H","DateFormat=P","Fill=—","Direction=H","UseDPDF=Y")</f>
        <v>8.0809999999999995</v>
      </c>
      <c r="K10" s="18">
        <f>_xll.BDH("TATA IN Equity","RETURN_ON_INV_CAPITAL","FY 2012","FY 2012","Currency=INR","Period=FY","BEST_FPERIOD_OVERRIDE=FY","FILING_STATUS=MR","EQY_CONSOLIDATED=Y","FA_ADJUSTED=GAAP","Sort=A","Dates=H","DateFormat=P","Fill=—","Direction=H","UseDPDF=Y")</f>
        <v>3.3624000000000001</v>
      </c>
      <c r="L10" s="18">
        <f>_xll.BDH("TATA IN Equity","RETURN_ON_INV_CAPITAL","FY 2013","FY 2013","Currency=INR","Period=FY","BEST_FPERIOD_OVERRIDE=FY","FILING_STATUS=MR","EQY_CONSOLIDATED=Y","FA_ADJUSTED=GAAP","Sort=A","Dates=H","DateFormat=P","Fill=—","Direction=H","UseDPDF=Y")</f>
        <v>-1.2490000000000001</v>
      </c>
      <c r="M10" s="18">
        <f>_xll.BDH("TATA IN Equity","RETURN_ON_INV_CAPITAL","FY 2014","FY 2014","Currency=INR","Period=FY","BEST_FPERIOD_OVERRIDE=FY","FILING_STATUS=MR","EQY_CONSOLIDATED=Y","FA_ADJUSTED=GAAP","Sort=A","Dates=H","DateFormat=P","Fill=—","Direction=H","UseDPDF=Y")</f>
        <v>3.4167000000000001</v>
      </c>
      <c r="N10" s="18">
        <f>_xll.BDH("TATA IN Equity","RETURN_ON_INV_CAPITAL","FY 2015","FY 2015","Currency=INR","Period=FY","BEST_FPERIOD_OVERRIDE=FY","FILING_STATUS=MR","EQY_CONSOLIDATED=Y","FA_ADJUSTED=GAAP","Sort=A","Dates=H","DateFormat=P","Fill=—","Direction=H","UseDPDF=Y")</f>
        <v>3.7393999999999998</v>
      </c>
      <c r="O10" s="18">
        <f>_xll.BDH("TATA IN Equity","RETURN_ON_INV_CAPITAL","FY 2016","FY 2016","Currency=INR","Period=FY","BEST_FPERIOD_OVERRIDE=FY","FILING_STATUS=MR","EQY_CONSOLIDATED=Y","FA_ADJUSTED=GAAP","Sort=A","Dates=H","DateFormat=P","Fill=—","Direction=H","UseDPDF=Y")</f>
        <v>-6.5510999999999999</v>
      </c>
      <c r="P10" s="18">
        <f>_xll.BDH("TATA IN Equity","RETURN_ON_INV_CAPITAL","FY 2017","FY 2017","Currency=INR","Period=FY","BEST_FPERIOD_OVERRIDE=FY","FILING_STATUS=MR","EQY_CONSOLIDATED=Y","FA_ADJUSTED=GAAP","Sort=A","Dates=H","DateFormat=P","Fill=—","Direction=H","UseDPDF=Y")</f>
        <v>5.1779999999999999</v>
      </c>
      <c r="Q10" s="18">
        <f>_xll.BDH("TATA IN Equity","RETURN_ON_INV_CAPITAL","FY 2018","FY 2018","Currency=INR","Period=FY","BEST_FPERIOD_OVERRIDE=FY","FILING_STATUS=MR","EQY_CONSOLIDATED=Y","FA_ADJUSTED=GAAP","Sort=A","Dates=H","DateFormat=P","Fill=—","Direction=H","UseDPDF=Y")</f>
        <v>0.49249999999999999</v>
      </c>
      <c r="R10" s="18">
        <f>_xll.BDH("TATA IN Equity","RETURN_ON_INV_CAPITAL","FY 2019","FY 2019","Currency=INR","Period=FY","BEST_FPERIOD_OVERRIDE=FY","FILING_STATUS=MR","EQY_CONSOLIDATED=Y","FA_ADJUSTED=GAAP","Sort=A","Dates=H","DateFormat=P","Fill=—","Direction=H","UseDPDF=Y")</f>
        <v>7.0542999999999996</v>
      </c>
      <c r="S10" s="18">
        <f>_xll.BDH("TATA IN Equity","RETURN_ON_INV_CAPITAL","FY 2020","FY 2020","Currency=INR","Period=FY","BEST_FPERIOD_OVERRIDE=FY","FILING_STATUS=MR","EQY_CONSOLIDATED=Y","FA_ADJUSTED=GAAP","Sort=A","Dates=H","DateFormat=P","Fill=—","Direction=H","UseDPDF=Y")</f>
        <v>1.0575000000000001</v>
      </c>
      <c r="T10" s="18">
        <f>_xll.BDH("TATA IN Equity","RETURN_ON_INV_CAPITAL","FY 2021","FY 2021","Currency=INR","Period=FY","BEST_FPERIOD_OVERRIDE=FY","FILING_STATUS=MR","EQY_CONSOLIDATED=Y","FA_ADJUSTED=GAAP","Sort=A","Dates=H","DateFormat=P","Fill=—","Direction=H","UseDPDF=Y")</f>
        <v>11.492599999999999</v>
      </c>
      <c r="U10" s="18">
        <f>_xll.BDH("TATA IN Equity","RETURN_ON_INV_CAPITAL","FY 2022","FY 2022","Currency=INR","Period=FY","BEST_FPERIOD_OVERRIDE=FY","FILING_STATUS=MR","EQY_CONSOLIDATED=Y","FA_ADJUSTED=GAAP","Sort=A","Dates=H","DateFormat=P","Fill=—","Direction=H","UseDPDF=Y")</f>
        <v>23.564699999999998</v>
      </c>
      <c r="V10" s="18">
        <f>_xll.BDH("TATA IN Equity","RETURN_ON_INV_CAPITAL","FY 2023","FY 2023","Currency=INR","Period=FY","BEST_FPERIOD_OVERRIDE=FY","FILING_STATUS=MR","EQY_CONSOLIDATED=Y","FA_ADJUSTED=GAAP","Sort=A","Dates=H","DateFormat=P","Fill=—","Direction=H","UseDPDF=Y")</f>
        <v>11.386900000000001</v>
      </c>
    </row>
    <row r="11" spans="1:22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1" t="s">
        <v>53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3" t="s">
        <v>56</v>
      </c>
      <c r="B13" s="3" t="s">
        <v>57</v>
      </c>
      <c r="C13" s="18">
        <f>_xll.BDH("TATA IN Equity","EBITDA_TO_REVENUE","FY 2004","FY 2004","Currency=INR","Period=FY","BEST_FPERIOD_OVERRIDE=FY","FILING_STATUS=MR","EQY_CONSOLIDATED=Y","FA_ADJUSTED=GAAP","Sort=A","Dates=H","DateFormat=P","Fill=—","Direction=H","UseDPDF=Y")</f>
        <v>31.924199999999999</v>
      </c>
      <c r="D13" s="18">
        <f>_xll.BDH("TATA IN Equity","EBITDA_TO_REVENUE","FY 2005","FY 2005","Currency=INR","Period=FY","BEST_FPERIOD_OVERRIDE=FY","FILING_STATUS=MR","EQY_CONSOLIDATED=Y","FA_ADJUSTED=GAAP","Sort=A","Dates=H","DateFormat=P","Fill=—","Direction=H","UseDPDF=Y")</f>
        <v>42.3459</v>
      </c>
      <c r="E13" s="18">
        <f>_xll.BDH("TATA IN Equity","EBITDA_TO_REVENUE","FY 2006","FY 2006","Currency=INR","Period=FY","BEST_FPERIOD_OVERRIDE=FY","FILING_STATUS=MR","EQY_CONSOLIDATED=Y","FA_ADJUSTED=GAAP","Sort=A","Dates=H","DateFormat=P","Fill=—","Direction=H","UseDPDF=Y")</f>
        <v>31.434200000000001</v>
      </c>
      <c r="F13" s="18">
        <f>_xll.BDH("TATA IN Equity","EBITDA_TO_REVENUE","FY 2007","FY 2007","Currency=INR","Period=FY","BEST_FPERIOD_OVERRIDE=FY","FILING_STATUS=MR","EQY_CONSOLIDATED=Y","FA_ADJUSTED=GAAP","Sort=A","Dates=H","DateFormat=P","Fill=—","Direction=H","UseDPDF=Y")</f>
        <v>30.6755</v>
      </c>
      <c r="G13" s="18">
        <f>_xll.BDH("TATA IN Equity","EBITDA_TO_REVENUE","FY 2008","FY 2008","Currency=INR","Period=FY","BEST_FPERIOD_OVERRIDE=FY","FILING_STATUS=MR","EQY_CONSOLIDATED=Y","FA_ADJUSTED=GAAP","Sort=A","Dates=H","DateFormat=P","Fill=—","Direction=H","UseDPDF=Y")</f>
        <v>13.6623</v>
      </c>
      <c r="H13" s="18">
        <f>_xll.BDH("TATA IN Equity","EBITDA_TO_REVENUE","FY 2009","FY 2009","Currency=INR","Period=FY","BEST_FPERIOD_OVERRIDE=FY","FILING_STATUS=MR","EQY_CONSOLIDATED=Y","FA_ADJUSTED=GAAP","Sort=A","Dates=H","DateFormat=P","Fill=—","Direction=H","UseDPDF=Y")</f>
        <v>12.3042</v>
      </c>
      <c r="I13" s="18">
        <f>_xll.BDH("TATA IN Equity","EBITDA_TO_REVENUE","FY 2010","FY 2010","Currency=INR","Period=FY","BEST_FPERIOD_OVERRIDE=FY","FILING_STATUS=MR","EQY_CONSOLIDATED=Y","FA_ADJUSTED=GAAP","Sort=A","Dates=H","DateFormat=P","Fill=—","Direction=H","UseDPDF=Y")</f>
        <v>7.9036999999999997</v>
      </c>
      <c r="J13" s="18">
        <f>_xll.BDH("TATA IN Equity","EBITDA_TO_REVENUE","FY 2011","FY 2011","Currency=INR","Period=FY","BEST_FPERIOD_OVERRIDE=FY","FILING_STATUS=MR","EQY_CONSOLIDATED=Y","FA_ADJUSTED=GAAP","Sort=A","Dates=H","DateFormat=P","Fill=—","Direction=H","UseDPDF=Y")</f>
        <v>13.654</v>
      </c>
      <c r="K13" s="18">
        <f>_xll.BDH("TATA IN Equity","EBITDA_TO_REVENUE","FY 2012","FY 2012","Currency=INR","Period=FY","BEST_FPERIOD_OVERRIDE=FY","FILING_STATUS=MR","EQY_CONSOLIDATED=Y","FA_ADJUSTED=GAAP","Sort=A","Dates=H","DateFormat=P","Fill=—","Direction=H","UseDPDF=Y")</f>
        <v>9.3884000000000007</v>
      </c>
      <c r="L13" s="18">
        <f>_xll.BDH("TATA IN Equity","EBITDA_TO_REVENUE","FY 2013","FY 2013","Currency=INR","Period=FY","BEST_FPERIOD_OVERRIDE=FY","FILING_STATUS=MR","EQY_CONSOLIDATED=Y","FA_ADJUSTED=GAAP","Sort=A","Dates=H","DateFormat=P","Fill=—","Direction=H","UseDPDF=Y")</f>
        <v>9.2350999999999992</v>
      </c>
      <c r="M13" s="18">
        <f>_xll.BDH("TATA IN Equity","EBITDA_TO_REVENUE","FY 2014","FY 2014","Currency=INR","Period=FY","BEST_FPERIOD_OVERRIDE=FY","FILING_STATUS=MR","EQY_CONSOLIDATED=Y","FA_ADJUSTED=GAAP","Sort=A","Dates=H","DateFormat=P","Fill=—","Direction=H","UseDPDF=Y")</f>
        <v>11.137600000000001</v>
      </c>
      <c r="N13" s="18">
        <f>_xll.BDH("TATA IN Equity","EBITDA_TO_REVENUE","FY 2015","FY 2015","Currency=INR","Period=FY","BEST_FPERIOD_OVERRIDE=FY","FILING_STATUS=MR","EQY_CONSOLIDATED=Y","FA_ADJUSTED=GAAP","Sort=A","Dates=H","DateFormat=P","Fill=—","Direction=H","UseDPDF=Y")</f>
        <v>8.9860000000000007</v>
      </c>
      <c r="O13" s="18">
        <f>_xll.BDH("TATA IN Equity","EBITDA_TO_REVENUE","FY 2016","FY 2016","Currency=INR","Period=FY","BEST_FPERIOD_OVERRIDE=FY","FILING_STATUS=MR","EQY_CONSOLIDATED=Y","FA_ADJUSTED=GAAP","Sort=A","Dates=H","DateFormat=P","Fill=—","Direction=H","UseDPDF=Y")</f>
        <v>7.6134000000000004</v>
      </c>
      <c r="P13" s="18">
        <f>_xll.BDH("TATA IN Equity","EBITDA_TO_REVENUE","FY 2017","FY 2017","Currency=INR","Period=FY","BEST_FPERIOD_OVERRIDE=FY","FILING_STATUS=MR","EQY_CONSOLIDATED=Y","FA_ADJUSTED=GAAP","Sort=A","Dates=H","DateFormat=P","Fill=—","Direction=H","UseDPDF=Y")</f>
        <v>14.5906</v>
      </c>
      <c r="Q13" s="18">
        <f>_xll.BDH("TATA IN Equity","EBITDA_TO_REVENUE","FY 2018","FY 2018","Currency=INR","Period=FY","BEST_FPERIOD_OVERRIDE=FY","FILING_STATUS=MR","EQY_CONSOLIDATED=Y","FA_ADJUSTED=GAAP","Sort=A","Dates=H","DateFormat=P","Fill=—","Direction=H","UseDPDF=Y")</f>
        <v>17.642800000000001</v>
      </c>
      <c r="R13" s="18">
        <f>_xll.BDH("TATA IN Equity","EBITDA_TO_REVENUE","FY 2019","FY 2019","Currency=INR","Period=FY","BEST_FPERIOD_OVERRIDE=FY","FILING_STATUS=MR","EQY_CONSOLIDATED=Y","FA_ADJUSTED=GAAP","Sort=A","Dates=H","DateFormat=P","Fill=—","Direction=H","UseDPDF=Y")</f>
        <v>19.148299999999999</v>
      </c>
      <c r="S13" s="18">
        <f>_xll.BDH("TATA IN Equity","EBITDA_TO_REVENUE","FY 2020","FY 2020","Currency=INR","Period=FY","BEST_FPERIOD_OVERRIDE=FY","FILING_STATUS=MR","EQY_CONSOLIDATED=Y","FA_ADJUSTED=GAAP","Sort=A","Dates=H","DateFormat=P","Fill=—","Direction=H","UseDPDF=Y")</f>
        <v>12.2018</v>
      </c>
      <c r="T13" s="18">
        <f>_xll.BDH("TATA IN Equity","EBITDA_TO_REVENUE","FY 2021","FY 2021","Currency=INR","Period=FY","BEST_FPERIOD_OVERRIDE=FY","FILING_STATUS=MR","EQY_CONSOLIDATED=Y","FA_ADJUSTED=GAAP","Sort=A","Dates=H","DateFormat=P","Fill=—","Direction=H","UseDPDF=Y")</f>
        <v>19.715900000000001</v>
      </c>
      <c r="U13" s="18">
        <f>_xll.BDH("TATA IN Equity","EBITDA_TO_REVENUE","FY 2022","FY 2022","Currency=INR","Period=FY","BEST_FPERIOD_OVERRIDE=FY","FILING_STATUS=MR","EQY_CONSOLIDATED=Y","FA_ADJUSTED=GAAP","Sort=A","Dates=H","DateFormat=P","Fill=—","Direction=H","UseDPDF=Y")</f>
        <v>26.200099999999999</v>
      </c>
      <c r="V13" s="18">
        <f>_xll.BDH("TATA IN Equity","EBITDA_TO_REVENUE","FY 2023","FY 2023","Currency=INR","Period=FY","BEST_FPERIOD_OVERRIDE=FY","FILING_STATUS=MR","EQY_CONSOLIDATED=Y","FA_ADJUSTED=GAAP","Sort=A","Dates=H","DateFormat=P","Fill=—","Direction=H","UseDPDF=Y")</f>
        <v>13.3673</v>
      </c>
    </row>
    <row r="14" spans="1:22" x14ac:dyDescent="0.25">
      <c r="A14" s="3" t="s">
        <v>58</v>
      </c>
      <c r="B14" s="3" t="s">
        <v>59</v>
      </c>
      <c r="C14" s="18">
        <f>_xll.BDH("TATA IN Equity","OPER_MARGIN","FY 2004","FY 2004","Currency=INR","Period=FY","BEST_FPERIOD_OVERRIDE=FY","FILING_STATUS=MR","EQY_CONSOLIDATED=Y","FA_ADJUSTED=GAAP","Sort=A","Dates=H","DateFormat=P","Fill=—","Direction=H","UseDPDF=Y")</f>
        <v>26.168700000000001</v>
      </c>
      <c r="D14" s="18">
        <f>_xll.BDH("TATA IN Equity","OPER_MARGIN","FY 2005","FY 2005","Currency=INR","Period=FY","BEST_FPERIOD_OVERRIDE=FY","FILING_STATUS=MR","EQY_CONSOLIDATED=Y","FA_ADJUSTED=GAAP","Sort=A","Dates=H","DateFormat=P","Fill=—","Direction=H","UseDPDF=Y")</f>
        <v>38.271599999999999</v>
      </c>
      <c r="E14" s="18">
        <f>_xll.BDH("TATA IN Equity","OPER_MARGIN","FY 2006","FY 2006","Currency=INR","Period=FY","BEST_FPERIOD_OVERRIDE=FY","FILING_STATUS=MR","EQY_CONSOLIDATED=Y","FA_ADJUSTED=GAAP","Sort=A","Dates=H","DateFormat=P","Fill=—","Direction=H","UseDPDF=Y")</f>
        <v>27.059100000000001</v>
      </c>
      <c r="F14" s="18">
        <f>_xll.BDH("TATA IN Equity","OPER_MARGIN","FY 2007","FY 2007","Currency=INR","Period=FY","BEST_FPERIOD_OVERRIDE=FY","FILING_STATUS=MR","EQY_CONSOLIDATED=Y","FA_ADJUSTED=GAAP","Sort=A","Dates=H","DateFormat=P","Fill=—","Direction=H","UseDPDF=Y")</f>
        <v>25.538799999999998</v>
      </c>
      <c r="G14" s="18">
        <f>_xll.BDH("TATA IN Equity","OPER_MARGIN","FY 2008","FY 2008","Currency=INR","Period=FY","BEST_FPERIOD_OVERRIDE=FY","FILING_STATUS=MR","EQY_CONSOLIDATED=Y","FA_ADJUSTED=GAAP","Sort=A","Dates=H","DateFormat=P","Fill=—","Direction=H","UseDPDF=Y")</f>
        <v>10.506500000000001</v>
      </c>
      <c r="H14" s="18">
        <f>_xll.BDH("TATA IN Equity","OPER_MARGIN","FY 2009","FY 2009","Currency=INR","Period=FY","BEST_FPERIOD_OVERRIDE=FY","FILING_STATUS=MR","EQY_CONSOLIDATED=Y","FA_ADJUSTED=GAAP","Sort=A","Dates=H","DateFormat=P","Fill=—","Direction=H","UseDPDF=Y")</f>
        <v>9.4090000000000007</v>
      </c>
      <c r="I14" s="18">
        <f>_xll.BDH("TATA IN Equity","OPER_MARGIN","FY 2010","FY 2010","Currency=INR","Period=FY","BEST_FPERIOD_OVERRIDE=FY","FILING_STATUS=MR","EQY_CONSOLIDATED=Y","FA_ADJUSTED=GAAP","Sort=A","Dates=H","DateFormat=P","Fill=—","Direction=H","UseDPDF=Y")</f>
        <v>3.4895999999999998</v>
      </c>
      <c r="J14" s="18">
        <f>_xll.BDH("TATA IN Equity","OPER_MARGIN","FY 2011","FY 2011","Currency=INR","Period=FY","BEST_FPERIOD_OVERRIDE=FY","FILING_STATUS=MR","EQY_CONSOLIDATED=Y","FA_ADJUSTED=GAAP","Sort=A","Dates=H","DateFormat=P","Fill=—","Direction=H","UseDPDF=Y")</f>
        <v>9.8855000000000004</v>
      </c>
      <c r="K14" s="18">
        <f>_xll.BDH("TATA IN Equity","OPER_MARGIN","FY 2012","FY 2012","Currency=INR","Period=FY","BEST_FPERIOD_OVERRIDE=FY","FILING_STATUS=MR","EQY_CONSOLIDATED=Y","FA_ADJUSTED=GAAP","Sort=A","Dates=H","DateFormat=P","Fill=—","Direction=H","UseDPDF=Y")</f>
        <v>5.9733000000000001</v>
      </c>
      <c r="L14" s="18">
        <f>_xll.BDH("TATA IN Equity","OPER_MARGIN","FY 2013","FY 2013","Currency=INR","Period=FY","BEST_FPERIOD_OVERRIDE=FY","FILING_STATUS=MR","EQY_CONSOLIDATED=Y","FA_ADJUSTED=GAAP","Sort=A","Dates=H","DateFormat=P","Fill=—","Direction=H","UseDPDF=Y")</f>
        <v>5.0563000000000002</v>
      </c>
      <c r="M14" s="18">
        <f>_xll.BDH("TATA IN Equity","OPER_MARGIN","FY 2014","FY 2014","Currency=INR","Period=FY","BEST_FPERIOD_OVERRIDE=FY","FILING_STATUS=MR","EQY_CONSOLIDATED=Y","FA_ADJUSTED=GAAP","Sort=A","Dates=H","DateFormat=P","Fill=—","Direction=H","UseDPDF=Y")</f>
        <v>7.1734</v>
      </c>
      <c r="N14" s="18">
        <f>_xll.BDH("TATA IN Equity","OPER_MARGIN","FY 2015","FY 2015","Currency=INR","Period=FY","BEST_FPERIOD_OVERRIDE=FY","FILING_STATUS=MR","EQY_CONSOLIDATED=Y","FA_ADJUSTED=GAAP","Sort=A","Dates=H","DateFormat=P","Fill=—","Direction=H","UseDPDF=Y")</f>
        <v>4.7253999999999996</v>
      </c>
      <c r="O14" s="18">
        <f>_xll.BDH("TATA IN Equity","OPER_MARGIN","FY 2016","FY 2016","Currency=INR","Period=FY","BEST_FPERIOD_OVERRIDE=FY","FILING_STATUS=MR","EQY_CONSOLIDATED=Y","FA_ADJUSTED=GAAP","Sort=A","Dates=H","DateFormat=P","Fill=—","Direction=H","UseDPDF=Y")</f>
        <v>2.5188000000000001</v>
      </c>
      <c r="P14" s="18">
        <f>_xll.BDH("TATA IN Equity","OPER_MARGIN","FY 2017","FY 2017","Currency=INR","Period=FY","BEST_FPERIOD_OVERRIDE=FY","FILING_STATUS=MR","EQY_CONSOLIDATED=Y","FA_ADJUSTED=GAAP","Sort=A","Dates=H","DateFormat=P","Fill=—","Direction=H","UseDPDF=Y")</f>
        <v>9.7142999999999997</v>
      </c>
      <c r="Q14" s="18">
        <f>_xll.BDH("TATA IN Equity","OPER_MARGIN","FY 2018","FY 2018","Currency=INR","Period=FY","BEST_FPERIOD_OVERRIDE=FY","FILING_STATUS=MR","EQY_CONSOLIDATED=Y","FA_ADJUSTED=GAAP","Sort=A","Dates=H","DateFormat=P","Fill=—","Direction=H","UseDPDF=Y")</f>
        <v>12.785299999999999</v>
      </c>
      <c r="R14" s="18">
        <f>_xll.BDH("TATA IN Equity","OPER_MARGIN","FY 2019","FY 2019","Currency=INR","Period=FY","BEST_FPERIOD_OVERRIDE=FY","FILING_STATUS=MR","EQY_CONSOLIDATED=Y","FA_ADJUSTED=GAAP","Sort=A","Dates=H","DateFormat=P","Fill=—","Direction=H","UseDPDF=Y")</f>
        <v>14.248699999999999</v>
      </c>
      <c r="S14" s="18">
        <f>_xll.BDH("TATA IN Equity","OPER_MARGIN","FY 2020","FY 2020","Currency=INR","Period=FY","BEST_FPERIOD_OVERRIDE=FY","FILING_STATUS=MR","EQY_CONSOLIDATED=Y","FA_ADJUSTED=GAAP","Sort=A","Dates=H","DateFormat=P","Fill=—","Direction=H","UseDPDF=Y")</f>
        <v>6.242</v>
      </c>
      <c r="T14" s="18">
        <f>_xll.BDH("TATA IN Equity","OPER_MARGIN","FY 2021","FY 2021","Currency=INR","Period=FY","BEST_FPERIOD_OVERRIDE=FY","FILING_STATUS=MR","EQY_CONSOLIDATED=Y","FA_ADJUSTED=GAAP","Sort=A","Dates=H","DateFormat=P","Fill=—","Direction=H","UseDPDF=Y")</f>
        <v>13.7479</v>
      </c>
      <c r="U14" s="18">
        <f>_xll.BDH("TATA IN Equity","OPER_MARGIN","FY 2022","FY 2022","Currency=INR","Period=FY","BEST_FPERIOD_OVERRIDE=FY","FILING_STATUS=MR","EQY_CONSOLIDATED=Y","FA_ADJUSTED=GAAP","Sort=A","Dates=H","DateFormat=P","Fill=—","Direction=H","UseDPDF=Y")</f>
        <v>22.444500000000001</v>
      </c>
      <c r="V14" s="18">
        <f>_xll.BDH("TATA IN Equity","OPER_MARGIN","FY 2023","FY 2023","Currency=INR","Period=FY","BEST_FPERIOD_OVERRIDE=FY","FILING_STATUS=MR","EQY_CONSOLIDATED=Y","FA_ADJUSTED=GAAP","Sort=A","Dates=H","DateFormat=P","Fill=—","Direction=H","UseDPDF=Y")</f>
        <v>9.5038999999999998</v>
      </c>
    </row>
    <row r="15" spans="1:22" x14ac:dyDescent="0.25">
      <c r="A15" s="3" t="s">
        <v>60</v>
      </c>
      <c r="B15" s="3" t="s">
        <v>61</v>
      </c>
      <c r="C15" s="18">
        <f>_xll.BDH("TATA IN Equity","INCREMENTAL_OPERATING_MARGIN","FY 2004","FY 2004","Currency=INR","Period=FY","BEST_FPERIOD_OVERRIDE=FY","FILING_STATUS=MR","EQY_CONSOLIDATED=Y","FA_ADJUSTED=GAAP","Sort=A","Dates=H","DateFormat=P","Fill=—","Direction=H","UseDPDF=Y")</f>
        <v>68.421000000000006</v>
      </c>
      <c r="D15" s="18">
        <f>_xll.BDH("TATA IN Equity","INCREMENTAL_OPERATING_MARGIN","FY 2005","FY 2005","Currency=INR","Period=FY","BEST_FPERIOD_OVERRIDE=FY","FILING_STATUS=MR","EQY_CONSOLIDATED=Y","FA_ADJUSTED=GAAP","Sort=A","Dates=H","DateFormat=P","Fill=—","Direction=H","UseDPDF=Y")</f>
        <v>65.935299999999998</v>
      </c>
      <c r="E15" s="18" t="str">
        <f>_xll.BDH("TATA IN Equity","INCREMENTAL_OPERATING_MARGIN","FY 2006","FY 2006","Currency=INR","Period=FY","BEST_FPERIOD_OVERRIDE=FY","FILING_STATUS=MR","EQY_CONSOLIDATED=Y","FA_ADJUSTED=GAAP","Sort=A","Dates=H","DateFormat=P","Fill=—","Direction=H","UseDPDF=Y")</f>
        <v>—</v>
      </c>
      <c r="F15" s="18">
        <f>_xll.BDH("TATA IN Equity","INCREMENTAL_OPERATING_MARGIN","FY 2007","FY 2007","Currency=INR","Period=FY","BEST_FPERIOD_OVERRIDE=FY","FILING_STATUS=MR","EQY_CONSOLIDATED=Y","FA_ADJUSTED=GAAP","Sort=A","Dates=H","DateFormat=P","Fill=—","Direction=H","UseDPDF=Y")</f>
        <v>19.3444</v>
      </c>
      <c r="G15" s="18">
        <f>_xll.BDH("TATA IN Equity","INCREMENTAL_OPERATING_MARGIN","FY 2008","FY 2008","Currency=INR","Period=FY","BEST_FPERIOD_OVERRIDE=FY","FILING_STATUS=MR","EQY_CONSOLIDATED=Y","FA_ADJUSTED=GAAP","Sort=A","Dates=H","DateFormat=P","Fill=—","Direction=H","UseDPDF=Y")</f>
        <v>6.9268000000000001</v>
      </c>
      <c r="H15" s="18">
        <f>_xll.BDH("TATA IN Equity","INCREMENTAL_OPERATING_MARGIN","FY 2009","FY 2009","Currency=INR","Period=FY","BEST_FPERIOD_OVERRIDE=FY","FILING_STATUS=MR","EQY_CONSOLIDATED=Y","FA_ADJUSTED=GAAP","Sort=A","Dates=H","DateFormat=P","Fill=—","Direction=H","UseDPDF=Y")</f>
        <v>0.5494</v>
      </c>
      <c r="I15" s="18">
        <f>_xll.BDH("TATA IN Equity","INCREMENTAL_OPERATING_MARGIN","FY 2010","FY 2010","Currency=INR","Period=FY","BEST_FPERIOD_OVERRIDE=FY","FILING_STATUS=MR","EQY_CONSOLIDATED=Y","FA_ADJUSTED=GAAP","Sort=A","Dates=H","DateFormat=P","Fill=—","Direction=H","UseDPDF=Y")</f>
        <v>-22.626799999999999</v>
      </c>
      <c r="J15" s="18">
        <f>_xll.BDH("TATA IN Equity","INCREMENTAL_OPERATING_MARGIN","FY 2011","FY 2011","Currency=INR","Period=FY","BEST_FPERIOD_OVERRIDE=FY","FILING_STATUS=MR","EQY_CONSOLIDATED=Y","FA_ADJUSTED=GAAP","Sort=A","Dates=H","DateFormat=P","Fill=—","Direction=H","UseDPDF=Y")</f>
        <v>52.1691</v>
      </c>
      <c r="K15" s="18" t="str">
        <f>_xll.BDH("TATA IN Equity","INCREMENTAL_OPERATING_MARGIN","FY 2012","FY 2012","Currency=INR","Period=FY","BEST_FPERIOD_OVERRIDE=FY","FILING_STATUS=MR","EQY_CONSOLIDATED=Y","FA_ADJUSTED=GAAP","Sort=A","Dates=H","DateFormat=P","Fill=—","Direction=H","UseDPDF=Y")</f>
        <v>—</v>
      </c>
      <c r="L15" s="18" t="str">
        <f>_xll.BDH("TATA IN Equity","INCREMENTAL_OPERATING_MARGIN","FY 2013","FY 2013","Currency=INR","Period=FY","BEST_FPERIOD_OVERRIDE=FY","FILING_STATUS=MR","EQY_CONSOLIDATED=Y","FA_ADJUSTED=GAAP","Sort=A","Dates=H","DateFormat=P","Fill=—","Direction=H","UseDPDF=Y")</f>
        <v>—</v>
      </c>
      <c r="M15" s="18">
        <f>_xll.BDH("TATA IN Equity","INCREMENTAL_OPERATING_MARGIN","FY 2014","FY 2014","Currency=INR","Period=FY","BEST_FPERIOD_OVERRIDE=FY","FILING_STATUS=MR","EQY_CONSOLIDATED=Y","FA_ADJUSTED=GAAP","Sort=A","Dates=H","DateFormat=P","Fill=—","Direction=H","UseDPDF=Y")</f>
        <v>27.4495</v>
      </c>
      <c r="N15" s="18">
        <f>_xll.BDH("TATA IN Equity","INCREMENTAL_OPERATING_MARGIN","FY 2015","FY 2015","Currency=INR","Period=FY","BEST_FPERIOD_OVERRIDE=FY","FILING_STATUS=MR","EQY_CONSOLIDATED=Y","FA_ADJUSTED=GAAP","Sort=A","Dates=H","DateFormat=P","Fill=—","Direction=H","UseDPDF=Y")</f>
        <v>-50.712200000000003</v>
      </c>
      <c r="O15" s="18">
        <f>_xll.BDH("TATA IN Equity","INCREMENTAL_OPERATING_MARGIN","FY 2016","FY 2016","Currency=INR","Period=FY","BEST_FPERIOD_OVERRIDE=FY","FILING_STATUS=MR","EQY_CONSOLIDATED=Y","FA_ADJUSTED=GAAP","Sort=A","Dates=H","DateFormat=P","Fill=—","Direction=H","UseDPDF=Y")</f>
        <v>-11.620699999999999</v>
      </c>
      <c r="P15" s="18">
        <f>_xll.BDH("TATA IN Equity","INCREMENTAL_OPERATING_MARGIN","FY 2017","FY 2017","Currency=INR","Period=FY","BEST_FPERIOD_OVERRIDE=FY","FILING_STATUS=MR","EQY_CONSOLIDATED=Y","FA_ADJUSTED=GAAP","Sort=A","Dates=H","DateFormat=P","Fill=—","Direction=H","UseDPDF=Y")</f>
        <v>78.849500000000006</v>
      </c>
      <c r="Q15" s="18">
        <f>_xll.BDH("TATA IN Equity","INCREMENTAL_OPERATING_MARGIN","FY 2018","FY 2018","Currency=INR","Period=FY","BEST_FPERIOD_OVERRIDE=FY","FILING_STATUS=MR","EQY_CONSOLIDATED=Y","FA_ADJUSTED=GAAP","Sort=A","Dates=H","DateFormat=P","Fill=—","Direction=H","UseDPDF=Y")</f>
        <v>72.030900000000003</v>
      </c>
      <c r="R15" s="18">
        <f>_xll.BDH("TATA IN Equity","INCREMENTAL_OPERATING_MARGIN","FY 2019","FY 2019","Currency=INR","Period=FY","BEST_FPERIOD_OVERRIDE=FY","FILING_STATUS=MR","EQY_CONSOLIDATED=Y","FA_ADJUSTED=GAAP","Sort=A","Dates=H","DateFormat=P","Fill=—","Direction=H","UseDPDF=Y")</f>
        <v>19.867999999999999</v>
      </c>
      <c r="S15" s="18">
        <f>_xll.BDH("TATA IN Equity","INCREMENTAL_OPERATING_MARGIN","FY 2020","FY 2020","Currency=INR","Period=FY","BEST_FPERIOD_OVERRIDE=FY","FILING_STATUS=MR","EQY_CONSOLIDATED=Y","FA_ADJUSTED=GAAP","Sort=A","Dates=H","DateFormat=P","Fill=—","Direction=H","UseDPDF=Y")</f>
        <v>-150.4991</v>
      </c>
      <c r="T15" s="18">
        <f>_xll.BDH("TATA IN Equity","INCREMENTAL_OPERATING_MARGIN","FY 2021","FY 2021","Currency=INR","Period=FY","BEST_FPERIOD_OVERRIDE=FY","FILING_STATUS=MR","EQY_CONSOLIDATED=Y","FA_ADJUSTED=GAAP","Sort=A","Dates=H","DateFormat=P","Fill=—","Direction=H","UseDPDF=Y")</f>
        <v>141.06960000000001</v>
      </c>
      <c r="U15" s="18">
        <f>_xll.BDH("TATA IN Equity","INCREMENTAL_OPERATING_MARGIN","FY 2022","FY 2022","Currency=INR","Period=FY","BEST_FPERIOD_OVERRIDE=FY","FILING_STATUS=MR","EQY_CONSOLIDATED=Y","FA_ADJUSTED=GAAP","Sort=A","Dates=H","DateFormat=P","Fill=—","Direction=H","UseDPDF=Y")</f>
        <v>37.803199999999997</v>
      </c>
      <c r="V15" s="18">
        <f>_xll.BDH("TATA IN Equity","INCREMENTAL_OPERATING_MARGIN","FY 2023","FY 2023","Currency=INR","Period=FY","BEST_FPERIOD_OVERRIDE=FY","FILING_STATUS=MR","EQY_CONSOLIDATED=Y","FA_ADJUSTED=GAAP","Sort=A","Dates=H","DateFormat=P","Fill=—","Direction=H","UseDPDF=Y")</f>
        <v>-4550.1318000000001</v>
      </c>
    </row>
    <row r="16" spans="1:22" x14ac:dyDescent="0.25">
      <c r="A16" s="3" t="s">
        <v>62</v>
      </c>
      <c r="B16" s="3" t="s">
        <v>63</v>
      </c>
      <c r="C16" s="18">
        <f>_xll.BDH("TATA IN Equity","PRETAX_INC_TO_NET_SALES","FY 2004","FY 2004","Currency=INR","Period=FY","BEST_FPERIOD_OVERRIDE=FY","FILING_STATUS=MR","EQY_CONSOLIDATED=Y","FA_ADJUSTED=GAAP","Sort=A","Dates=H","DateFormat=P","Fill=—","Direction=H","UseDPDF=Y")</f>
        <v>24.658100000000001</v>
      </c>
      <c r="D16" s="18">
        <f>_xll.BDH("TATA IN Equity","PRETAX_INC_TO_NET_SALES","FY 2005","FY 2005","Currency=INR","Period=FY","BEST_FPERIOD_OVERRIDE=FY","FILING_STATUS=MR","EQY_CONSOLIDATED=Y","FA_ADJUSTED=GAAP","Sort=A","Dates=H","DateFormat=P","Fill=—","Direction=H","UseDPDF=Y")</f>
        <v>34.380899999999997</v>
      </c>
      <c r="E16" s="18">
        <f>_xll.BDH("TATA IN Equity","PRETAX_INC_TO_NET_SALES","FY 2006","FY 2006","Currency=INR","Period=FY","BEST_FPERIOD_OVERRIDE=FY","FILING_STATUS=MR","EQY_CONSOLIDATED=Y","FA_ADJUSTED=GAAP","Sort=A","Dates=H","DateFormat=P","Fill=—","Direction=H","UseDPDF=Y")</f>
        <v>27.401</v>
      </c>
      <c r="F16" s="18">
        <f>_xll.BDH("TATA IN Equity","PRETAX_INC_TO_NET_SALES","FY 2007","FY 2007","Currency=INR","Period=FY","BEST_FPERIOD_OVERRIDE=FY","FILING_STATUS=MR","EQY_CONSOLIDATED=Y","FA_ADJUSTED=GAAP","Sort=A","Dates=H","DateFormat=P","Fill=—","Direction=H","UseDPDF=Y")</f>
        <v>25.352499999999999</v>
      </c>
      <c r="G16" s="18">
        <f>_xll.BDH("TATA IN Equity","PRETAX_INC_TO_NET_SALES","FY 2008","FY 2008","Currency=INR","Period=FY","BEST_FPERIOD_OVERRIDE=FY","FILING_STATUS=MR","EQY_CONSOLIDATED=Y","FA_ADJUSTED=GAAP","Sort=A","Dates=H","DateFormat=P","Fill=—","Direction=H","UseDPDF=Y")</f>
        <v>12.488300000000001</v>
      </c>
      <c r="H16" s="18">
        <f>_xll.BDH("TATA IN Equity","PRETAX_INC_TO_NET_SALES","FY 2009","FY 2009","Currency=INR","Period=FY","BEST_FPERIOD_OVERRIDE=FY","FILING_STATUS=MR","EQY_CONSOLIDATED=Y","FA_ADJUSTED=GAAP","Sort=A","Dates=H","DateFormat=P","Fill=—","Direction=H","UseDPDF=Y")</f>
        <v>4.577</v>
      </c>
      <c r="I16" s="18">
        <f>_xll.BDH("TATA IN Equity","PRETAX_INC_TO_NET_SALES","FY 2010","FY 2010","Currency=INR","Period=FY","BEST_FPERIOD_OVERRIDE=FY","FILING_STATUS=MR","EQY_CONSOLIDATED=Y","FA_ADJUSTED=GAAP","Sort=A","Dates=H","DateFormat=P","Fill=—","Direction=H","UseDPDF=Y")</f>
        <v>3.0499999999999999E-2</v>
      </c>
      <c r="J16" s="18">
        <f>_xll.BDH("TATA IN Equity","PRETAX_INC_TO_NET_SALES","FY 2011","FY 2011","Currency=INR","Period=FY","BEST_FPERIOD_OVERRIDE=FY","FILING_STATUS=MR","EQY_CONSOLIDATED=Y","FA_ADJUSTED=GAAP","Sort=A","Dates=H","DateFormat=P","Fill=—","Direction=H","UseDPDF=Y")</f>
        <v>10.330299999999999</v>
      </c>
      <c r="K16" s="18">
        <f>_xll.BDH("TATA IN Equity","PRETAX_INC_TO_NET_SALES","FY 2012","FY 2012","Currency=INR","Period=FY","BEST_FPERIOD_OVERRIDE=FY","FILING_STATUS=MR","EQY_CONSOLIDATED=Y","FA_ADJUSTED=GAAP","Sort=A","Dates=H","DateFormat=P","Fill=—","Direction=H","UseDPDF=Y")</f>
        <v>6.4911000000000003</v>
      </c>
      <c r="L16" s="18">
        <f>_xll.BDH("TATA IN Equity","PRETAX_INC_TO_NET_SALES","FY 2013","FY 2013","Currency=INR","Period=FY","BEST_FPERIOD_OVERRIDE=FY","FILING_STATUS=MR","EQY_CONSOLIDATED=Y","FA_ADJUSTED=GAAP","Sort=A","Dates=H","DateFormat=P","Fill=—","Direction=H","UseDPDF=Y")</f>
        <v>-3.0977999999999999</v>
      </c>
      <c r="M16" s="18">
        <f>_xll.BDH("TATA IN Equity","PRETAX_INC_TO_NET_SALES","FY 2014","FY 2014","Currency=INR","Period=FY","BEST_FPERIOD_OVERRIDE=FY","FILING_STATUS=MR","EQY_CONSOLIDATED=Y","FA_ADJUSTED=GAAP","Sort=A","Dates=H","DateFormat=P","Fill=—","Direction=H","UseDPDF=Y")</f>
        <v>4.5621</v>
      </c>
      <c r="N16" s="18">
        <f>_xll.BDH("TATA IN Equity","PRETAX_INC_TO_NET_SALES","FY 2015","FY 2015","Currency=INR","Period=FY","BEST_FPERIOD_OVERRIDE=FY","FILING_STATUS=MR","EQY_CONSOLIDATED=Y","FA_ADJUSTED=GAAP","Sort=A","Dates=H","DateFormat=P","Fill=—","Direction=H","UseDPDF=Y")</f>
        <v>-0.995</v>
      </c>
      <c r="O16" s="18">
        <f>_xll.BDH("TATA IN Equity","PRETAX_INC_TO_NET_SALES","FY 2016","FY 2016","Currency=INR","Period=FY","BEST_FPERIOD_OVERRIDE=FY","FILING_STATUS=MR","EQY_CONSOLIDATED=Y","FA_ADJUSTED=GAAP","Sort=A","Dates=H","DateFormat=P","Fill=—","Direction=H","UseDPDF=Y")</f>
        <v>2.5857999999999999</v>
      </c>
      <c r="P16" s="18">
        <f>_xll.BDH("TATA IN Equity","PRETAX_INC_TO_NET_SALES","FY 2017","FY 2017","Currency=INR","Period=FY","BEST_FPERIOD_OVERRIDE=FY","FILING_STATUS=MR","EQY_CONSOLIDATED=Y","FA_ADJUSTED=GAAP","Sort=A","Dates=H","DateFormat=P","Fill=—","Direction=H","UseDPDF=Y")</f>
        <v>2.12</v>
      </c>
      <c r="Q16" s="18">
        <f>_xll.BDH("TATA IN Equity","PRETAX_INC_TO_NET_SALES","FY 2018","FY 2018","Currency=INR","Period=FY","BEST_FPERIOD_OVERRIDE=FY","FILING_STATUS=MR","EQY_CONSOLIDATED=Y","FA_ADJUSTED=GAAP","Sort=A","Dates=H","DateFormat=P","Fill=—","Direction=H","UseDPDF=Y")</f>
        <v>17.0749</v>
      </c>
      <c r="R16" s="18">
        <f>_xll.BDH("TATA IN Equity","PRETAX_INC_TO_NET_SALES","FY 2019","FY 2019","Currency=INR","Period=FY","BEST_FPERIOD_OVERRIDE=FY","FILING_STATUS=MR","EQY_CONSOLIDATED=Y","FA_ADJUSTED=GAAP","Sort=A","Dates=H","DateFormat=P","Fill=—","Direction=H","UseDPDF=Y")</f>
        <v>10.2822</v>
      </c>
      <c r="S16" s="18">
        <f>_xll.BDH("TATA IN Equity","PRETAX_INC_TO_NET_SALES","FY 2020","FY 2020","Currency=INR","Period=FY","BEST_FPERIOD_OVERRIDE=FY","FILING_STATUS=MR","EQY_CONSOLIDATED=Y","FA_ADJUSTED=GAAP","Sort=A","Dates=H","DateFormat=P","Fill=—","Direction=H","UseDPDF=Y")</f>
        <v>-0.94479999999999997</v>
      </c>
      <c r="T16" s="18">
        <f>_xll.BDH("TATA IN Equity","PRETAX_INC_TO_NET_SALES","FY 2021","FY 2021","Currency=INR","Period=FY","BEST_FPERIOD_OVERRIDE=FY","FILING_STATUS=MR","EQY_CONSOLIDATED=Y","FA_ADJUSTED=GAAP","Sort=A","Dates=H","DateFormat=P","Fill=—","Direction=H","UseDPDF=Y")</f>
        <v>8.9475999999999996</v>
      </c>
      <c r="U16" s="18">
        <f>_xll.BDH("TATA IN Equity","PRETAX_INC_TO_NET_SALES","FY 2022","FY 2022","Currency=INR","Period=FY","BEST_FPERIOD_OVERRIDE=FY","FILING_STATUS=MR","EQY_CONSOLIDATED=Y","FA_ADJUSTED=GAAP","Sort=A","Dates=H","DateFormat=P","Fill=—","Direction=H","UseDPDF=Y")</f>
        <v>20.726900000000001</v>
      </c>
      <c r="V16" s="18">
        <f>_xll.BDH("TATA IN Equity","PRETAX_INC_TO_NET_SALES","FY 2023","FY 2023","Currency=INR","Period=FY","BEST_FPERIOD_OVERRIDE=FY","FILING_STATUS=MR","EQY_CONSOLIDATED=Y","FA_ADJUSTED=GAAP","Sort=A","Dates=H","DateFormat=P","Fill=—","Direction=H","UseDPDF=Y")</f>
        <v>7.5465</v>
      </c>
    </row>
    <row r="17" spans="1:22" x14ac:dyDescent="0.25">
      <c r="A17" s="3" t="s">
        <v>64</v>
      </c>
      <c r="B17" s="3" t="s">
        <v>65</v>
      </c>
      <c r="C17" s="18">
        <f>_xll.BDH("TATA IN Equity","INC_BEF_XO_ITEMS_TO_NET_SALES","FY 2004","FY 2004","Currency=INR","Period=FY","BEST_FPERIOD_OVERRIDE=FY","FILING_STATUS=MR","EQY_CONSOLIDATED=Y","FA_ADJUSTED=GAAP","Sort=A","Dates=H","DateFormat=P","Fill=—","Direction=H","UseDPDF=Y")</f>
        <v>16.245699999999999</v>
      </c>
      <c r="D17" s="18">
        <f>_xll.BDH("TATA IN Equity","INC_BEF_XO_ITEMS_TO_NET_SALES","FY 2005","FY 2005","Currency=INR","Period=FY","BEST_FPERIOD_OVERRIDE=FY","FILING_STATUS=MR","EQY_CONSOLIDATED=Y","FA_ADJUSTED=GAAP","Sort=A","Dates=H","DateFormat=P","Fill=—","Direction=H","UseDPDF=Y")</f>
        <v>22.6846</v>
      </c>
      <c r="E17" s="18">
        <f>_xll.BDH("TATA IN Equity","INC_BEF_XO_ITEMS_TO_NET_SALES","FY 2006","FY 2006","Currency=INR","Period=FY","BEST_FPERIOD_OVERRIDE=FY","FILING_STATUS=MR","EQY_CONSOLIDATED=Y","FA_ADJUSTED=GAAP","Sort=A","Dates=H","DateFormat=P","Fill=—","Direction=H","UseDPDF=Y")</f>
        <v>18.5397</v>
      </c>
      <c r="F17" s="18">
        <f>_xll.BDH("TATA IN Equity","INC_BEF_XO_ITEMS_TO_NET_SALES","FY 2007","FY 2007","Currency=INR","Period=FY","BEST_FPERIOD_OVERRIDE=FY","FILING_STATUS=MR","EQY_CONSOLIDATED=Y","FA_ADJUSTED=GAAP","Sort=A","Dates=H","DateFormat=P","Fill=—","Direction=H","UseDPDF=Y")</f>
        <v>16.8355</v>
      </c>
      <c r="G17" s="18">
        <f>_xll.BDH("TATA IN Equity","INC_BEF_XO_ITEMS_TO_NET_SALES","FY 2008","FY 2008","Currency=INR","Period=FY","BEST_FPERIOD_OVERRIDE=FY","FILING_STATUS=MR","EQY_CONSOLIDATED=Y","FA_ADJUSTED=GAAP","Sort=A","Dates=H","DateFormat=P","Fill=—","Direction=H","UseDPDF=Y")</f>
        <v>9.5276999999999994</v>
      </c>
      <c r="H17" s="18">
        <f>_xll.BDH("TATA IN Equity","INC_BEF_XO_ITEMS_TO_NET_SALES","FY 2009","FY 2009","Currency=INR","Period=FY","BEST_FPERIOD_OVERRIDE=FY","FILING_STATUS=MR","EQY_CONSOLIDATED=Y","FA_ADJUSTED=GAAP","Sort=A","Dates=H","DateFormat=P","Fill=—","Direction=H","UseDPDF=Y")</f>
        <v>3.3325999999999998</v>
      </c>
      <c r="I17" s="18">
        <f>_xll.BDH("TATA IN Equity","INC_BEF_XO_ITEMS_TO_NET_SALES","FY 2010","FY 2010","Currency=INR","Period=FY","BEST_FPERIOD_OVERRIDE=FY","FILING_STATUS=MR","EQY_CONSOLIDATED=Y","FA_ADJUSTED=GAAP","Sort=A","Dates=H","DateFormat=P","Fill=—","Direction=H","UseDPDF=Y")</f>
        <v>-1.9595</v>
      </c>
      <c r="J17" s="18">
        <f>_xll.BDH("TATA IN Equity","INC_BEF_XO_ITEMS_TO_NET_SALES","FY 2011","FY 2011","Currency=INR","Period=FY","BEST_FPERIOD_OVERRIDE=FY","FILING_STATUS=MR","EQY_CONSOLIDATED=Y","FA_ADJUSTED=GAAP","Sort=A","Dates=H","DateFormat=P","Fill=—","Direction=H","UseDPDF=Y")</f>
        <v>7.6162000000000001</v>
      </c>
      <c r="K17" s="18">
        <f>_xll.BDH("TATA IN Equity","INC_BEF_XO_ITEMS_TO_NET_SALES","FY 2012","FY 2012","Currency=INR","Period=FY","BEST_FPERIOD_OVERRIDE=FY","FILING_STATUS=MR","EQY_CONSOLIDATED=Y","FA_ADJUSTED=GAAP","Sort=A","Dates=H","DateFormat=P","Fill=—","Direction=H","UseDPDF=Y")</f>
        <v>3.9443000000000001</v>
      </c>
      <c r="L17" s="18">
        <f>_xll.BDH("TATA IN Equity","INC_BEF_XO_ITEMS_TO_NET_SALES","FY 2013","FY 2013","Currency=INR","Period=FY","BEST_FPERIOD_OVERRIDE=FY","FILING_STATUS=MR","EQY_CONSOLIDATED=Y","FA_ADJUSTED=GAAP","Sort=A","Dates=H","DateFormat=P","Fill=—","Direction=H","UseDPDF=Y")</f>
        <v>-5.4507000000000003</v>
      </c>
      <c r="M17" s="18">
        <f>_xll.BDH("TATA IN Equity","INC_BEF_XO_ITEMS_TO_NET_SALES","FY 2014","FY 2014","Currency=INR","Period=FY","BEST_FPERIOD_OVERRIDE=FY","FILING_STATUS=MR","EQY_CONSOLIDATED=Y","FA_ADJUSTED=GAAP","Sort=A","Dates=H","DateFormat=P","Fill=—","Direction=H","UseDPDF=Y")</f>
        <v>2.4872000000000001</v>
      </c>
      <c r="N17" s="18">
        <f>_xll.BDH("TATA IN Equity","INC_BEF_XO_ITEMS_TO_NET_SALES","FY 2015","FY 2015","Currency=INR","Period=FY","BEST_FPERIOD_OVERRIDE=FY","FILING_STATUS=MR","EQY_CONSOLIDATED=Y","FA_ADJUSTED=GAAP","Sort=A","Dates=H","DateFormat=P","Fill=—","Direction=H","UseDPDF=Y")</f>
        <v>-2.8233999999999999</v>
      </c>
      <c r="O17" s="18">
        <f>_xll.BDH("TATA IN Equity","INC_BEF_XO_ITEMS_TO_NET_SALES","FY 2016","FY 2016","Currency=INR","Period=FY","BEST_FPERIOD_OVERRIDE=FY","FILING_STATUS=MR","EQY_CONSOLIDATED=Y","FA_ADJUSTED=GAAP","Sort=A","Dates=H","DateFormat=P","Fill=—","Direction=H","UseDPDF=Y")</f>
        <v>1.9329000000000001</v>
      </c>
      <c r="P17" s="18">
        <f>_xll.BDH("TATA IN Equity","INC_BEF_XO_ITEMS_TO_NET_SALES","FY 2017","FY 2017","Currency=INR","Period=FY","BEST_FPERIOD_OVERRIDE=FY","FILING_STATUS=MR","EQY_CONSOLIDATED=Y","FA_ADJUSTED=GAAP","Sort=A","Dates=H","DateFormat=P","Fill=—","Direction=H","UseDPDF=Y")</f>
        <v>-0.26090000000000002</v>
      </c>
      <c r="Q17" s="18">
        <f>_xll.BDH("TATA IN Equity","INC_BEF_XO_ITEMS_TO_NET_SALES","FY 2018","FY 2018","Currency=INR","Period=FY","BEST_FPERIOD_OVERRIDE=FY","FILING_STATUS=MR","EQY_CONSOLIDATED=Y","FA_ADJUSTED=GAAP","Sort=A","Dates=H","DateFormat=P","Fill=—","Direction=H","UseDPDF=Y")</f>
        <v>14.3108</v>
      </c>
      <c r="R17" s="18">
        <f>_xll.BDH("TATA IN Equity","INC_BEF_XO_ITEMS_TO_NET_SALES","FY 2019","FY 2019","Currency=INR","Period=FY","BEST_FPERIOD_OVERRIDE=FY","FILING_STATUS=MR","EQY_CONSOLIDATED=Y","FA_ADJUSTED=GAAP","Sort=A","Dates=H","DateFormat=P","Fill=—","Direction=H","UseDPDF=Y")</f>
        <v>5.9390999999999998</v>
      </c>
      <c r="S17" s="18">
        <f>_xll.BDH("TATA IN Equity","INC_BEF_XO_ITEMS_TO_NET_SALES","FY 2020","FY 2020","Currency=INR","Period=FY","BEST_FPERIOD_OVERRIDE=FY","FILING_STATUS=MR","EQY_CONSOLIDATED=Y","FA_ADJUSTED=GAAP","Sort=A","Dates=H","DateFormat=P","Fill=—","Direction=H","UseDPDF=Y")</f>
        <v>0.80249999999999999</v>
      </c>
      <c r="T17" s="18">
        <f>_xll.BDH("TATA IN Equity","INC_BEF_XO_ITEMS_TO_NET_SALES","FY 2021","FY 2021","Currency=INR","Period=FY","BEST_FPERIOD_OVERRIDE=FY","FILING_STATUS=MR","EQY_CONSOLIDATED=Y","FA_ADJUSTED=GAAP","Sort=A","Dates=H","DateFormat=P","Fill=—","Direction=H","UseDPDF=Y")</f>
        <v>5.2933000000000003</v>
      </c>
      <c r="U17" s="18">
        <f>_xll.BDH("TATA IN Equity","INC_BEF_XO_ITEMS_TO_NET_SALES","FY 2022","FY 2022","Currency=INR","Period=FY","BEST_FPERIOD_OVERRIDE=FY","FILING_STATUS=MR","EQY_CONSOLIDATED=Y","FA_ADJUSTED=GAAP","Sort=A","Dates=H","DateFormat=P","Fill=—","Direction=H","UseDPDF=Y")</f>
        <v>17.2285</v>
      </c>
      <c r="V17" s="18">
        <f>_xll.BDH("TATA IN Equity","INC_BEF_XO_ITEMS_TO_NET_SALES","FY 2023","FY 2023","Currency=INR","Period=FY","BEST_FPERIOD_OVERRIDE=FY","FILING_STATUS=MR","EQY_CONSOLIDATED=Y","FA_ADJUSTED=GAAP","Sort=A","Dates=H","DateFormat=P","Fill=—","Direction=H","UseDPDF=Y")</f>
        <v>3.3418999999999999</v>
      </c>
    </row>
    <row r="18" spans="1:22" x14ac:dyDescent="0.25">
      <c r="A18" s="3" t="s">
        <v>66</v>
      </c>
      <c r="B18" s="3" t="s">
        <v>67</v>
      </c>
      <c r="C18" s="18">
        <f>_xll.BDH("TATA IN Equity","PROF_MARGIN","FY 2004","FY 2004","Currency=INR","Period=FY","BEST_FPERIOD_OVERRIDE=FY","FILING_STATUS=MR","EQY_CONSOLIDATED=Y","FA_ADJUSTED=GAAP","Sort=A","Dates=H","DateFormat=P","Fill=—","Direction=H","UseDPDF=Y")</f>
        <v>16.072500000000002</v>
      </c>
      <c r="D18" s="18">
        <f>_xll.BDH("TATA IN Equity","PROF_MARGIN","FY 2005","FY 2005","Currency=INR","Period=FY","BEST_FPERIOD_OVERRIDE=FY","FILING_STATUS=MR","EQY_CONSOLIDATED=Y","FA_ADJUSTED=GAAP","Sort=A","Dates=H","DateFormat=P","Fill=—","Direction=H","UseDPDF=Y")</f>
        <v>22.522300000000001</v>
      </c>
      <c r="E18" s="18">
        <f>_xll.BDH("TATA IN Equity","PROF_MARGIN","FY 2006","FY 2006","Currency=INR","Period=FY","BEST_FPERIOD_OVERRIDE=FY","FILING_STATUS=MR","EQY_CONSOLIDATED=Y","FA_ADJUSTED=GAAP","Sort=A","Dates=H","DateFormat=P","Fill=—","Direction=H","UseDPDF=Y")</f>
        <v>18.447600000000001</v>
      </c>
      <c r="F18" s="18">
        <f>_xll.BDH("TATA IN Equity","PROF_MARGIN","FY 2007","FY 2007","Currency=INR","Period=FY","BEST_FPERIOD_OVERRIDE=FY","FILING_STATUS=MR","EQY_CONSOLIDATED=Y","FA_ADJUSTED=GAAP","Sort=A","Dates=H","DateFormat=P","Fill=—","Direction=H","UseDPDF=Y")</f>
        <v>16.567699999999999</v>
      </c>
      <c r="G18" s="18">
        <f>_xll.BDH("TATA IN Equity","PROF_MARGIN","FY 2008","FY 2008","Currency=INR","Period=FY","BEST_FPERIOD_OVERRIDE=FY","FILING_STATUS=MR","EQY_CONSOLIDATED=Y","FA_ADJUSTED=GAAP","Sort=A","Dates=H","DateFormat=P","Fill=—","Direction=H","UseDPDF=Y")</f>
        <v>9.4208999999999996</v>
      </c>
      <c r="H18" s="18">
        <f>_xll.BDH("TATA IN Equity","PROF_MARGIN","FY 2009","FY 2009","Currency=INR","Period=FY","BEST_FPERIOD_OVERRIDE=FY","FILING_STATUS=MR","EQY_CONSOLIDATED=Y","FA_ADJUSTED=GAAP","Sort=A","Dates=H","DateFormat=P","Fill=—","Direction=H","UseDPDF=Y")</f>
        <v>3.3603999999999998</v>
      </c>
      <c r="I18" s="18">
        <f>_xll.BDH("TATA IN Equity","PROF_MARGIN","FY 2010","FY 2010","Currency=INR","Period=FY","BEST_FPERIOD_OVERRIDE=FY","FILING_STATUS=MR","EQY_CONSOLIDATED=Y","FA_ADJUSTED=GAAP","Sort=A","Dates=H","DateFormat=P","Fill=—","Direction=H","UseDPDF=Y")</f>
        <v>-1.9744999999999999</v>
      </c>
      <c r="J18" s="18">
        <f>_xll.BDH("TATA IN Equity","PROF_MARGIN","FY 2011","FY 2011","Currency=INR","Period=FY","BEST_FPERIOD_OVERRIDE=FY","FILING_STATUS=MR","EQY_CONSOLIDATED=Y","FA_ADJUSTED=GAAP","Sort=A","Dates=H","DateFormat=P","Fill=—","Direction=H","UseDPDF=Y")</f>
        <v>7.6677</v>
      </c>
      <c r="K18" s="18">
        <f>_xll.BDH("TATA IN Equity","PROF_MARGIN","FY 2012","FY 2012","Currency=INR","Period=FY","BEST_FPERIOD_OVERRIDE=FY","FILING_STATUS=MR","EQY_CONSOLIDATED=Y","FA_ADJUSTED=GAAP","Sort=A","Dates=H","DateFormat=P","Fill=—","Direction=H","UseDPDF=Y")</f>
        <v>4.0751999999999997</v>
      </c>
      <c r="L18" s="18">
        <f>_xll.BDH("TATA IN Equity","PROF_MARGIN","FY 2013","FY 2013","Currency=INR","Period=FY","BEST_FPERIOD_OVERRIDE=FY","FILING_STATUS=MR","EQY_CONSOLIDATED=Y","FA_ADJUSTED=GAAP","Sort=A","Dates=H","DateFormat=P","Fill=—","Direction=H","UseDPDF=Y")</f>
        <v>-5.2899000000000003</v>
      </c>
      <c r="M18" s="18">
        <f>_xll.BDH("TATA IN Equity","PROF_MARGIN","FY 2014","FY 2014","Currency=INR","Period=FY","BEST_FPERIOD_OVERRIDE=FY","FILING_STATUS=MR","EQY_CONSOLIDATED=Y","FA_ADJUSTED=GAAP","Sort=A","Dates=H","DateFormat=P","Fill=—","Direction=H","UseDPDF=Y")</f>
        <v>2.4397000000000002</v>
      </c>
      <c r="N18" s="18">
        <f>_xll.BDH("TATA IN Equity","PROF_MARGIN","FY 2015","FY 2015","Currency=INR","Period=FY","BEST_FPERIOD_OVERRIDE=FY","FILING_STATUS=MR","EQY_CONSOLIDATED=Y","FA_ADJUSTED=GAAP","Sort=A","Dates=H","DateFormat=P","Fill=—","Direction=H","UseDPDF=Y")</f>
        <v>-2.8138999999999998</v>
      </c>
      <c r="O18" s="18">
        <f>_xll.BDH("TATA IN Equity","PROF_MARGIN","FY 2016","FY 2016","Currency=INR","Period=FY","BEST_FPERIOD_OVERRIDE=FY","FILING_STATUS=MR","EQY_CONSOLIDATED=Y","FA_ADJUSTED=GAAP","Sort=A","Dates=H","DateFormat=P","Fill=—","Direction=H","UseDPDF=Y")</f>
        <v>-0.36220000000000002</v>
      </c>
      <c r="P18" s="18">
        <f>_xll.BDH("TATA IN Equity","PROF_MARGIN","FY 2017","FY 2017","Currency=INR","Period=FY","BEST_FPERIOD_OVERRIDE=FY","FILING_STATUS=MR","EQY_CONSOLIDATED=Y","FA_ADJUSTED=GAAP","Sort=A","Dates=H","DateFormat=P","Fill=—","Direction=H","UseDPDF=Y")</f>
        <v>-3.6345000000000001</v>
      </c>
      <c r="Q18" s="18">
        <f>_xll.BDH("TATA IN Equity","PROF_MARGIN","FY 2018","FY 2018","Currency=INR","Period=FY","BEST_FPERIOD_OVERRIDE=FY","FILING_STATUS=MR","EQY_CONSOLIDATED=Y","FA_ADJUSTED=GAAP","Sort=A","Dates=H","DateFormat=P","Fill=—","Direction=H","UseDPDF=Y")</f>
        <v>10.9625</v>
      </c>
      <c r="R18" s="18">
        <f>_xll.BDH("TATA IN Equity","PROF_MARGIN","FY 2019","FY 2019","Currency=INR","Period=FY","BEST_FPERIOD_OVERRIDE=FY","FILING_STATUS=MR","EQY_CONSOLIDATED=Y","FA_ADJUSTED=GAAP","Sort=A","Dates=H","DateFormat=P","Fill=—","Direction=H","UseDPDF=Y")</f>
        <v>6.5902000000000003</v>
      </c>
      <c r="S18" s="18">
        <f>_xll.BDH("TATA IN Equity","PROF_MARGIN","FY 2020","FY 2020","Currency=INR","Period=FY","BEST_FPERIOD_OVERRIDE=FY","FILING_STATUS=MR","EQY_CONSOLIDATED=Y","FA_ADJUSTED=GAAP","Sort=A","Dates=H","DateFormat=P","Fill=—","Direction=H","UseDPDF=Y")</f>
        <v>1.0652999999999999</v>
      </c>
      <c r="T18" s="18">
        <f>_xll.BDH("TATA IN Equity","PROF_MARGIN","FY 2021","FY 2021","Currency=INR","Period=FY","BEST_FPERIOD_OVERRIDE=FY","FILING_STATUS=MR","EQY_CONSOLIDATED=Y","FA_ADJUSTED=GAAP","Sort=A","Dates=H","DateFormat=P","Fill=—","Direction=H","UseDPDF=Y")</f>
        <v>4.8411999999999997</v>
      </c>
      <c r="U18" s="18">
        <f>_xll.BDH("TATA IN Equity","PROF_MARGIN","FY 2022","FY 2022","Currency=INR","Period=FY","BEST_FPERIOD_OVERRIDE=FY","FILING_STATUS=MR","EQY_CONSOLIDATED=Y","FA_ADJUSTED=GAAP","Sort=A","Dates=H","DateFormat=P","Fill=—","Direction=H","UseDPDF=Y")</f>
        <v>16.5702</v>
      </c>
      <c r="V18" s="18">
        <f>_xll.BDH("TATA IN Equity","PROF_MARGIN","FY 2023","FY 2023","Currency=INR","Period=FY","BEST_FPERIOD_OVERRIDE=FY","FILING_STATUS=MR","EQY_CONSOLIDATED=Y","FA_ADJUSTED=GAAP","Sort=A","Dates=H","DateFormat=P","Fill=—","Direction=H","UseDPDF=Y")</f>
        <v>3.6254</v>
      </c>
    </row>
    <row r="19" spans="1:22" x14ac:dyDescent="0.25">
      <c r="A19" s="3" t="s">
        <v>68</v>
      </c>
      <c r="B19" s="3" t="s">
        <v>69</v>
      </c>
      <c r="C19" s="18">
        <f>_xll.BDH("TATA IN Equity","NET_INCOME_TO_COMMON_MARGIN","FY 2004","FY 2004","Currency=INR","Period=FY","BEST_FPERIOD_OVERRIDE=FY","FILING_STATUS=MR","EQY_CONSOLIDATED=Y","FA_ADJUSTED=GAAP","Sort=A","Dates=H","DateFormat=P","Fill=—","Direction=H","UseDPDF=Y")</f>
        <v>16.072500000000002</v>
      </c>
      <c r="D19" s="18">
        <f>_xll.BDH("TATA IN Equity","NET_INCOME_TO_COMMON_MARGIN","FY 2005","FY 2005","Currency=INR","Period=FY","BEST_FPERIOD_OVERRIDE=FY","FILING_STATUS=MR","EQY_CONSOLIDATED=Y","FA_ADJUSTED=GAAP","Sort=A","Dates=H","DateFormat=P","Fill=—","Direction=H","UseDPDF=Y")</f>
        <v>22.522300000000001</v>
      </c>
      <c r="E19" s="18">
        <f>_xll.BDH("TATA IN Equity","NET_INCOME_TO_COMMON_MARGIN","FY 2006","FY 2006","Currency=INR","Period=FY","BEST_FPERIOD_OVERRIDE=FY","FILING_STATUS=MR","EQY_CONSOLIDATED=Y","FA_ADJUSTED=GAAP","Sort=A","Dates=H","DateFormat=P","Fill=—","Direction=H","UseDPDF=Y")</f>
        <v>18.447600000000001</v>
      </c>
      <c r="F19" s="18">
        <f>_xll.BDH("TATA IN Equity","NET_INCOME_TO_COMMON_MARGIN","FY 2007","FY 2007","Currency=INR","Period=FY","BEST_FPERIOD_OVERRIDE=FY","FILING_STATUS=MR","EQY_CONSOLIDATED=Y","FA_ADJUSTED=GAAP","Sort=A","Dates=H","DateFormat=P","Fill=—","Direction=H","UseDPDF=Y")</f>
        <v>16.567699999999999</v>
      </c>
      <c r="G19" s="18">
        <f>_xll.BDH("TATA IN Equity","NET_INCOME_TO_COMMON_MARGIN","FY 2008","FY 2008","Currency=INR","Period=FY","BEST_FPERIOD_OVERRIDE=FY","FILING_STATUS=MR","EQY_CONSOLIDATED=Y","FA_ADJUSTED=GAAP","Sort=A","Dates=H","DateFormat=P","Fill=—","Direction=H","UseDPDF=Y")</f>
        <v>9.4039999999999999</v>
      </c>
      <c r="H19" s="18">
        <f>_xll.BDH("TATA IN Equity","NET_INCOME_TO_COMMON_MARGIN","FY 2009","FY 2009","Currency=INR","Period=FY","BEST_FPERIOD_OVERRIDE=FY","FILING_STATUS=MR","EQY_CONSOLIDATED=Y","FA_ADJUSTED=GAAP","Sort=A","Dates=H","DateFormat=P","Fill=—","Direction=H","UseDPDF=Y")</f>
        <v>3.2860999999999998</v>
      </c>
      <c r="I19" s="18">
        <f>_xll.BDH("TATA IN Equity","NET_INCOME_TO_COMMON_MARGIN","FY 2010","FY 2010","Currency=INR","Period=FY","BEST_FPERIOD_OVERRIDE=FY","FILING_STATUS=MR","EQY_CONSOLIDATED=Y","FA_ADJUSTED=GAAP","Sort=A","Dates=H","DateFormat=P","Fill=—","Direction=H","UseDPDF=Y")</f>
        <v>-2.0196000000000001</v>
      </c>
      <c r="J19" s="18">
        <f>_xll.BDH("TATA IN Equity","NET_INCOME_TO_COMMON_MARGIN","FY 2011","FY 2011","Currency=INR","Period=FY","BEST_FPERIOD_OVERRIDE=FY","FILING_STATUS=MR","EQY_CONSOLIDATED=Y","FA_ADJUSTED=GAAP","Sort=A","Dates=H","DateFormat=P","Fill=—","Direction=H","UseDPDF=Y")</f>
        <v>7.6677</v>
      </c>
      <c r="K19" s="18">
        <f>_xll.BDH("TATA IN Equity","NET_INCOME_TO_COMMON_MARGIN","FY 2012","FY 2012","Currency=INR","Period=FY","BEST_FPERIOD_OVERRIDE=FY","FILING_STATUS=MR","EQY_CONSOLIDATED=Y","FA_ADJUSTED=GAAP","Sort=A","Dates=H","DateFormat=P","Fill=—","Direction=H","UseDPDF=Y")</f>
        <v>4.0751999999999997</v>
      </c>
      <c r="L19" s="18">
        <f>_xll.BDH("TATA IN Equity","NET_INCOME_TO_COMMON_MARGIN","FY 2013","FY 2013","Currency=INR","Period=FY","BEST_FPERIOD_OVERRIDE=FY","FILING_STATUS=MR","EQY_CONSOLIDATED=Y","FA_ADJUSTED=GAAP","Sort=A","Dates=H","DateFormat=P","Fill=—","Direction=H","UseDPDF=Y")</f>
        <v>-5.2899000000000003</v>
      </c>
      <c r="M19" s="18">
        <f>_xll.BDH("TATA IN Equity","NET_INCOME_TO_COMMON_MARGIN","FY 2014","FY 2014","Currency=INR","Period=FY","BEST_FPERIOD_OVERRIDE=FY","FILING_STATUS=MR","EQY_CONSOLIDATED=Y","FA_ADJUSTED=GAAP","Sort=A","Dates=H","DateFormat=P","Fill=—","Direction=H","UseDPDF=Y")</f>
        <v>2.4397000000000002</v>
      </c>
      <c r="N19" s="18">
        <f>_xll.BDH("TATA IN Equity","NET_INCOME_TO_COMMON_MARGIN","FY 2015","FY 2015","Currency=INR","Period=FY","BEST_FPERIOD_OVERRIDE=FY","FILING_STATUS=MR","EQY_CONSOLIDATED=Y","FA_ADJUSTED=GAAP","Sort=A","Dates=H","DateFormat=P","Fill=—","Direction=H","UseDPDF=Y")</f>
        <v>-2.8138999999999998</v>
      </c>
      <c r="O19" s="18">
        <f>_xll.BDH("TATA IN Equity","NET_INCOME_TO_COMMON_MARGIN","FY 2016","FY 2016","Currency=INR","Period=FY","BEST_FPERIOD_OVERRIDE=FY","FILING_STATUS=MR","EQY_CONSOLIDATED=Y","FA_ADJUSTED=GAAP","Sort=A","Dates=H","DateFormat=P","Fill=—","Direction=H","UseDPDF=Y")</f>
        <v>-0.52690000000000003</v>
      </c>
      <c r="P19" s="18">
        <f>_xll.BDH("TATA IN Equity","NET_INCOME_TO_COMMON_MARGIN","FY 2017","FY 2017","Currency=INR","Period=FY","BEST_FPERIOD_OVERRIDE=FY","FILING_STATUS=MR","EQY_CONSOLIDATED=Y","FA_ADJUSTED=GAAP","Sort=A","Dates=H","DateFormat=P","Fill=—","Direction=H","UseDPDF=Y")</f>
        <v>-3.7835999999999999</v>
      </c>
      <c r="Q19" s="18">
        <f>_xll.BDH("TATA IN Equity","NET_INCOME_TO_COMMON_MARGIN","FY 2018","FY 2018","Currency=INR","Period=FY","BEST_FPERIOD_OVERRIDE=FY","FILING_STATUS=MR","EQY_CONSOLIDATED=Y","FA_ADJUSTED=GAAP","Sort=A","Dates=H","DateFormat=P","Fill=—","Direction=H","UseDPDF=Y")</f>
        <v>10.9625</v>
      </c>
      <c r="R19" s="18">
        <f>_xll.BDH("TATA IN Equity","NET_INCOME_TO_COMMON_MARGIN","FY 2019","FY 2019","Currency=INR","Period=FY","BEST_FPERIOD_OVERRIDE=FY","FILING_STATUS=MR","EQY_CONSOLIDATED=Y","FA_ADJUSTED=GAAP","Sort=A","Dates=H","DateFormat=P","Fill=—","Direction=H","UseDPDF=Y")</f>
        <v>6.5902000000000003</v>
      </c>
      <c r="S19" s="18">
        <f>_xll.BDH("TATA IN Equity","NET_INCOME_TO_COMMON_MARGIN","FY 2020","FY 2020","Currency=INR","Period=FY","BEST_FPERIOD_OVERRIDE=FY","FILING_STATUS=MR","EQY_CONSOLIDATED=Y","FA_ADJUSTED=GAAP","Sort=A","Dates=H","DateFormat=P","Fill=—","Direction=H","UseDPDF=Y")</f>
        <v>1.0652999999999999</v>
      </c>
      <c r="T19" s="18">
        <f>_xll.BDH("TATA IN Equity","NET_INCOME_TO_COMMON_MARGIN","FY 2021","FY 2021","Currency=INR","Period=FY","BEST_FPERIOD_OVERRIDE=FY","FILING_STATUS=MR","EQY_CONSOLIDATED=Y","FA_ADJUSTED=GAAP","Sort=A","Dates=H","DateFormat=P","Fill=—","Direction=H","UseDPDF=Y")</f>
        <v>4.8411999999999997</v>
      </c>
      <c r="U19" s="18">
        <f>_xll.BDH("TATA IN Equity","NET_INCOME_TO_COMMON_MARGIN","FY 2022","FY 2022","Currency=INR","Period=FY","BEST_FPERIOD_OVERRIDE=FY","FILING_STATUS=MR","EQY_CONSOLIDATED=Y","FA_ADJUSTED=GAAP","Sort=A","Dates=H","DateFormat=P","Fill=—","Direction=H","UseDPDF=Y")</f>
        <v>16.5702</v>
      </c>
      <c r="V19" s="18">
        <f>_xll.BDH("TATA IN Equity","NET_INCOME_TO_COMMON_MARGIN","FY 2023","FY 2023","Currency=INR","Period=FY","BEST_FPERIOD_OVERRIDE=FY","FILING_STATUS=MR","EQY_CONSOLIDATED=Y","FA_ADJUSTED=GAAP","Sort=A","Dates=H","DateFormat=P","Fill=—","Direction=H","UseDPDF=Y")</f>
        <v>3.6254</v>
      </c>
    </row>
    <row r="20" spans="1:22" x14ac:dyDescent="0.25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1" t="s">
        <v>70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3" t="s">
        <v>71</v>
      </c>
      <c r="B22" s="3" t="s">
        <v>72</v>
      </c>
      <c r="C22" s="18">
        <f>_xll.BDH("TATA IN Equity","EFF_TAX_RATE","FY 2004","FY 2004","Currency=INR","Period=FY","BEST_FPERIOD_OVERRIDE=FY","FILING_STATUS=MR","EQY_CONSOLIDATED=Y","FA_ADJUSTED=GAAP","Sort=A","Dates=H","DateFormat=P","Fill=—","Direction=H","UseDPDF=Y")</f>
        <v>34.116</v>
      </c>
      <c r="D22" s="18">
        <f>_xll.BDH("TATA IN Equity","EFF_TAX_RATE","FY 2005","FY 2005","Currency=INR","Period=FY","BEST_FPERIOD_OVERRIDE=FY","FILING_STATUS=MR","EQY_CONSOLIDATED=Y","FA_ADJUSTED=GAAP","Sort=A","Dates=H","DateFormat=P","Fill=—","Direction=H","UseDPDF=Y")</f>
        <v>34.0197</v>
      </c>
      <c r="E22" s="18">
        <f>_xll.BDH("TATA IN Equity","EFF_TAX_RATE","FY 2006","FY 2006","Currency=INR","Period=FY","BEST_FPERIOD_OVERRIDE=FY","FILING_STATUS=MR","EQY_CONSOLIDATED=Y","FA_ADJUSTED=GAAP","Sort=A","Dates=H","DateFormat=P","Fill=—","Direction=H","UseDPDF=Y")</f>
        <v>32.339199999999998</v>
      </c>
      <c r="F22" s="18">
        <f>_xll.BDH("TATA IN Equity","EFF_TAX_RATE","FY 2007","FY 2007","Currency=INR","Period=FY","BEST_FPERIOD_OVERRIDE=FY","FILING_STATUS=MR","EQY_CONSOLIDATED=Y","FA_ADJUSTED=GAAP","Sort=A","Dates=H","DateFormat=P","Fill=—","Direction=H","UseDPDF=Y")</f>
        <v>33.594200000000001</v>
      </c>
      <c r="G22" s="18">
        <f>_xll.BDH("TATA IN Equity","EFF_TAX_RATE","FY 2008","FY 2008","Currency=INR","Period=FY","BEST_FPERIOD_OVERRIDE=FY","FILING_STATUS=MR","EQY_CONSOLIDATED=Y","FA_ADJUSTED=GAAP","Sort=A","Dates=H","DateFormat=P","Fill=—","Direction=H","UseDPDF=Y")</f>
        <v>24.734500000000001</v>
      </c>
      <c r="H22" s="18">
        <f>_xll.BDH("TATA IN Equity","EFF_TAX_RATE","FY 2009","FY 2009","Currency=INR","Period=FY","BEST_FPERIOD_OVERRIDE=FY","FILING_STATUS=MR","EQY_CONSOLIDATED=Y","FA_ADJUSTED=GAAP","Sort=A","Dates=H","DateFormat=P","Fill=—","Direction=H","UseDPDF=Y")</f>
        <v>28.087399999999999</v>
      </c>
      <c r="I22" s="18">
        <f>_xll.BDH("TATA IN Equity","EFF_TAX_RATE","FY 2010","FY 2010","Currency=INR","Period=FY","BEST_FPERIOD_OVERRIDE=FY","FILING_STATUS=MR","EQY_CONSOLIDATED=Y","FA_ADJUSTED=GAAP","Sort=A","Dates=H","DateFormat=P","Fill=—","Direction=H","UseDPDF=Y")</f>
        <v>6941.4193999999998</v>
      </c>
      <c r="J22" s="18">
        <f>_xll.BDH("TATA IN Equity","EFF_TAX_RATE","FY 2011","FY 2011","Currency=INR","Period=FY","BEST_FPERIOD_OVERRIDE=FY","FILING_STATUS=MR","EQY_CONSOLIDATED=Y","FA_ADJUSTED=GAAP","Sort=A","Dates=H","DateFormat=P","Fill=—","Direction=H","UseDPDF=Y")</f>
        <v>26.821300000000001</v>
      </c>
      <c r="K22" s="18">
        <f>_xll.BDH("TATA IN Equity","EFF_TAX_RATE","FY 2012","FY 2012","Currency=INR","Period=FY","BEST_FPERIOD_OVERRIDE=FY","FILING_STATUS=MR","EQY_CONSOLIDATED=Y","FA_ADJUSTED=GAAP","Sort=A","Dates=H","DateFormat=P","Fill=—","Direction=H","UseDPDF=Y")</f>
        <v>42.358400000000003</v>
      </c>
      <c r="L22" s="18" t="str">
        <f>_xll.BDH("TATA IN Equity","EFF_TAX_RATE","FY 2013","FY 2013","Currency=INR","Period=FY","BEST_FPERIOD_OVERRIDE=FY","FILING_STATUS=MR","EQY_CONSOLIDATED=Y","FA_ADJUSTED=GAAP","Sort=A","Dates=H","DateFormat=P","Fill=—","Direction=H","UseDPDF=Y")</f>
        <v>—</v>
      </c>
      <c r="M22" s="18">
        <f>_xll.BDH("TATA IN Equity","EFF_TAX_RATE","FY 2014","FY 2014","Currency=INR","Period=FY","BEST_FPERIOD_OVERRIDE=FY","FILING_STATUS=MR","EQY_CONSOLIDATED=Y","FA_ADJUSTED=GAAP","Sort=A","Dates=H","DateFormat=P","Fill=—","Direction=H","UseDPDF=Y")</f>
        <v>45.493899999999996</v>
      </c>
      <c r="N22" s="18" t="str">
        <f>_xll.BDH("TATA IN Equity","EFF_TAX_RATE","FY 2015","FY 2015","Currency=INR","Period=FY","BEST_FPERIOD_OVERRIDE=FY","FILING_STATUS=MR","EQY_CONSOLIDATED=Y","FA_ADJUSTED=GAAP","Sort=A","Dates=H","DateFormat=P","Fill=—","Direction=H","UseDPDF=Y")</f>
        <v>—</v>
      </c>
      <c r="O22" s="18">
        <f>_xll.BDH("TATA IN Equity","EFF_TAX_RATE","FY 2016","FY 2016","Currency=INR","Period=FY","BEST_FPERIOD_OVERRIDE=FY","FILING_STATUS=MR","EQY_CONSOLIDATED=Y","FA_ADJUSTED=GAAP","Sort=A","Dates=H","DateFormat=P","Fill=—","Direction=H","UseDPDF=Y")</f>
        <v>25.247800000000002</v>
      </c>
      <c r="P22" s="18">
        <f>_xll.BDH("TATA IN Equity","EFF_TAX_RATE","FY 2017","FY 2017","Currency=INR","Period=FY","BEST_FPERIOD_OVERRIDE=FY","FILING_STATUS=MR","EQY_CONSOLIDATED=Y","FA_ADJUSTED=GAAP","Sort=A","Dates=H","DateFormat=P","Fill=—","Direction=H","UseDPDF=Y")</f>
        <v>112.30500000000001</v>
      </c>
      <c r="Q22" s="18">
        <f>_xll.BDH("TATA IN Equity","EFF_TAX_RATE","FY 2018","FY 2018","Currency=INR","Period=FY","BEST_FPERIOD_OVERRIDE=FY","FILING_STATUS=MR","EQY_CONSOLIDATED=Y","FA_ADJUSTED=GAAP","Sort=A","Dates=H","DateFormat=P","Fill=—","Direction=H","UseDPDF=Y")</f>
        <v>16.187799999999999</v>
      </c>
      <c r="R22" s="18">
        <f>_xll.BDH("TATA IN Equity","EFF_TAX_RATE","FY 2019","FY 2019","Currency=INR","Period=FY","BEST_FPERIOD_OVERRIDE=FY","FILING_STATUS=MR","EQY_CONSOLIDATED=Y","FA_ADJUSTED=GAAP","Sort=A","Dates=H","DateFormat=P","Fill=—","Direction=H","UseDPDF=Y")</f>
        <v>42.239100000000001</v>
      </c>
      <c r="S22" s="18" t="str">
        <f>_xll.BDH("TATA IN Equity","EFF_TAX_RATE","FY 2020","FY 2020","Currency=INR","Period=FY","BEST_FPERIOD_OVERRIDE=FY","FILING_STATUS=MR","EQY_CONSOLIDATED=Y","FA_ADJUSTED=GAAP","Sort=A","Dates=H","DateFormat=P","Fill=—","Direction=H","UseDPDF=Y")</f>
        <v>—</v>
      </c>
      <c r="T22" s="18">
        <f>_xll.BDH("TATA IN Equity","EFF_TAX_RATE","FY 2021","FY 2021","Currency=INR","Period=FY","BEST_FPERIOD_OVERRIDE=FY","FILING_STATUS=MR","EQY_CONSOLIDATED=Y","FA_ADJUSTED=GAAP","Sort=A","Dates=H","DateFormat=P","Fill=—","Direction=H","UseDPDF=Y")</f>
        <v>40.841000000000001</v>
      </c>
      <c r="U22" s="18">
        <f>_xll.BDH("TATA IN Equity","EFF_TAX_RATE","FY 2022","FY 2022","Currency=INR","Period=FY","BEST_FPERIOD_OVERRIDE=FY","FILING_STATUS=MR","EQY_CONSOLIDATED=Y","FA_ADJUSTED=GAAP","Sort=A","Dates=H","DateFormat=P","Fill=—","Direction=H","UseDPDF=Y")</f>
        <v>16.878499999999999</v>
      </c>
      <c r="V22" s="18">
        <f>_xll.BDH("TATA IN Equity","EFF_TAX_RATE","FY 2023","FY 2023","Currency=INR","Period=FY","BEST_FPERIOD_OVERRIDE=FY","FILING_STATUS=MR","EQY_CONSOLIDATED=Y","FA_ADJUSTED=GAAP","Sort=A","Dates=H","DateFormat=P","Fill=—","Direction=H","UseDPDF=Y")</f>
        <v>55.715400000000002</v>
      </c>
    </row>
    <row r="23" spans="1:22" x14ac:dyDescent="0.25">
      <c r="A23" s="3" t="s">
        <v>73</v>
      </c>
      <c r="B23" s="3" t="s">
        <v>74</v>
      </c>
      <c r="C23" s="18">
        <f>_xll.BDH("TATA IN Equity","DVD_PAYOUT_RATIO","FY 2004","FY 2004","Currency=INR","Period=FY","BEST_FPERIOD_OVERRIDE=FY","FILING_STATUS=MR","EQY_CONSOLIDATED=Y","FA_ADJUSTED=GAAP","Sort=A","Dates=H","DateFormat=P","Fill=—","Direction=H","UseDPDF=Y")</f>
        <v>20.575500000000002</v>
      </c>
      <c r="D23" s="18">
        <f>_xll.BDH("TATA IN Equity","DVD_PAYOUT_RATIO","FY 2005","FY 2005","Currency=INR","Period=FY","BEST_FPERIOD_OVERRIDE=FY","FILING_STATUS=MR","EQY_CONSOLIDATED=Y","FA_ADJUSTED=GAAP","Sort=A","Dates=H","DateFormat=P","Fill=—","Direction=H","UseDPDF=Y")</f>
        <v>19.9178</v>
      </c>
      <c r="E23" s="18">
        <f>_xll.BDH("TATA IN Equity","DVD_PAYOUT_RATIO","FY 2006","FY 2006","Currency=INR","Period=FY","BEST_FPERIOD_OVERRIDE=FY","FILING_STATUS=MR","EQY_CONSOLIDATED=Y","FA_ADJUSTED=GAAP","Sort=A","Dates=H","DateFormat=P","Fill=—","Direction=H","UseDPDF=Y")</f>
        <v>19.242699999999999</v>
      </c>
      <c r="F23" s="18">
        <f>_xll.BDH("TATA IN Equity","DVD_PAYOUT_RATIO","FY 2007","FY 2007","Currency=INR","Period=FY","BEST_FPERIOD_OVERRIDE=FY","FILING_STATUS=MR","EQY_CONSOLIDATED=Y","FA_ADJUSTED=GAAP","Sort=A","Dates=H","DateFormat=P","Fill=—","Direction=H","UseDPDF=Y")</f>
        <v>22.571400000000001</v>
      </c>
      <c r="G23" s="18">
        <f>_xll.BDH("TATA IN Equity","DVD_PAYOUT_RATIO","FY 2008","FY 2008","Currency=INR","Period=FY","BEST_FPERIOD_OVERRIDE=FY","FILING_STATUS=MR","EQY_CONSOLIDATED=Y","FA_ADJUSTED=GAAP","Sort=A","Dates=H","DateFormat=P","Fill=—","Direction=H","UseDPDF=Y")</f>
        <v>9.4733999999999998</v>
      </c>
      <c r="H23" s="18">
        <f>_xll.BDH("TATA IN Equity","DVD_PAYOUT_RATIO","FY 2009","FY 2009","Currency=INR","Period=FY","BEST_FPERIOD_OVERRIDE=FY","FILING_STATUS=MR","EQY_CONSOLIDATED=Y","FA_ADJUSTED=GAAP","Sort=A","Dates=H","DateFormat=P","Fill=—","Direction=H","UseDPDF=Y")</f>
        <v>27.137699999999999</v>
      </c>
      <c r="I23" s="18" t="str">
        <f>_xll.BDH("TATA IN Equity","DVD_PAYOUT_RATIO","FY 2010","FY 2010","Currency=INR","Period=FY","BEST_FPERIOD_OVERRIDE=FY","FILING_STATUS=MR","EQY_CONSOLIDATED=Y","FA_ADJUSTED=GAAP","Sort=A","Dates=H","DateFormat=P","Fill=—","Direction=H","UseDPDF=Y")</f>
        <v>—</v>
      </c>
      <c r="J23" s="18">
        <f>_xll.BDH("TATA IN Equity","DVD_PAYOUT_RATIO","FY 2011","FY 2011","Currency=INR","Period=FY","BEST_FPERIOD_OVERRIDE=FY","FILING_STATUS=MR","EQY_CONSOLIDATED=Y","FA_ADJUSTED=GAAP","Sort=A","Dates=H","DateFormat=P","Fill=—","Direction=H","UseDPDF=Y")</f>
        <v>12.805199999999999</v>
      </c>
      <c r="K23" s="18">
        <f>_xll.BDH("TATA IN Equity","DVD_PAYOUT_RATIO","FY 2012","FY 2012","Currency=INR","Period=FY","BEST_FPERIOD_OVERRIDE=FY","FILING_STATUS=MR","EQY_CONSOLIDATED=Y","FA_ADJUSTED=GAAP","Sort=A","Dates=H","DateFormat=P","Fill=—","Direction=H","UseDPDF=Y")</f>
        <v>21.6236</v>
      </c>
      <c r="L23" s="18" t="str">
        <f>_xll.BDH("TATA IN Equity","DVD_PAYOUT_RATIO","FY 2013","FY 2013","Currency=INR","Period=FY","BEST_FPERIOD_OVERRIDE=FY","FILING_STATUS=MR","EQY_CONSOLIDATED=Y","FA_ADJUSTED=GAAP","Sort=A","Dates=H","DateFormat=P","Fill=—","Direction=H","UseDPDF=Y")</f>
        <v>—</v>
      </c>
      <c r="M23" s="18">
        <f>_xll.BDH("TATA IN Equity","DVD_PAYOUT_RATIO","FY 2014","FY 2014","Currency=INR","Period=FY","BEST_FPERIOD_OVERRIDE=FY","FILING_STATUS=MR","EQY_CONSOLIDATED=Y","FA_ADJUSTED=GAAP","Sort=A","Dates=H","DateFormat=P","Fill=—","Direction=H","UseDPDF=Y")</f>
        <v>27.016400000000001</v>
      </c>
      <c r="N23" s="18" t="str">
        <f>_xll.BDH("TATA IN Equity","DVD_PAYOUT_RATIO","FY 2015","FY 2015","Currency=INR","Period=FY","BEST_FPERIOD_OVERRIDE=FY","FILING_STATUS=MR","EQY_CONSOLIDATED=Y","FA_ADJUSTED=GAAP","Sort=A","Dates=H","DateFormat=P","Fill=—","Direction=H","UseDPDF=Y")</f>
        <v>—</v>
      </c>
      <c r="O23" s="18">
        <f>_xll.BDH("TATA IN Equity","DVD_PAYOUT_RATIO","FY 2016","FY 2016","Currency=INR","Period=FY","BEST_FPERIOD_OVERRIDE=FY","FILING_STATUS=MR","EQY_CONSOLIDATED=Y","FA_ADJUSTED=GAAP","Sort=A","Dates=H","DateFormat=P","Fill=—","Direction=H","UseDPDF=Y")</f>
        <v>39.133699999999997</v>
      </c>
      <c r="P23" s="18" t="str">
        <f>_xll.BDH("TATA IN Equity","DVD_PAYOUT_RATIO","FY 2017","FY 2017","Currency=INR","Period=FY","BEST_FPERIOD_OVERRIDE=FY","FILING_STATUS=MR","EQY_CONSOLIDATED=Y","FA_ADJUSTED=GAAP","Sort=A","Dates=H","DateFormat=P","Fill=—","Direction=H","UseDPDF=Y")</f>
        <v>—</v>
      </c>
      <c r="Q23" s="18">
        <f>_xll.BDH("TATA IN Equity","DVD_PAYOUT_RATIO","FY 2018","FY 2018","Currency=INR","Period=FY","BEST_FPERIOD_OVERRIDE=FY","FILING_STATUS=MR","EQY_CONSOLIDATED=Y","FA_ADJUSTED=GAAP","Sort=A","Dates=H","DateFormat=P","Fill=—","Direction=H","UseDPDF=Y")</f>
        <v>9.0753000000000004</v>
      </c>
      <c r="R23" s="18">
        <f>_xll.BDH("TATA IN Equity","DVD_PAYOUT_RATIO","FY 2019","FY 2019","Currency=INR","Period=FY","BEST_FPERIOD_OVERRIDE=FY","FILING_STATUS=MR","EQY_CONSOLIDATED=Y","FA_ADJUSTED=GAAP","Sort=A","Dates=H","DateFormat=P","Fill=—","Direction=H","UseDPDF=Y")</f>
        <v>15.2072</v>
      </c>
      <c r="S23" s="18">
        <f>_xll.BDH("TATA IN Equity","DVD_PAYOUT_RATIO","FY 2020","FY 2020","Currency=INR","Period=FY","BEST_FPERIOD_OVERRIDE=FY","FILING_STATUS=MR","EQY_CONSOLIDATED=Y","FA_ADJUSTED=GAAP","Sort=A","Dates=H","DateFormat=P","Fill=—","Direction=H","UseDPDF=Y")</f>
        <v>77.283299999999997</v>
      </c>
      <c r="T23" s="18">
        <f>_xll.BDH("TATA IN Equity","DVD_PAYOUT_RATIO","FY 2021","FY 2021","Currency=INR","Period=FY","BEST_FPERIOD_OVERRIDE=FY","FILING_STATUS=MR","EQY_CONSOLIDATED=Y","FA_ADJUSTED=GAAP","Sort=A","Dates=H","DateFormat=P","Fill=—","Direction=H","UseDPDF=Y")</f>
        <v>40.150500000000001</v>
      </c>
      <c r="U23" s="18">
        <f>_xll.BDH("TATA IN Equity","DVD_PAYOUT_RATIO","FY 2022","FY 2022","Currency=INR","Period=FY","BEST_FPERIOD_OVERRIDE=FY","FILING_STATUS=MR","EQY_CONSOLIDATED=Y","FA_ADJUSTED=GAAP","Sort=A","Dates=H","DateFormat=P","Fill=—","Direction=H","UseDPDF=Y")</f>
        <v>15.510300000000001</v>
      </c>
      <c r="V23" s="18">
        <f>_xll.BDH("TATA IN Equity","DVD_PAYOUT_RATIO","FY 2023","FY 2023","Currency=INR","Period=FY","BEST_FPERIOD_OVERRIDE=FY","FILING_STATUS=MR","EQY_CONSOLIDATED=Y","FA_ADJUSTED=GAAP","Sort=A","Dates=H","DateFormat=P","Fill=—","Direction=H","UseDPDF=Y")</f>
        <v>50.175199999999997</v>
      </c>
    </row>
    <row r="24" spans="1:22" x14ac:dyDescent="0.25">
      <c r="A24" s="3" t="s">
        <v>75</v>
      </c>
      <c r="B24" s="3" t="s">
        <v>76</v>
      </c>
      <c r="C24" s="18">
        <f>_xll.BDH("TATA IN Equity","SUSTAIN_GROWTH_RT","FY 2004","FY 2004","Currency=INR","Period=FY","BEST_FPERIOD_OVERRIDE=FY","FILING_STATUS=MR","EQY_CONSOLIDATED=Y","FA_ADJUSTED=GAAP","Sort=A","Dates=H","DateFormat=P","Fill=—","Direction=H","UseDPDF=Y")</f>
        <v>35.736800000000002</v>
      </c>
      <c r="D24" s="18">
        <f>_xll.BDH("TATA IN Equity","SUSTAIN_GROWTH_RT","FY 2005","FY 2005","Currency=INR","Period=FY","BEST_FPERIOD_OVERRIDE=FY","FILING_STATUS=MR","EQY_CONSOLIDATED=Y","FA_ADJUSTED=GAAP","Sort=A","Dates=H","DateFormat=P","Fill=—","Direction=H","UseDPDF=Y")</f>
        <v>48.1175</v>
      </c>
      <c r="E24" s="18">
        <f>_xll.BDH("TATA IN Equity","SUSTAIN_GROWTH_RT","FY 2006","FY 2006","Currency=INR","Period=FY","BEST_FPERIOD_OVERRIDE=FY","FILING_STATUS=MR","EQY_CONSOLIDATED=Y","FA_ADJUSTED=GAAP","Sort=A","Dates=H","DateFormat=P","Fill=—","Direction=H","UseDPDF=Y")</f>
        <v>34.235500000000002</v>
      </c>
      <c r="F24" s="18">
        <f>_xll.BDH("TATA IN Equity","SUSTAIN_GROWTH_RT","FY 2007","FY 2007","Currency=INR","Period=FY","BEST_FPERIOD_OVERRIDE=FY","FILING_STATUS=MR","EQY_CONSOLIDATED=Y","FA_ADJUSTED=GAAP","Sort=A","Dates=H","DateFormat=P","Fill=—","Direction=H","UseDPDF=Y")</f>
        <v>25.974900000000002</v>
      </c>
      <c r="G24" s="18">
        <f>_xll.BDH("TATA IN Equity","SUSTAIN_GROWTH_RT","FY 2008","FY 2008","Currency=INR","Period=FY","BEST_FPERIOD_OVERRIDE=FY","FILING_STATUS=MR","EQY_CONSOLIDATED=Y","FA_ADJUSTED=GAAP","Sort=A","Dates=H","DateFormat=P","Fill=—","Direction=H","UseDPDF=Y")</f>
        <v>51.498399999999997</v>
      </c>
      <c r="H24" s="18">
        <f>_xll.BDH("TATA IN Equity","SUSTAIN_GROWTH_RT","FY 2009","FY 2009","Currency=INR","Period=FY","BEST_FPERIOD_OVERRIDE=FY","FILING_STATUS=MR","EQY_CONSOLIDATED=Y","FA_ADJUSTED=GAAP","Sort=A","Dates=H","DateFormat=P","Fill=—","Direction=H","UseDPDF=Y")</f>
        <v>12.497999999999999</v>
      </c>
      <c r="I24" s="18" t="str">
        <f>_xll.BDH("TATA IN Equity","SUSTAIN_GROWTH_RT","FY 2010","FY 2010","Currency=INR","Period=FY","BEST_FPERIOD_OVERRIDE=FY","FILING_STATUS=MR","EQY_CONSOLIDATED=Y","FA_ADJUSTED=GAAP","Sort=A","Dates=H","DateFormat=P","Fill=—","Direction=H","UseDPDF=Y")</f>
        <v>—</v>
      </c>
      <c r="J24" s="18">
        <f>_xll.BDH("TATA IN Equity","SUSTAIN_GROWTH_RT","FY 2011","FY 2011","Currency=INR","Period=FY","BEST_FPERIOD_OVERRIDE=FY","FILING_STATUS=MR","EQY_CONSOLIDATED=Y","FA_ADJUSTED=GAAP","Sort=A","Dates=H","DateFormat=P","Fill=—","Direction=H","UseDPDF=Y")</f>
        <v>26.817599999999999</v>
      </c>
      <c r="K24" s="18">
        <f>_xll.BDH("TATA IN Equity","SUSTAIN_GROWTH_RT","FY 2012","FY 2012","Currency=INR","Period=FY","BEST_FPERIOD_OVERRIDE=FY","FILING_STATUS=MR","EQY_CONSOLIDATED=Y","FA_ADJUSTED=GAAP","Sort=A","Dates=H","DateFormat=P","Fill=—","Direction=H","UseDPDF=Y")</f>
        <v>10.8018</v>
      </c>
      <c r="L24" s="18" t="str">
        <f>_xll.BDH("TATA IN Equity","SUSTAIN_GROWTH_RT","FY 2013","FY 2013","Currency=INR","Period=FY","BEST_FPERIOD_OVERRIDE=FY","FILING_STATUS=MR","EQY_CONSOLIDATED=Y","FA_ADJUSTED=GAAP","Sort=A","Dates=H","DateFormat=P","Fill=—","Direction=H","UseDPDF=Y")</f>
        <v>—</v>
      </c>
      <c r="M24" s="18">
        <f>_xll.BDH("TATA IN Equity","SUSTAIN_GROWTH_RT","FY 2014","FY 2014","Currency=INR","Period=FY","BEST_FPERIOD_OVERRIDE=FY","FILING_STATUS=MR","EQY_CONSOLIDATED=Y","FA_ADJUSTED=GAAP","Sort=A","Dates=H","DateFormat=P","Fill=—","Direction=H","UseDPDF=Y")</f>
        <v>7.0242000000000004</v>
      </c>
      <c r="N24" s="18" t="str">
        <f>_xll.BDH("TATA IN Equity","SUSTAIN_GROWTH_RT","FY 2015","FY 2015","Currency=INR","Period=FY","BEST_FPERIOD_OVERRIDE=FY","FILING_STATUS=MR","EQY_CONSOLIDATED=Y","FA_ADJUSTED=GAAP","Sort=A","Dates=H","DateFormat=P","Fill=—","Direction=H","UseDPDF=Y")</f>
        <v>—</v>
      </c>
      <c r="O24" s="18">
        <f>_xll.BDH("TATA IN Equity","SUSTAIN_GROWTH_RT","FY 2016","FY 2016","Currency=INR","Period=FY","BEST_FPERIOD_OVERRIDE=FY","FILING_STATUS=MR","EQY_CONSOLIDATED=Y","FA_ADJUSTED=GAAP","Sort=A","Dates=H","DateFormat=P","Fill=—","Direction=H","UseDPDF=Y")</f>
        <v>-0.87790000000000001</v>
      </c>
      <c r="P24" s="18" t="str">
        <f>_xll.BDH("TATA IN Equity","SUSTAIN_GROWTH_RT","FY 2017","FY 2017","Currency=INR","Period=FY","BEST_FPERIOD_OVERRIDE=FY","FILING_STATUS=MR","EQY_CONSOLIDATED=Y","FA_ADJUSTED=GAAP","Sort=A","Dates=H","DateFormat=P","Fill=—","Direction=H","UseDPDF=Y")</f>
        <v>—</v>
      </c>
      <c r="Q24" s="18">
        <f>_xll.BDH("TATA IN Equity","SUSTAIN_GROWTH_RT","FY 2018","FY 2018","Currency=INR","Period=FY","BEST_FPERIOD_OVERRIDE=FY","FILING_STATUS=MR","EQY_CONSOLIDATED=Y","FA_ADJUSTED=GAAP","Sort=A","Dates=H","DateFormat=P","Fill=—","Direction=H","UseDPDF=Y")</f>
        <v>24.791399999999999</v>
      </c>
      <c r="R24" s="18">
        <f>_xll.BDH("TATA IN Equity","SUSTAIN_GROWTH_RT","FY 2019","FY 2019","Currency=INR","Period=FY","BEST_FPERIOD_OVERRIDE=FY","FILING_STATUS=MR","EQY_CONSOLIDATED=Y","FA_ADJUSTED=GAAP","Sort=A","Dates=H","DateFormat=P","Fill=—","Direction=H","UseDPDF=Y")</f>
        <v>13.319699999999999</v>
      </c>
      <c r="S24" s="18">
        <f>_xll.BDH("TATA IN Equity","SUSTAIN_GROWTH_RT","FY 2020","FY 2020","Currency=INR","Period=FY","BEST_FPERIOD_OVERRIDE=FY","FILING_STATUS=MR","EQY_CONSOLIDATED=Y","FA_ADJUSTED=GAAP","Sort=A","Dates=H","DateFormat=P","Fill=—","Direction=H","UseDPDF=Y")</f>
        <v>0.49630000000000002</v>
      </c>
      <c r="T24" s="18">
        <f>_xll.BDH("TATA IN Equity","SUSTAIN_GROWTH_RT","FY 2021","FY 2021","Currency=INR","Period=FY","BEST_FPERIOD_OVERRIDE=FY","FILING_STATUS=MR","EQY_CONSOLIDATED=Y","FA_ADJUSTED=GAAP","Sort=A","Dates=H","DateFormat=P","Fill=—","Direction=H","UseDPDF=Y")</f>
        <v>6.0655000000000001</v>
      </c>
      <c r="U24" s="18">
        <f>_xll.BDH("TATA IN Equity","SUSTAIN_GROWTH_RT","FY 2022","FY 2022","Currency=INR","Period=FY","BEST_FPERIOD_OVERRIDE=FY","FILING_STATUS=MR","EQY_CONSOLIDATED=Y","FA_ADJUSTED=GAAP","Sort=A","Dates=H","DateFormat=P","Fill=—","Direction=H","UseDPDF=Y")</f>
        <v>35.960999999999999</v>
      </c>
      <c r="V24" s="18">
        <f>_xll.BDH("TATA IN Equity","SUSTAIN_GROWTH_RT","FY 2023","FY 2023","Currency=INR","Period=FY","BEST_FPERIOD_OVERRIDE=FY","FILING_STATUS=MR","EQY_CONSOLIDATED=Y","FA_ADJUSTED=GAAP","Sort=A","Dates=H","DateFormat=P","Fill=—","Direction=H","UseDPDF=Y")</f>
        <v>4.0132000000000003</v>
      </c>
    </row>
    <row r="25" spans="1:22" x14ac:dyDescent="0.25">
      <c r="A25" s="13" t="s">
        <v>77</v>
      </c>
      <c r="B25" s="13"/>
      <c r="C25" s="13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6BF3-D6B5-4570-8EC2-C0DF2B167341}">
  <dimension ref="A1:V23"/>
  <sheetViews>
    <sheetView workbookViewId="0">
      <selection activeCell="H25" sqref="H25"/>
    </sheetView>
  </sheetViews>
  <sheetFormatPr defaultRowHeight="15" x14ac:dyDescent="0.25"/>
  <cols>
    <col min="1" max="1" width="35.140625" customWidth="1"/>
    <col min="2" max="2" width="0" hidden="1" customWidth="1"/>
    <col min="3" max="22" width="11.85546875" customWidth="1"/>
  </cols>
  <sheetData>
    <row r="1" spans="1:2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117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6" t="s">
        <v>3</v>
      </c>
      <c r="B4" s="6"/>
      <c r="C4" s="5" t="s">
        <v>4</v>
      </c>
      <c r="D4" s="5" t="s">
        <v>1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</row>
    <row r="5" spans="1:22" x14ac:dyDescent="0.25">
      <c r="A5" s="15" t="s">
        <v>23</v>
      </c>
      <c r="B5" s="15"/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4" t="s">
        <v>43</v>
      </c>
    </row>
    <row r="6" spans="1:22" x14ac:dyDescent="0.25">
      <c r="A6" s="1" t="s">
        <v>44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3" t="s">
        <v>45</v>
      </c>
      <c r="B7" s="3" t="s">
        <v>46</v>
      </c>
      <c r="C7" s="18">
        <f>_xll.BDH("SBIN IN Equity","RETURN_COM_EQY","FY 2004","FY 2004","Currency=INR","Period=FY","BEST_FPERIOD_OVERRIDE=FY","FILING_STATUS=MR","EQY_CONSOLIDATED=Y","FA_ADJUSTED=GAAP","Sort=A","Dates=H","DateFormat=P","Fill=—","Direction=H","UseDPDF=Y")</f>
        <v>22.1449</v>
      </c>
      <c r="D7" s="18">
        <f>_xll.BDH("SBIN IN Equity","RETURN_COM_EQY","FY 2005","FY 2005","Currency=INR","Period=FY","BEST_FPERIOD_OVERRIDE=FY","FILING_STATUS=MR","EQY_CONSOLIDATED=Y","FA_ADJUSTED=GAAP","Sort=A","Dates=H","DateFormat=P","Fill=—","Direction=H","UseDPDF=Y")</f>
        <v>33.200000000000003</v>
      </c>
      <c r="E7" s="18">
        <f>_xll.BDH("SBIN IN Equity","RETURN_COM_EQY","FY 2006","FY 2006","Currency=INR","Period=FY","BEST_FPERIOD_OVERRIDE=FY","FILING_STATUS=MR","EQY_CONSOLIDATED=Y","FA_ADJUSTED=GAAP","Sort=A","Dates=H","DateFormat=P","Fill=—","Direction=H","UseDPDF=Y")</f>
        <v>15.8545</v>
      </c>
      <c r="F7" s="18">
        <f>_xll.BDH("SBIN IN Equity","RETURN_COM_EQY","FY 2007","FY 2007","Currency=INR","Period=FY","BEST_FPERIOD_OVERRIDE=FY","FILING_STATUS=MR","EQY_CONSOLIDATED=Y","FA_ADJUSTED=GAAP","Sort=A","Dates=H","DateFormat=P","Fill=—","Direction=H","UseDPDF=Y")</f>
        <v>18.0428</v>
      </c>
      <c r="G7" s="18">
        <f>_xll.BDH("SBIN IN Equity","RETURN_COM_EQY","FY 2008","FY 2008","Currency=INR","Period=FY","BEST_FPERIOD_OVERRIDE=FY","FILING_STATUS=MR","EQY_CONSOLIDATED=Y","FA_ADJUSTED=GAAP","Sort=A","Dates=H","DateFormat=P","Fill=—","Direction=H","UseDPDF=Y")</f>
        <v>17.2698</v>
      </c>
      <c r="H7" s="18">
        <f>_xll.BDH("SBIN IN Equity","RETURN_COM_EQY","FY 2009","FY 2009","Currency=INR","Period=FY","BEST_FPERIOD_OVERRIDE=FY","FILING_STATUS=MR","EQY_CONSOLIDATED=Y","FA_ADJUSTED=GAAP","Sort=A","Dates=H","DateFormat=P","Fill=—","Direction=H","UseDPDF=Y")</f>
        <v>16.396799999999999</v>
      </c>
      <c r="I7" s="18">
        <f>_xll.BDH("SBIN IN Equity","RETURN_COM_EQY","FY 2010","FY 2010","Currency=INR","Period=FY","BEST_FPERIOD_OVERRIDE=FY","FILING_STATUS=MR","EQY_CONSOLIDATED=Y","FA_ADJUSTED=GAAP","Sort=A","Dates=H","DateFormat=P","Fill=—","Direction=H","UseDPDF=Y")</f>
        <v>15.0892</v>
      </c>
      <c r="J7" s="18">
        <f>_xll.BDH("SBIN IN Equity","RETURN_COM_EQY","FY 2011","FY 2011","Currency=INR","Period=FY","BEST_FPERIOD_OVERRIDE=FY","FILING_STATUS=MR","EQY_CONSOLIDATED=Y","FA_ADJUSTED=GAAP","Sort=A","Dates=H","DateFormat=P","Fill=—","Direction=H","UseDPDF=Y")</f>
        <v>12.826499999999999</v>
      </c>
      <c r="K7" s="18">
        <f>_xll.BDH("SBIN IN Equity","RETURN_COM_EQY","FY 2012","FY 2012","Currency=INR","Period=FY","BEST_FPERIOD_OVERRIDE=FY","FILING_STATUS=MR","EQY_CONSOLIDATED=Y","FA_ADJUSTED=GAAP","Sort=A","Dates=H","DateFormat=P","Fill=—","Direction=H","UseDPDF=Y")</f>
        <v>16.176100000000002</v>
      </c>
      <c r="L7" s="18">
        <f>_xll.BDH("SBIN IN Equity","RETURN_COM_EQY","FY 2013","FY 2013","Currency=INR","Period=FY","BEST_FPERIOD_OVERRIDE=FY","FILING_STATUS=MR","EQY_CONSOLIDATED=Y","FA_ADJUSTED=GAAP","Sort=A","Dates=H","DateFormat=P","Fill=—","Direction=H","UseDPDF=Y")</f>
        <v>15.494199999999999</v>
      </c>
      <c r="M7" s="18">
        <f>_xll.BDH("SBIN IN Equity","RETURN_COM_EQY","FY 2014","FY 2014","Currency=INR","Period=FY","BEST_FPERIOD_OVERRIDE=FY","FILING_STATUS=MR","EQY_CONSOLIDATED=Y","FA_ADJUSTED=GAAP","Sort=A","Dates=H","DateFormat=P","Fill=—","Direction=H","UseDPDF=Y")</f>
        <v>10.406499999999999</v>
      </c>
      <c r="N7" s="18">
        <f>_xll.BDH("SBIN IN Equity","RETURN_COM_EQY","FY 2015","FY 2015","Currency=INR","Period=FY","BEST_FPERIOD_OVERRIDE=FY","FILING_STATUS=MR","EQY_CONSOLIDATED=Y","FA_ADJUSTED=GAAP","Sort=A","Dates=H","DateFormat=P","Fill=—","Direction=H","UseDPDF=Y")</f>
        <v>11.0082</v>
      </c>
      <c r="O7" s="18">
        <f>_xll.BDH("SBIN IN Equity","RETURN_COM_EQY","FY 2016","FY 2016","Currency=INR","Period=FY","BEST_FPERIOD_OVERRIDE=FY","FILING_STATUS=MR","EQY_CONSOLIDATED=Y","FA_ADJUSTED=GAAP","Sort=A","Dates=H","DateFormat=P","Fill=—","Direction=H","UseDPDF=Y")</f>
        <v>7.1493000000000002</v>
      </c>
      <c r="P7" s="18">
        <f>_xll.BDH("SBIN IN Equity","RETURN_COM_EQY","FY 2017","FY 2017","Currency=INR","Period=FY","BEST_FPERIOD_OVERRIDE=FY","FILING_STATUS=MR","EQY_CONSOLIDATED=Y","FA_ADJUSTED=GAAP","Sort=A","Dates=H","DateFormat=P","Fill=—","Direction=H","UseDPDF=Y")</f>
        <v>0.12130000000000001</v>
      </c>
      <c r="Q7" s="18">
        <f>_xll.BDH("SBIN IN Equity","RETURN_COM_EQY","FY 2018","FY 2018","Currency=INR","Period=FY","BEST_FPERIOD_OVERRIDE=FY","FILING_STATUS=MR","EQY_CONSOLIDATED=Y","FA_ADJUSTED=GAAP","Sort=A","Dates=H","DateFormat=P","Fill=—","Direction=H","UseDPDF=Y")</f>
        <v>-2.0363000000000002</v>
      </c>
      <c r="R7" s="18">
        <f>_xll.BDH("SBIN IN Equity","RETURN_COM_EQY","FY 2019","FY 2019","Currency=INR","Period=FY","BEST_FPERIOD_OVERRIDE=FY","FILING_STATUS=MR","EQY_CONSOLIDATED=Y","FA_ADJUSTED=GAAP","Sort=A","Dates=H","DateFormat=P","Fill=—","Direction=H","UseDPDF=Y")</f>
        <v>0.98950000000000005</v>
      </c>
      <c r="S7" s="18">
        <f>_xll.BDH("SBIN IN Equity","RETURN_COM_EQY","FY 2020","FY 2020","Currency=INR","Period=FY","BEST_FPERIOD_OVERRIDE=FY","FILING_STATUS=MR","EQY_CONSOLIDATED=Y","FA_ADJUSTED=GAAP","Sort=A","Dates=H","DateFormat=P","Fill=—","Direction=H","UseDPDF=Y")</f>
        <v>8.1423000000000005</v>
      </c>
      <c r="T7" s="18">
        <f>_xll.BDH("SBIN IN Equity","RETURN_COM_EQY","FY 2021","FY 2021","Currency=INR","Period=FY","BEST_FPERIOD_OVERRIDE=FY","FILING_STATUS=MR","EQY_CONSOLIDATED=Y","FA_ADJUSTED=GAAP","Sort=A","Dates=H","DateFormat=P","Fill=—","Direction=H","UseDPDF=Y")</f>
        <v>8.5091000000000001</v>
      </c>
      <c r="U7" s="18">
        <f>_xll.BDH("SBIN IN Equity","RETURN_COM_EQY","FY 2022","FY 2022","Currency=INR","Period=FY","BEST_FPERIOD_OVERRIDE=FY","FILING_STATUS=MR","EQY_CONSOLIDATED=Y","FA_ADJUSTED=GAAP","Sort=A","Dates=H","DateFormat=P","Fill=—","Direction=H","UseDPDF=Y")</f>
        <v>12.1738</v>
      </c>
      <c r="V7" s="18">
        <f>_xll.BDH("SBIN IN Equity","RETURN_COM_EQY","FY 2023","FY 2023","Currency=INR","Period=FY","BEST_FPERIOD_OVERRIDE=FY","FILING_STATUS=MR","EQY_CONSOLIDATED=Y","FA_ADJUSTED=GAAP","Sort=A","Dates=H","DateFormat=P","Fill=—","Direction=H","UseDPDF=Y")</f>
        <v>16.7484</v>
      </c>
    </row>
    <row r="8" spans="1:22" x14ac:dyDescent="0.25">
      <c r="A8" s="3" t="s">
        <v>47</v>
      </c>
      <c r="B8" s="3" t="s">
        <v>48</v>
      </c>
      <c r="C8" s="18">
        <f>_xll.BDH("SBIN IN Equity","RETURN_ON_ASSET","FY 2004","FY 2004","Currency=INR","Period=FY","BEST_FPERIOD_OVERRIDE=FY","FILING_STATUS=MR","EQY_CONSOLIDATED=Y","FA_ADJUSTED=GAAP","Sort=A","Dates=H","DateFormat=P","Fill=—","Direction=H","UseDPDF=Y")</f>
        <v>1.0548</v>
      </c>
      <c r="D8" s="18">
        <f>_xll.BDH("SBIN IN Equity","RETURN_ON_ASSET","FY 2005","FY 2005","Currency=INR","Period=FY","BEST_FPERIOD_OVERRIDE=FY","FILING_STATUS=MR","EQY_CONSOLIDATED=Y","FA_ADJUSTED=GAAP","Sort=A","Dates=H","DateFormat=P","Fill=—","Direction=H","UseDPDF=Y")</f>
        <v>1.6883999999999999</v>
      </c>
      <c r="E8" s="18">
        <f>_xll.BDH("SBIN IN Equity","RETURN_ON_ASSET","FY 2006","FY 2006","Currency=INR","Period=FY","BEST_FPERIOD_OVERRIDE=FY","FILING_STATUS=MR","EQY_CONSOLIDATED=Y","FA_ADJUSTED=GAAP","Sort=A","Dates=H","DateFormat=P","Fill=—","Direction=H","UseDPDF=Y")</f>
        <v>0.83440000000000003</v>
      </c>
      <c r="F8" s="18">
        <f>_xll.BDH("SBIN IN Equity","RETURN_ON_ASSET","FY 2007","FY 2007","Currency=INR","Period=FY","BEST_FPERIOD_OVERRIDE=FY","FILING_STATUS=MR","EQY_CONSOLIDATED=Y","FA_ADJUSTED=GAAP","Sort=A","Dates=H","DateFormat=P","Fill=—","Direction=H","UseDPDF=Y")</f>
        <v>0.9516</v>
      </c>
      <c r="G8" s="18">
        <f>_xll.BDH("SBIN IN Equity","RETURN_ON_ASSET","FY 2008","FY 2008","Currency=INR","Period=FY","BEST_FPERIOD_OVERRIDE=FY","FILING_STATUS=MR","EQY_CONSOLIDATED=Y","FA_ADJUSTED=GAAP","Sort=A","Dates=H","DateFormat=P","Fill=—","Direction=H","UseDPDF=Y")</f>
        <v>0.97270000000000001</v>
      </c>
      <c r="H8" s="18">
        <f>_xll.BDH("SBIN IN Equity","RETURN_ON_ASSET","FY 2009","FY 2009","Currency=INR","Period=FY","BEST_FPERIOD_OVERRIDE=FY","FILING_STATUS=MR","EQY_CONSOLIDATED=Y","FA_ADJUSTED=GAAP","Sort=A","Dates=H","DateFormat=P","Fill=—","Direction=H","UseDPDF=Y")</f>
        <v>0.9395</v>
      </c>
      <c r="I8" s="18">
        <f>_xll.BDH("SBIN IN Equity","RETURN_ON_ASSET","FY 2010","FY 2010","Currency=INR","Period=FY","BEST_FPERIOD_OVERRIDE=FY","FILING_STATUS=MR","EQY_CONSOLIDATED=Y","FA_ADJUSTED=GAAP","Sort=A","Dates=H","DateFormat=P","Fill=—","Direction=H","UseDPDF=Y")</f>
        <v>0.8518</v>
      </c>
      <c r="J8" s="18">
        <f>_xll.BDH("SBIN IN Equity","RETURN_ON_ASSET","FY 2011","FY 2011","Currency=INR","Period=FY","BEST_FPERIOD_OVERRIDE=FY","FILING_STATUS=MR","EQY_CONSOLIDATED=Y","FA_ADJUSTED=GAAP","Sort=A","Dates=H","DateFormat=P","Fill=—","Direction=H","UseDPDF=Y")</f>
        <v>0.68979999999999997</v>
      </c>
      <c r="K8" s="18">
        <f>_xll.BDH("SBIN IN Equity","RETURN_ON_ASSET","FY 2012","FY 2012","Currency=INR","Period=FY","BEST_FPERIOD_OVERRIDE=FY","FILING_STATUS=MR","EQY_CONSOLIDATED=Y","FA_ADJUSTED=GAAP","Sort=A","Dates=H","DateFormat=P","Fill=—","Direction=H","UseDPDF=Y")</f>
        <v>0.88229999999999997</v>
      </c>
      <c r="L8" s="18">
        <f>_xll.BDH("SBIN IN Equity","RETURN_ON_ASSET","FY 2013","FY 2013","Currency=INR","Period=FY","BEST_FPERIOD_OVERRIDE=FY","FILING_STATUS=MR","EQY_CONSOLIDATED=Y","FA_ADJUSTED=GAAP","Sort=A","Dates=H","DateFormat=P","Fill=—","Direction=H","UseDPDF=Y")</f>
        <v>0.9042</v>
      </c>
      <c r="M8" s="18">
        <f>_xll.BDH("SBIN IN Equity","RETURN_ON_ASSET","FY 2014","FY 2014","Currency=INR","Period=FY","BEST_FPERIOD_OVERRIDE=FY","FILING_STATUS=MR","EQY_CONSOLIDATED=Y","FA_ADJUSTED=GAAP","Sort=A","Dates=H","DateFormat=P","Fill=—","Direction=H","UseDPDF=Y")</f>
        <v>0.62590000000000001</v>
      </c>
      <c r="N8" s="18">
        <f>_xll.BDH("SBIN IN Equity","RETURN_ON_ASSET","FY 2015","FY 2015","Currency=INR","Period=FY","BEST_FPERIOD_OVERRIDE=FY","FILING_STATUS=MR","EQY_CONSOLIDATED=Y","FA_ADJUSTED=GAAP","Sort=A","Dates=H","DateFormat=P","Fill=—","Direction=H","UseDPDF=Y")</f>
        <v>0.66700000000000004</v>
      </c>
      <c r="O8" s="18">
        <f>_xll.BDH("SBIN IN Equity","RETURN_ON_ASSET","FY 2016","FY 2016","Currency=INR","Period=FY","BEST_FPERIOD_OVERRIDE=FY","FILING_STATUS=MR","EQY_CONSOLIDATED=Y","FA_ADJUSTED=GAAP","Sort=A","Dates=H","DateFormat=P","Fill=—","Direction=H","UseDPDF=Y")</f>
        <v>0.42349999999999999</v>
      </c>
      <c r="P8" s="18">
        <f>_xll.BDH("SBIN IN Equity","RETURN_ON_ASSET","FY 2017","FY 2017","Currency=INR","Period=FY","BEST_FPERIOD_OVERRIDE=FY","FILING_STATUS=MR","EQY_CONSOLIDATED=Y","FA_ADJUSTED=GAAP","Sort=A","Dates=H","DateFormat=P","Fill=—","Direction=H","UseDPDF=Y")</f>
        <v>7.4000000000000003E-3</v>
      </c>
      <c r="Q8" s="18">
        <f>_xll.BDH("SBIN IN Equity","RETURN_ON_ASSET","FY 2018","FY 2018","Currency=INR","Period=FY","BEST_FPERIOD_OVERRIDE=FY","FILING_STATUS=MR","EQY_CONSOLIDATED=Y","FA_ADJUSTED=GAAP","Sort=A","Dates=H","DateFormat=P","Fill=—","Direction=H","UseDPDF=Y")</f>
        <v>-0.129</v>
      </c>
      <c r="R8" s="18">
        <f>_xll.BDH("SBIN IN Equity","RETURN_ON_ASSET","FY 2019","FY 2019","Currency=INR","Period=FY","BEST_FPERIOD_OVERRIDE=FY","FILING_STATUS=MR","EQY_CONSOLIDATED=Y","FA_ADJUSTED=GAAP","Sort=A","Dates=H","DateFormat=P","Fill=—","Direction=H","UseDPDF=Y")</f>
        <v>6.13E-2</v>
      </c>
      <c r="S8" s="18">
        <f>_xll.BDH("SBIN IN Equity","RETURN_ON_ASSET","FY 2020","FY 2020","Currency=INR","Period=FY","BEST_FPERIOD_OVERRIDE=FY","FILING_STATUS=MR","EQY_CONSOLIDATED=Y","FA_ADJUSTED=GAAP","Sort=A","Dates=H","DateFormat=P","Fill=—","Direction=H","UseDPDF=Y")</f>
        <v>0.4889</v>
      </c>
      <c r="T8" s="18">
        <f>_xll.BDH("SBIN IN Equity","RETURN_ON_ASSET","FY 2021","FY 2021","Currency=INR","Period=FY","BEST_FPERIOD_OVERRIDE=FY","FILING_STATUS=MR","EQY_CONSOLIDATED=Y","FA_ADJUSTED=GAAP","Sort=A","Dates=H","DateFormat=P","Fill=—","Direction=H","UseDPDF=Y")</f>
        <v>0.4955</v>
      </c>
      <c r="U8" s="18">
        <f>_xll.BDH("SBIN IN Equity","RETURN_ON_ASSET","FY 2022","FY 2022","Currency=INR","Period=FY","BEST_FPERIOD_OVERRIDE=FY","FILING_STATUS=MR","EQY_CONSOLIDATED=Y","FA_ADJUSTED=GAAP","Sort=A","Dates=H","DateFormat=P","Fill=—","Direction=H","UseDPDF=Y")</f>
        <v>0.69320000000000004</v>
      </c>
      <c r="V8" s="18">
        <f>_xll.BDH("SBIN IN Equity","RETURN_ON_ASSET","FY 2023","FY 2023","Currency=INR","Period=FY","BEST_FPERIOD_OVERRIDE=FY","FILING_STATUS=MR","EQY_CONSOLIDATED=Y","FA_ADJUSTED=GAAP","Sort=A","Dates=H","DateFormat=P","Fill=—","Direction=H","UseDPDF=Y")</f>
        <v>0.98360000000000003</v>
      </c>
    </row>
    <row r="9" spans="1:22" x14ac:dyDescent="0.25">
      <c r="A9" s="3" t="s">
        <v>49</v>
      </c>
      <c r="B9" s="3" t="s">
        <v>50</v>
      </c>
      <c r="C9" s="18">
        <f>_xll.BDH("SBIN IN Equity","RETURN_ON_CAP","FY 2004","FY 2004","Currency=INR","Period=FY","BEST_FPERIOD_OVERRIDE=FY","FILING_STATUS=MR","EQY_CONSOLIDATED=Y","FA_ADJUSTED=GAAP","Sort=A","Dates=H","DateFormat=P","Fill=—","Direction=H","UseDPDF=Y")</f>
        <v>7.6798000000000002</v>
      </c>
      <c r="D9" s="18">
        <f>_xll.BDH("SBIN IN Equity","RETURN_ON_CAP","FY 2005","FY 2005","Currency=INR","Period=FY","BEST_FPERIOD_OVERRIDE=FY","FILING_STATUS=MR","EQY_CONSOLIDATED=Y","FA_ADJUSTED=GAAP","Sort=A","Dates=H","DateFormat=P","Fill=—","Direction=H","UseDPDF=Y")</f>
        <v>12.1622</v>
      </c>
      <c r="E9" s="18">
        <f>_xll.BDH("SBIN IN Equity","RETURN_ON_CAP","FY 2006","FY 2006","Currency=INR","Period=FY","BEST_FPERIOD_OVERRIDE=FY","FILING_STATUS=MR","EQY_CONSOLIDATED=Y","FA_ADJUSTED=GAAP","Sort=A","Dates=H","DateFormat=P","Fill=—","Direction=H","UseDPDF=Y")</f>
        <v>5.8037999999999998</v>
      </c>
      <c r="F9" s="18">
        <f>_xll.BDH("SBIN IN Equity","RETURN_ON_CAP","FY 2007","FY 2007","Currency=INR","Period=FY","BEST_FPERIOD_OVERRIDE=FY","FILING_STATUS=MR","EQY_CONSOLIDATED=Y","FA_ADJUSTED=GAAP","Sort=A","Dates=H","DateFormat=P","Fill=—","Direction=H","UseDPDF=Y")</f>
        <v>6.0491999999999999</v>
      </c>
      <c r="G9" s="18">
        <f>_xll.BDH("SBIN IN Equity","RETURN_ON_CAP","FY 2008","FY 2008","Currency=INR","Period=FY","BEST_FPERIOD_OVERRIDE=FY","FILING_STATUS=MR","EQY_CONSOLIDATED=Y","FA_ADJUSTED=GAAP","Sort=A","Dates=H","DateFormat=P","Fill=—","Direction=H","UseDPDF=Y")</f>
        <v>5.9196999999999997</v>
      </c>
      <c r="H9" s="18">
        <f>_xll.BDH("SBIN IN Equity","RETURN_ON_CAP","FY 2009","FY 2009","Currency=INR","Period=FY","BEST_FPERIOD_OVERRIDE=FY","FILING_STATUS=MR","EQY_CONSOLIDATED=Y","FA_ADJUSTED=GAAP","Sort=A","Dates=H","DateFormat=P","Fill=—","Direction=H","UseDPDF=Y")</f>
        <v>6.1357999999999997</v>
      </c>
      <c r="I9" s="18">
        <f>_xll.BDH("SBIN IN Equity","RETURN_ON_CAP","FY 2010","FY 2010","Currency=INR","Period=FY","BEST_FPERIOD_OVERRIDE=FY","FILING_STATUS=MR","EQY_CONSOLIDATED=Y","FA_ADJUSTED=GAAP","Sort=A","Dates=H","DateFormat=P","Fill=—","Direction=H","UseDPDF=Y")</f>
        <v>5.3169000000000004</v>
      </c>
      <c r="J9" s="18">
        <f>_xll.BDH("SBIN IN Equity","RETURN_ON_CAP","FY 2011","FY 2011","Currency=INR","Period=FY","BEST_FPERIOD_OVERRIDE=FY","FILING_STATUS=MR","EQY_CONSOLIDATED=Y","FA_ADJUSTED=GAAP","Sort=A","Dates=H","DateFormat=P","Fill=—","Direction=H","UseDPDF=Y")</f>
        <v>4.1097999999999999</v>
      </c>
      <c r="K9" s="18">
        <f>_xll.BDH("SBIN IN Equity","RETURN_ON_CAP","FY 2012","FY 2012","Currency=INR","Period=FY","BEST_FPERIOD_OVERRIDE=FY","FILING_STATUS=MR","EQY_CONSOLIDATED=Y","FA_ADJUSTED=GAAP","Sort=A","Dates=H","DateFormat=P","Fill=—","Direction=H","UseDPDF=Y")</f>
        <v>5.3249000000000004</v>
      </c>
      <c r="L9" s="18">
        <f>_xll.BDH("SBIN IN Equity","RETURN_ON_CAP","FY 2013","FY 2013","Currency=INR","Period=FY","BEST_FPERIOD_OVERRIDE=FY","FILING_STATUS=MR","EQY_CONSOLIDATED=Y","FA_ADJUSTED=GAAP","Sort=A","Dates=H","DateFormat=P","Fill=—","Direction=H","UseDPDF=Y")</f>
        <v>5.1955</v>
      </c>
      <c r="M9" s="18">
        <f>_xll.BDH("SBIN IN Equity","RETURN_ON_CAP","FY 2014","FY 2014","Currency=INR","Period=FY","BEST_FPERIOD_OVERRIDE=FY","FILING_STATUS=MR","EQY_CONSOLIDATED=Y","FA_ADJUSTED=GAAP","Sort=A","Dates=H","DateFormat=P","Fill=—","Direction=H","UseDPDF=Y")</f>
        <v>3.5377999999999998</v>
      </c>
      <c r="N9" s="18">
        <f>_xll.BDH("SBIN IN Equity","RETURN_ON_CAP","FY 2015","FY 2015","Currency=INR","Period=FY","BEST_FPERIOD_OVERRIDE=FY","FILING_STATUS=MR","EQY_CONSOLIDATED=Y","FA_ADJUSTED=GAAP","Sort=A","Dates=H","DateFormat=P","Fill=—","Direction=H","UseDPDF=Y")</f>
        <v>4.0591999999999997</v>
      </c>
      <c r="O9" s="18">
        <f>_xll.BDH("SBIN IN Equity","RETURN_ON_CAP","FY 2016","FY 2016","Currency=INR","Period=FY","BEST_FPERIOD_OVERRIDE=FY","FILING_STATUS=MR","EQY_CONSOLIDATED=Y","FA_ADJUSTED=GAAP","Sort=A","Dates=H","DateFormat=P","Fill=—","Direction=H","UseDPDF=Y")</f>
        <v>2.5430999999999999</v>
      </c>
      <c r="P9" s="18">
        <f>_xll.BDH("SBIN IN Equity","RETURN_ON_CAP","FY 2017","FY 2017","Currency=INR","Period=FY","BEST_FPERIOD_OVERRIDE=FY","FILING_STATUS=MR","EQY_CONSOLIDATED=Y","FA_ADJUSTED=GAAP","Sort=A","Dates=H","DateFormat=P","Fill=—","Direction=H","UseDPDF=Y")</f>
        <v>-1.6500000000000001E-2</v>
      </c>
      <c r="Q9" s="18">
        <f>_xll.BDH("SBIN IN Equity","RETURN_ON_CAP","FY 2018","FY 2018","Currency=INR","Period=FY","BEST_FPERIOD_OVERRIDE=FY","FILING_STATUS=MR","EQY_CONSOLIDATED=Y","FA_ADJUSTED=GAAP","Sort=A","Dates=H","DateFormat=P","Fill=—","Direction=H","UseDPDF=Y")</f>
        <v>-0.61380000000000001</v>
      </c>
      <c r="R9" s="18">
        <f>_xll.BDH("SBIN IN Equity","RETURN_ON_CAP","FY 2019","FY 2019","Currency=INR","Period=FY","BEST_FPERIOD_OVERRIDE=FY","FILING_STATUS=MR","EQY_CONSOLIDATED=Y","FA_ADJUSTED=GAAP","Sort=A","Dates=H","DateFormat=P","Fill=—","Direction=H","UseDPDF=Y")</f>
        <v>0.51200000000000001</v>
      </c>
      <c r="S9" s="18">
        <f>_xll.BDH("SBIN IN Equity","RETURN_ON_CAP","FY 2020","FY 2020","Currency=INR","Period=FY","BEST_FPERIOD_OVERRIDE=FY","FILING_STATUS=MR","EQY_CONSOLIDATED=Y","FA_ADJUSTED=GAAP","Sort=A","Dates=H","DateFormat=P","Fill=—","Direction=H","UseDPDF=Y")</f>
        <v>3.2599</v>
      </c>
      <c r="T9" s="18">
        <f>_xll.BDH("SBIN IN Equity","RETURN_ON_CAP","FY 2021","FY 2021","Currency=INR","Period=FY","BEST_FPERIOD_OVERRIDE=FY","FILING_STATUS=MR","EQY_CONSOLIDATED=Y","FA_ADJUSTED=GAAP","Sort=A","Dates=H","DateFormat=P","Fill=—","Direction=H","UseDPDF=Y")</f>
        <v>3.5246</v>
      </c>
      <c r="U9" s="18">
        <f>_xll.BDH("SBIN IN Equity","RETURN_ON_CAP","FY 2022","FY 2022","Currency=INR","Period=FY","BEST_FPERIOD_OVERRIDE=FY","FILING_STATUS=MR","EQY_CONSOLIDATED=Y","FA_ADJUSTED=GAAP","Sort=A","Dates=H","DateFormat=P","Fill=—","Direction=H","UseDPDF=Y")</f>
        <v>4.8411</v>
      </c>
      <c r="V9" s="18">
        <f>_xll.BDH("SBIN IN Equity","RETURN_ON_CAP","FY 2023","FY 2023","Currency=INR","Period=FY","BEST_FPERIOD_OVERRIDE=FY","FILING_STATUS=MR","EQY_CONSOLIDATED=Y","FA_ADJUSTED=GAAP","Sort=A","Dates=H","DateFormat=P","Fill=—","Direction=H","UseDPDF=Y")</f>
        <v>6.7160000000000002</v>
      </c>
    </row>
    <row r="10" spans="1:22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5">
      <c r="A11" s="1" t="s">
        <v>53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3" t="s">
        <v>58</v>
      </c>
      <c r="B12" s="3" t="s">
        <v>59</v>
      </c>
      <c r="C12" s="18">
        <f>_xll.BDH("SBIN IN Equity","OPER_MARGIN","FY 2004","FY 2004","Currency=INR","Period=FY","BEST_FPERIOD_OVERRIDE=FY","FILING_STATUS=MR","EQY_CONSOLIDATED=Y","FA_ADJUSTED=GAAP","Sort=A","Dates=H","DateFormat=P","Fill=—","Direction=H","UseDPDF=Y")</f>
        <v>30.426400000000001</v>
      </c>
      <c r="D12" s="18">
        <f>_xll.BDH("SBIN IN Equity","OPER_MARGIN","FY 2005","FY 2005","Currency=INR","Period=FY","BEST_FPERIOD_OVERRIDE=FY","FILING_STATUS=MR","EQY_CONSOLIDATED=Y","FA_ADJUSTED=GAAP","Sort=A","Dates=H","DateFormat=P","Fill=—","Direction=H","UseDPDF=Y")</f>
        <v>42.8125</v>
      </c>
      <c r="E12" s="18">
        <f>_xll.BDH("SBIN IN Equity","OPER_MARGIN","FY 2006","FY 2006","Currency=INR","Period=FY","BEST_FPERIOD_OVERRIDE=FY","FILING_STATUS=MR","EQY_CONSOLIDATED=Y","FA_ADJUSTED=GAAP","Sort=A","Dates=H","DateFormat=P","Fill=—","Direction=H","UseDPDF=Y")</f>
        <v>26.931899999999999</v>
      </c>
      <c r="F12" s="18">
        <f>_xll.BDH("SBIN IN Equity","OPER_MARGIN","FY 2007","FY 2007","Currency=INR","Period=FY","BEST_FPERIOD_OVERRIDE=FY","FILING_STATUS=MR","EQY_CONSOLIDATED=Y","FA_ADJUSTED=GAAP","Sort=A","Dates=H","DateFormat=P","Fill=—","Direction=H","UseDPDF=Y")</f>
        <v>33.458199999999998</v>
      </c>
      <c r="G12" s="18">
        <f>_xll.BDH("SBIN IN Equity","OPER_MARGIN","FY 2008","FY 2008","Currency=INR","Period=FY","BEST_FPERIOD_OVERRIDE=FY","FILING_STATUS=MR","EQY_CONSOLIDATED=Y","FA_ADJUSTED=GAAP","Sort=A","Dates=H","DateFormat=P","Fill=—","Direction=H","UseDPDF=Y")</f>
        <v>32.698500000000003</v>
      </c>
      <c r="H12" s="18">
        <f>_xll.BDH("SBIN IN Equity","OPER_MARGIN","FY 2009","FY 2009","Currency=INR","Period=FY","BEST_FPERIOD_OVERRIDE=FY","FILING_STATUS=MR","EQY_CONSOLIDATED=Y","FA_ADJUSTED=GAAP","Sort=A","Dates=H","DateFormat=P","Fill=—","Direction=H","UseDPDF=Y")</f>
        <v>36.453099999999999</v>
      </c>
      <c r="I12" s="18">
        <f>_xll.BDH("SBIN IN Equity","OPER_MARGIN","FY 2010","FY 2010","Currency=INR","Period=FY","BEST_FPERIOD_OVERRIDE=FY","FILING_STATUS=MR","EQY_CONSOLIDATED=Y","FA_ADJUSTED=GAAP","Sort=A","Dates=H","DateFormat=P","Fill=—","Direction=H","UseDPDF=Y")</f>
        <v>27.017199999999999</v>
      </c>
      <c r="J12" s="18">
        <f>_xll.BDH("SBIN IN Equity","OPER_MARGIN","FY 2011","FY 2011","Currency=INR","Period=FY","BEST_FPERIOD_OVERRIDE=FY","FILING_STATUS=MR","EQY_CONSOLIDATED=Y","FA_ADJUSTED=GAAP","Sort=A","Dates=H","DateFormat=P","Fill=—","Direction=H","UseDPDF=Y")</f>
        <v>25.0105</v>
      </c>
      <c r="K12" s="18">
        <f>_xll.BDH("SBIN IN Equity","OPER_MARGIN","FY 2012","FY 2012","Currency=INR","Period=FY","BEST_FPERIOD_OVERRIDE=FY","FILING_STATUS=MR","EQY_CONSOLIDATED=Y","FA_ADJUSTED=GAAP","Sort=A","Dates=H","DateFormat=P","Fill=—","Direction=H","UseDPDF=Y")</f>
        <v>28.224399999999999</v>
      </c>
      <c r="L12" s="18">
        <f>_xll.BDH("SBIN IN Equity","OPER_MARGIN","FY 2013","FY 2013","Currency=INR","Period=FY","BEST_FPERIOD_OVERRIDE=FY","FILING_STATUS=MR","EQY_CONSOLIDATED=Y","FA_ADJUSTED=GAAP","Sort=A","Dates=H","DateFormat=P","Fill=—","Direction=H","UseDPDF=Y")</f>
        <v>27.332599999999999</v>
      </c>
      <c r="M12" s="18">
        <f>_xll.BDH("SBIN IN Equity","OPER_MARGIN","FY 2014","FY 2014","Currency=INR","Period=FY","BEST_FPERIOD_OVERRIDE=FY","FILING_STATUS=MR","EQY_CONSOLIDATED=Y","FA_ADJUSTED=GAAP","Sort=A","Dates=H","DateFormat=P","Fill=—","Direction=H","UseDPDF=Y")</f>
        <v>20.389800000000001</v>
      </c>
      <c r="N12" s="18">
        <f>_xll.BDH("SBIN IN Equity","OPER_MARGIN","FY 2015","FY 2015","Currency=INR","Period=FY","BEST_FPERIOD_OVERRIDE=FY","FILING_STATUS=MR","EQY_CONSOLIDATED=Y","FA_ADJUSTED=GAAP","Sort=A","Dates=H","DateFormat=P","Fill=—","Direction=H","UseDPDF=Y")</f>
        <v>20.7211</v>
      </c>
      <c r="O12" s="18">
        <f>_xll.BDH("SBIN IN Equity","OPER_MARGIN","FY 2016","FY 2016","Currency=INR","Period=FY","BEST_FPERIOD_OVERRIDE=FY","FILING_STATUS=MR","EQY_CONSOLIDATED=Y","FA_ADJUSTED=GAAP","Sort=A","Dates=H","DateFormat=P","Fill=—","Direction=H","UseDPDF=Y")</f>
        <v>13.972200000000001</v>
      </c>
      <c r="P12" s="18">
        <f>_xll.BDH("SBIN IN Equity","OPER_MARGIN","FY 2017","FY 2017","Currency=INR","Period=FY","BEST_FPERIOD_OVERRIDE=FY","FILING_STATUS=MR","EQY_CONSOLIDATED=Y","FA_ADJUSTED=GAAP","Sort=A","Dates=H","DateFormat=P","Fill=—","Direction=H","UseDPDF=Y")</f>
        <v>0.63919999999999999</v>
      </c>
      <c r="Q12" s="18">
        <f>_xll.BDH("SBIN IN Equity","OPER_MARGIN","FY 2018","FY 2018","Currency=INR","Period=FY","BEST_FPERIOD_OVERRIDE=FY","FILING_STATUS=MR","EQY_CONSOLIDATED=Y","FA_ADJUSTED=GAAP","Sort=A","Dates=H","DateFormat=P","Fill=—","Direction=H","UseDPDF=Y")</f>
        <v>-8.0100999999999996</v>
      </c>
      <c r="R12" s="18">
        <f>_xll.BDH("SBIN IN Equity","OPER_MARGIN","FY 2019","FY 2019","Currency=INR","Period=FY","BEST_FPERIOD_OVERRIDE=FY","FILING_STATUS=MR","EQY_CONSOLIDATED=Y","FA_ADJUSTED=GAAP","Sort=A","Dates=H","DateFormat=P","Fill=—","Direction=H","UseDPDF=Y")</f>
        <v>2.9759000000000002</v>
      </c>
      <c r="S12" s="18">
        <f>_xll.BDH("SBIN IN Equity","OPER_MARGIN","FY 2020","FY 2020","Currency=INR","Period=FY","BEST_FPERIOD_OVERRIDE=FY","FILING_STATUS=MR","EQY_CONSOLIDATED=Y","FA_ADJUSTED=GAAP","Sort=A","Dates=H","DateFormat=P","Fill=—","Direction=H","UseDPDF=Y")</f>
        <v>14.6983</v>
      </c>
      <c r="T12" s="18">
        <f>_xll.BDH("SBIN IN Equity","OPER_MARGIN","FY 2021","FY 2021","Currency=INR","Period=FY","BEST_FPERIOD_OVERRIDE=FY","FILING_STATUS=MR","EQY_CONSOLIDATED=Y","FA_ADJUSTED=GAAP","Sort=A","Dates=H","DateFormat=P","Fill=—","Direction=H","UseDPDF=Y")</f>
        <v>14.478999999999999</v>
      </c>
      <c r="U12" s="18">
        <f>_xll.BDH("SBIN IN Equity","OPER_MARGIN","FY 2022","FY 2022","Currency=INR","Period=FY","BEST_FPERIOD_OVERRIDE=FY","FILING_STATUS=MR","EQY_CONSOLIDATED=Y","FA_ADJUSTED=GAAP","Sort=A","Dates=H","DateFormat=P","Fill=—","Direction=H","UseDPDF=Y")</f>
        <v>20.112100000000002</v>
      </c>
      <c r="V12" s="18">
        <f>_xll.BDH("SBIN IN Equity","OPER_MARGIN","FY 2023","FY 2023","Currency=INR","Period=FY","BEST_FPERIOD_OVERRIDE=FY","FILING_STATUS=MR","EQY_CONSOLIDATED=Y","FA_ADJUSTED=GAAP","Sort=A","Dates=H","DateFormat=P","Fill=—","Direction=H","UseDPDF=Y")</f>
        <v>26.7453</v>
      </c>
    </row>
    <row r="13" spans="1:22" x14ac:dyDescent="0.25">
      <c r="A13" s="3" t="s">
        <v>60</v>
      </c>
      <c r="B13" s="3" t="s">
        <v>61</v>
      </c>
      <c r="C13" s="18">
        <f>_xll.BDH("SBIN IN Equity","INCREMENTAL_OPERATING_MARGIN","FY 2004","FY 2004","Currency=INR","Period=FY","BEST_FPERIOD_OVERRIDE=FY","FILING_STATUS=MR","EQY_CONSOLIDATED=Y","FA_ADJUSTED=GAAP","Sort=A","Dates=H","DateFormat=P","Fill=—","Direction=H","UseDPDF=Y")</f>
        <v>17.149100000000001</v>
      </c>
      <c r="D13" s="18">
        <f>_xll.BDH("SBIN IN Equity","INCREMENTAL_OPERATING_MARGIN","FY 2005","FY 2005","Currency=INR","Period=FY","BEST_FPERIOD_OVERRIDE=FY","FILING_STATUS=MR","EQY_CONSOLIDATED=Y","FA_ADJUSTED=GAAP","Sort=A","Dates=H","DateFormat=P","Fill=—","Direction=H","UseDPDF=Y")</f>
        <v>172.8494</v>
      </c>
      <c r="E13" s="18" t="str">
        <f>_xll.BDH("SBIN IN Equity","INCREMENTAL_OPERATING_MARGIN","FY 2006","FY 2006","Currency=INR","Period=FY","BEST_FPERIOD_OVERRIDE=FY","FILING_STATUS=MR","EQY_CONSOLIDATED=Y","FA_ADJUSTED=GAAP","Sort=A","Dates=H","DateFormat=P","Fill=—","Direction=H","UseDPDF=Y")</f>
        <v>—</v>
      </c>
      <c r="F13" s="18">
        <f>_xll.BDH("SBIN IN Equity","INCREMENTAL_OPERATING_MARGIN","FY 2007","FY 2007","Currency=INR","Period=FY","BEST_FPERIOD_OVERRIDE=FY","FILING_STATUS=MR","EQY_CONSOLIDATED=Y","FA_ADJUSTED=GAAP","Sort=A","Dates=H","DateFormat=P","Fill=—","Direction=H","UseDPDF=Y")</f>
        <v>208.35650000000001</v>
      </c>
      <c r="G13" s="18">
        <f>_xll.BDH("SBIN IN Equity","INCREMENTAL_OPERATING_MARGIN","FY 2008","FY 2008","Currency=INR","Period=FY","BEST_FPERIOD_OVERRIDE=FY","FILING_STATUS=MR","EQY_CONSOLIDATED=Y","FA_ADJUSTED=GAAP","Sort=A","Dates=H","DateFormat=P","Fill=—","Direction=H","UseDPDF=Y")</f>
        <v>29.3827</v>
      </c>
      <c r="H13" s="18">
        <f>_xll.BDH("SBIN IN Equity","INCREMENTAL_OPERATING_MARGIN","FY 2009","FY 2009","Currency=INR","Period=FY","BEST_FPERIOD_OVERRIDE=FY","FILING_STATUS=MR","EQY_CONSOLIDATED=Y","FA_ADJUSTED=GAAP","Sort=A","Dates=H","DateFormat=P","Fill=—","Direction=H","UseDPDF=Y")</f>
        <v>58.672400000000003</v>
      </c>
      <c r="I13" s="18">
        <f>_xll.BDH("SBIN IN Equity","INCREMENTAL_OPERATING_MARGIN","FY 2010","FY 2010","Currency=INR","Period=FY","BEST_FPERIOD_OVERRIDE=FY","FILING_STATUS=MR","EQY_CONSOLIDATED=Y","FA_ADJUSTED=GAAP","Sort=A","Dates=H","DateFormat=P","Fill=—","Direction=H","UseDPDF=Y")</f>
        <v>2.9079000000000002</v>
      </c>
      <c r="J13" s="18">
        <f>_xll.BDH("SBIN IN Equity","INCREMENTAL_OPERATING_MARGIN","FY 2011","FY 2011","Currency=INR","Period=FY","BEST_FPERIOD_OVERRIDE=FY","FILING_STATUS=MR","EQY_CONSOLIDATED=Y","FA_ADJUSTED=GAAP","Sort=A","Dates=H","DateFormat=P","Fill=—","Direction=H","UseDPDF=Y")</f>
        <v>11.8445</v>
      </c>
      <c r="K13" s="18">
        <f>_xll.BDH("SBIN IN Equity","INCREMENTAL_OPERATING_MARGIN","FY 2012","FY 2012","Currency=INR","Period=FY","BEST_FPERIOD_OVERRIDE=FY","FILING_STATUS=MR","EQY_CONSOLIDATED=Y","FA_ADJUSTED=GAAP","Sort=A","Dates=H","DateFormat=P","Fill=—","Direction=H","UseDPDF=Y")</f>
        <v>60.186599999999999</v>
      </c>
      <c r="L13" s="18">
        <f>_xll.BDH("SBIN IN Equity","INCREMENTAL_OPERATING_MARGIN","FY 2013","FY 2013","Currency=INR","Period=FY","BEST_FPERIOD_OVERRIDE=FY","FILING_STATUS=MR","EQY_CONSOLIDATED=Y","FA_ADJUSTED=GAAP","Sort=A","Dates=H","DateFormat=P","Fill=—","Direction=H","UseDPDF=Y")</f>
        <v>17.665800000000001</v>
      </c>
      <c r="M13" s="18" t="str">
        <f>_xll.BDH("SBIN IN Equity","INCREMENTAL_OPERATING_MARGIN","FY 2014","FY 2014","Currency=INR","Period=FY","BEST_FPERIOD_OVERRIDE=FY","FILING_STATUS=MR","EQY_CONSOLIDATED=Y","FA_ADJUSTED=GAAP","Sort=A","Dates=H","DateFormat=P","Fill=—","Direction=H","UseDPDF=Y")</f>
        <v>—</v>
      </c>
      <c r="N13" s="18">
        <f>_xll.BDH("SBIN IN Equity","INCREMENTAL_OPERATING_MARGIN","FY 2015","FY 2015","Currency=INR","Period=FY","BEST_FPERIOD_OVERRIDE=FY","FILING_STATUS=MR","EQY_CONSOLIDATED=Y","FA_ADJUSTED=GAAP","Sort=A","Dates=H","DateFormat=P","Fill=—","Direction=H","UseDPDF=Y")</f>
        <v>22.437899999999999</v>
      </c>
      <c r="O13" s="18" t="str">
        <f>_xll.BDH("SBIN IN Equity","INCREMENTAL_OPERATING_MARGIN","FY 2016","FY 2016","Currency=INR","Period=FY","BEST_FPERIOD_OVERRIDE=FY","FILING_STATUS=MR","EQY_CONSOLIDATED=Y","FA_ADJUSTED=GAAP","Sort=A","Dates=H","DateFormat=P","Fill=—","Direction=H","UseDPDF=Y")</f>
        <v>—</v>
      </c>
      <c r="P13" s="18" t="str">
        <f>_xll.BDH("SBIN IN Equity","INCREMENTAL_OPERATING_MARGIN","FY 2017","FY 2017","Currency=INR","Period=FY","BEST_FPERIOD_OVERRIDE=FY","FILING_STATUS=MR","EQY_CONSOLIDATED=Y","FA_ADJUSTED=GAAP","Sort=A","Dates=H","DateFormat=P","Fill=—","Direction=H","UseDPDF=Y")</f>
        <v>—</v>
      </c>
      <c r="Q13" s="18" t="str">
        <f>_xll.BDH("SBIN IN Equity","INCREMENTAL_OPERATING_MARGIN","FY 2018","FY 2018","Currency=INR","Period=FY","BEST_FPERIOD_OVERRIDE=FY","FILING_STATUS=MR","EQY_CONSOLIDATED=Y","FA_ADJUSTED=GAAP","Sort=A","Dates=H","DateFormat=P","Fill=—","Direction=H","UseDPDF=Y")</f>
        <v>—</v>
      </c>
      <c r="R13" s="18">
        <f>_xll.BDH("SBIN IN Equity","INCREMENTAL_OPERATING_MARGIN","FY 2019","FY 2019","Currency=INR","Period=FY","BEST_FPERIOD_OVERRIDE=FY","FILING_STATUS=MR","EQY_CONSOLIDATED=Y","FA_ADJUSTED=GAAP","Sort=A","Dates=H","DateFormat=P","Fill=—","Direction=H","UseDPDF=Y")</f>
        <v>77.424199999999999</v>
      </c>
      <c r="S13" s="18">
        <f>_xll.BDH("SBIN IN Equity","INCREMENTAL_OPERATING_MARGIN","FY 2020","FY 2020","Currency=INR","Period=FY","BEST_FPERIOD_OVERRIDE=FY","FILING_STATUS=MR","EQY_CONSOLIDATED=Y","FA_ADJUSTED=GAAP","Sort=A","Dates=H","DateFormat=P","Fill=—","Direction=H","UseDPDF=Y")</f>
        <v>81.394099999999995</v>
      </c>
      <c r="T13" s="18">
        <f>_xll.BDH("SBIN IN Equity","INCREMENTAL_OPERATING_MARGIN","FY 2021","FY 2021","Currency=INR","Period=FY","BEST_FPERIOD_OVERRIDE=FY","FILING_STATUS=MR","EQY_CONSOLIDATED=Y","FA_ADJUSTED=GAAP","Sort=A","Dates=H","DateFormat=P","Fill=—","Direction=H","UseDPDF=Y")</f>
        <v>12.245100000000001</v>
      </c>
      <c r="U13" s="18">
        <f>_xll.BDH("SBIN IN Equity","INCREMENTAL_OPERATING_MARGIN","FY 2022","FY 2022","Currency=INR","Period=FY","BEST_FPERIOD_OVERRIDE=FY","FILING_STATUS=MR","EQY_CONSOLIDATED=Y","FA_ADJUSTED=GAAP","Sort=A","Dates=H","DateFormat=P","Fill=—","Direction=H","UseDPDF=Y")</f>
        <v>81.4542</v>
      </c>
      <c r="V13" s="18">
        <f>_xll.BDH("SBIN IN Equity","INCREMENTAL_OPERATING_MARGIN","FY 2023","FY 2023","Currency=INR","Period=FY","BEST_FPERIOD_OVERRIDE=FY","FILING_STATUS=MR","EQY_CONSOLIDATED=Y","FA_ADJUSTED=GAAP","Sort=A","Dates=H","DateFormat=P","Fill=—","Direction=H","UseDPDF=Y")</f>
        <v>74.147800000000004</v>
      </c>
    </row>
    <row r="14" spans="1:22" x14ac:dyDescent="0.25">
      <c r="A14" s="3" t="s">
        <v>62</v>
      </c>
      <c r="B14" s="3" t="s">
        <v>118</v>
      </c>
      <c r="C14" s="18">
        <f>_xll.BDH("SBIN IN Equity","PRETAX_MARGIN","FY 2004","FY 2004","Currency=INR","Period=FY","BEST_FPERIOD_OVERRIDE=FY","FILING_STATUS=MR","EQY_CONSOLIDATED=Y","FA_ADJUSTED=GAAP","Sort=A","Dates=H","DateFormat=P","Fill=—","Direction=H","UseDPDF=Y")</f>
        <v>30.42</v>
      </c>
      <c r="D14" s="18">
        <f>_xll.BDH("SBIN IN Equity","PRETAX_MARGIN","FY 2005","FY 2005","Currency=INR","Period=FY","BEST_FPERIOD_OVERRIDE=FY","FILING_STATUS=MR","EQY_CONSOLIDATED=Y","FA_ADJUSTED=GAAP","Sort=A","Dates=H","DateFormat=P","Fill=—","Direction=H","UseDPDF=Y")</f>
        <v>43.005099999999999</v>
      </c>
      <c r="E14" s="18">
        <f>_xll.BDH("SBIN IN Equity","PRETAX_MARGIN","FY 2006","FY 2006","Currency=INR","Period=FY","BEST_FPERIOD_OVERRIDE=FY","FILING_STATUS=MR","EQY_CONSOLIDATED=Y","FA_ADJUSTED=GAAP","Sort=A","Dates=H","DateFormat=P","Fill=—","Direction=H","UseDPDF=Y")</f>
        <v>26.973099999999999</v>
      </c>
      <c r="F14" s="18">
        <f>_xll.BDH("SBIN IN Equity","PRETAX_MARGIN","FY 2007","FY 2007","Currency=INR","Period=FY","BEST_FPERIOD_OVERRIDE=FY","FILING_STATUS=MR","EQY_CONSOLIDATED=Y","FA_ADJUSTED=GAAP","Sort=A","Dates=H","DateFormat=P","Fill=—","Direction=H","UseDPDF=Y")</f>
        <v>34.047199999999997</v>
      </c>
      <c r="G14" s="18">
        <f>_xll.BDH("SBIN IN Equity","PRETAX_MARGIN","FY 2008","FY 2008","Currency=INR","Period=FY","BEST_FPERIOD_OVERRIDE=FY","FILING_STATUS=MR","EQY_CONSOLIDATED=Y","FA_ADJUSTED=GAAP","Sort=A","Dates=H","DateFormat=P","Fill=—","Direction=H","UseDPDF=Y")</f>
        <v>33.290199999999999</v>
      </c>
      <c r="H14" s="18">
        <f>_xll.BDH("SBIN IN Equity","PRETAX_MARGIN","FY 2009","FY 2009","Currency=INR","Period=FY","BEST_FPERIOD_OVERRIDE=FY","FILING_STATUS=MR","EQY_CONSOLIDATED=Y","FA_ADJUSTED=GAAP","Sort=A","Dates=H","DateFormat=P","Fill=—","Direction=H","UseDPDF=Y")</f>
        <v>36.4253</v>
      </c>
      <c r="I14" s="18">
        <f>_xll.BDH("SBIN IN Equity","PRETAX_MARGIN","FY 2010","FY 2010","Currency=INR","Period=FY","BEST_FPERIOD_OVERRIDE=FY","FILING_STATUS=MR","EQY_CONSOLIDATED=Y","FA_ADJUSTED=GAAP","Sort=A","Dates=H","DateFormat=P","Fill=—","Direction=H","UseDPDF=Y")</f>
        <v>27.3309</v>
      </c>
      <c r="J14" s="18">
        <f>_xll.BDH("SBIN IN Equity","PRETAX_MARGIN","FY 2011","FY 2011","Currency=INR","Period=FY","BEST_FPERIOD_OVERRIDE=FY","FILING_STATUS=MR","EQY_CONSOLIDATED=Y","FA_ADJUSTED=GAAP","Sort=A","Dates=H","DateFormat=P","Fill=—","Direction=H","UseDPDF=Y")</f>
        <v>25.287500000000001</v>
      </c>
      <c r="K14" s="18">
        <f>_xll.BDH("SBIN IN Equity","PRETAX_MARGIN","FY 2012","FY 2012","Currency=INR","Period=FY","BEST_FPERIOD_OVERRIDE=FY","FILING_STATUS=MR","EQY_CONSOLIDATED=Y","FA_ADJUSTED=GAAP","Sort=A","Dates=H","DateFormat=P","Fill=—","Direction=H","UseDPDF=Y")</f>
        <v>28.224399999999999</v>
      </c>
      <c r="L14" s="18">
        <f>_xll.BDH("SBIN IN Equity","PRETAX_MARGIN","FY 2013","FY 2013","Currency=INR","Period=FY","BEST_FPERIOD_OVERRIDE=FY","FILING_STATUS=MR","EQY_CONSOLIDATED=Y","FA_ADJUSTED=GAAP","Sort=A","Dates=H","DateFormat=P","Fill=—","Direction=H","UseDPDF=Y")</f>
        <v>27.332599999999999</v>
      </c>
      <c r="M14" s="18">
        <f>_xll.BDH("SBIN IN Equity","PRETAX_MARGIN","FY 2014","FY 2014","Currency=INR","Period=FY","BEST_FPERIOD_OVERRIDE=FY","FILING_STATUS=MR","EQY_CONSOLIDATED=Y","FA_ADJUSTED=GAAP","Sort=A","Dates=H","DateFormat=P","Fill=—","Direction=H","UseDPDF=Y")</f>
        <v>20.389800000000001</v>
      </c>
      <c r="N14" s="18">
        <f>_xll.BDH("SBIN IN Equity","PRETAX_MARGIN","FY 2015","FY 2015","Currency=INR","Period=FY","BEST_FPERIOD_OVERRIDE=FY","FILING_STATUS=MR","EQY_CONSOLIDATED=Y","FA_ADJUSTED=GAAP","Sort=A","Dates=H","DateFormat=P","Fill=—","Direction=H","UseDPDF=Y")</f>
        <v>20.973099999999999</v>
      </c>
      <c r="O14" s="18">
        <f>_xll.BDH("SBIN IN Equity","PRETAX_MARGIN","FY 2016","FY 2016","Currency=INR","Period=FY","BEST_FPERIOD_OVERRIDE=FY","FILING_STATUS=MR","EQY_CONSOLIDATED=Y","FA_ADJUSTED=GAAP","Sort=A","Dates=H","DateFormat=P","Fill=—","Direction=H","UseDPDF=Y")</f>
        <v>13.972200000000001</v>
      </c>
      <c r="P14" s="18">
        <f>_xll.BDH("SBIN IN Equity","PRETAX_MARGIN","FY 2017","FY 2017","Currency=INR","Period=FY","BEST_FPERIOD_OVERRIDE=FY","FILING_STATUS=MR","EQY_CONSOLIDATED=Y","FA_ADJUSTED=GAAP","Sort=A","Dates=H","DateFormat=P","Fill=—","Direction=H","UseDPDF=Y")</f>
        <v>0.63919999999999999</v>
      </c>
      <c r="Q14" s="18">
        <f>_xll.BDH("SBIN IN Equity","PRETAX_MARGIN","FY 2018","FY 2018","Currency=INR","Period=FY","BEST_FPERIOD_OVERRIDE=FY","FILING_STATUS=MR","EQY_CONSOLIDATED=Y","FA_ADJUSTED=GAAP","Sort=A","Dates=H","DateFormat=P","Fill=—","Direction=H","UseDPDF=Y")</f>
        <v>-8.0100999999999996</v>
      </c>
      <c r="R14" s="18">
        <f>_xll.BDH("SBIN IN Equity","PRETAX_MARGIN","FY 2019","FY 2019","Currency=INR","Period=FY","BEST_FPERIOD_OVERRIDE=FY","FILING_STATUS=MR","EQY_CONSOLIDATED=Y","FA_ADJUSTED=GAAP","Sort=A","Dates=H","DateFormat=P","Fill=—","Direction=H","UseDPDF=Y")</f>
        <v>2.9759000000000002</v>
      </c>
      <c r="S14" s="18">
        <f>_xll.BDH("SBIN IN Equity","PRETAX_MARGIN","FY 2020","FY 2020","Currency=INR","Period=FY","BEST_FPERIOD_OVERRIDE=FY","FILING_STATUS=MR","EQY_CONSOLIDATED=Y","FA_ADJUSTED=GAAP","Sort=A","Dates=H","DateFormat=P","Fill=—","Direction=H","UseDPDF=Y")</f>
        <v>14.6983</v>
      </c>
      <c r="T14" s="18">
        <f>_xll.BDH("SBIN IN Equity","PRETAX_MARGIN","FY 2021","FY 2021","Currency=INR","Period=FY","BEST_FPERIOD_OVERRIDE=FY","FILING_STATUS=MR","EQY_CONSOLIDATED=Y","FA_ADJUSTED=GAAP","Sort=A","Dates=H","DateFormat=P","Fill=—","Direction=H","UseDPDF=Y")</f>
        <v>14.478999999999999</v>
      </c>
      <c r="U14" s="18">
        <f>_xll.BDH("SBIN IN Equity","PRETAX_MARGIN","FY 2022","FY 2022","Currency=INR","Period=FY","BEST_FPERIOD_OVERRIDE=FY","FILING_STATUS=MR","EQY_CONSOLIDATED=Y","FA_ADJUSTED=GAAP","Sort=A","Dates=H","DateFormat=P","Fill=—","Direction=H","UseDPDF=Y")</f>
        <v>20.112100000000002</v>
      </c>
      <c r="V14" s="18">
        <f>_xll.BDH("SBIN IN Equity","PRETAX_MARGIN","FY 2023","FY 2023","Currency=INR","Period=FY","BEST_FPERIOD_OVERRIDE=FY","FILING_STATUS=MR","EQY_CONSOLIDATED=Y","FA_ADJUSTED=GAAP","Sort=A","Dates=H","DateFormat=P","Fill=—","Direction=H","UseDPDF=Y")</f>
        <v>26.7453</v>
      </c>
    </row>
    <row r="15" spans="1:22" x14ac:dyDescent="0.25">
      <c r="A15" s="3" t="s">
        <v>64</v>
      </c>
      <c r="B15" s="3" t="s">
        <v>65</v>
      </c>
      <c r="C15" s="18">
        <f>_xll.BDH("SBIN IN Equity","INC_BEF_XO_ITEMS_TO_NET_SALES","FY 2004","FY 2004","Currency=INR","Period=FY","BEST_FPERIOD_OVERRIDE=FY","FILING_STATUS=MR","EQY_CONSOLIDATED=Y","FA_ADJUSTED=GAAP","Sort=A","Dates=H","DateFormat=P","Fill=—","Direction=H","UseDPDF=Y")</f>
        <v>21.3201</v>
      </c>
      <c r="D15" s="18">
        <f>_xll.BDH("SBIN IN Equity","INC_BEF_XO_ITEMS_TO_NET_SALES","FY 2005","FY 2005","Currency=INR","Period=FY","BEST_FPERIOD_OVERRIDE=FY","FILING_STATUS=MR","EQY_CONSOLIDATED=Y","FA_ADJUSTED=GAAP","Sort=A","Dates=H","DateFormat=P","Fill=—","Direction=H","UseDPDF=Y")</f>
        <v>34.11</v>
      </c>
      <c r="E15" s="18">
        <f>_xll.BDH("SBIN IN Equity","INC_BEF_XO_ITEMS_TO_NET_SALES","FY 2006","FY 2006","Currency=INR","Period=FY","BEST_FPERIOD_OVERRIDE=FY","FILING_STATUS=MR","EQY_CONSOLIDATED=Y","FA_ADJUSTED=GAAP","Sort=A","Dates=H","DateFormat=P","Fill=—","Direction=H","UseDPDF=Y")</f>
        <v>17.1754</v>
      </c>
      <c r="F15" s="18">
        <f>_xll.BDH("SBIN IN Equity","INC_BEF_XO_ITEMS_TO_NET_SALES","FY 2007","FY 2007","Currency=INR","Period=FY","BEST_FPERIOD_OVERRIDE=FY","FILING_STATUS=MR","EQY_CONSOLIDATED=Y","FA_ADJUSTED=GAAP","Sort=A","Dates=H","DateFormat=P","Fill=—","Direction=H","UseDPDF=Y")</f>
        <v>21.786200000000001</v>
      </c>
      <c r="G15" s="18">
        <f>_xll.BDH("SBIN IN Equity","INC_BEF_XO_ITEMS_TO_NET_SALES","FY 2008","FY 2008","Currency=INR","Period=FY","BEST_FPERIOD_OVERRIDE=FY","FILING_STATUS=MR","EQY_CONSOLIDATED=Y","FA_ADJUSTED=GAAP","Sort=A","Dates=H","DateFormat=P","Fill=—","Direction=H","UseDPDF=Y")</f>
        <v>21.921700000000001</v>
      </c>
      <c r="H15" s="18">
        <f>_xll.BDH("SBIN IN Equity","INC_BEF_XO_ITEMS_TO_NET_SALES","FY 2009","FY 2009","Currency=INR","Period=FY","BEST_FPERIOD_OVERRIDE=FY","FILING_STATUS=MR","EQY_CONSOLIDATED=Y","FA_ADJUSTED=GAAP","Sort=A","Dates=H","DateFormat=P","Fill=—","Direction=H","UseDPDF=Y")</f>
        <v>22.742999999999999</v>
      </c>
      <c r="I15" s="18">
        <f>_xll.BDH("SBIN IN Equity","INC_BEF_XO_ITEMS_TO_NET_SALES","FY 2010","FY 2010","Currency=INR","Period=FY","BEST_FPERIOD_OVERRIDE=FY","FILING_STATUS=MR","EQY_CONSOLIDATED=Y","FA_ADJUSTED=GAAP","Sort=A","Dates=H","DateFormat=P","Fill=—","Direction=H","UseDPDF=Y")</f>
        <v>17.575399999999998</v>
      </c>
      <c r="J15" s="18">
        <f>_xll.BDH("SBIN IN Equity","INC_BEF_XO_ITEMS_TO_NET_SALES","FY 2011","FY 2011","Currency=INR","Period=FY","BEST_FPERIOD_OVERRIDE=FY","FILING_STATUS=MR","EQY_CONSOLIDATED=Y","FA_ADJUSTED=GAAP","Sort=A","Dates=H","DateFormat=P","Fill=—","Direction=H","UseDPDF=Y")</f>
        <v>14.192600000000001</v>
      </c>
      <c r="K15" s="18">
        <f>_xll.BDH("SBIN IN Equity","INC_BEF_XO_ITEMS_TO_NET_SALES","FY 2012","FY 2012","Currency=INR","Period=FY","BEST_FPERIOD_OVERRIDE=FY","FILING_STATUS=MR","EQY_CONSOLIDATED=Y","FA_ADJUSTED=GAAP","Sort=A","Dates=H","DateFormat=P","Fill=—","Direction=H","UseDPDF=Y")</f>
        <v>18.424900000000001</v>
      </c>
      <c r="L15" s="18">
        <f>_xll.BDH("SBIN IN Equity","INC_BEF_XO_ITEMS_TO_NET_SALES","FY 2013","FY 2013","Currency=INR","Period=FY","BEST_FPERIOD_OVERRIDE=FY","FILING_STATUS=MR","EQY_CONSOLIDATED=Y","FA_ADJUSTED=GAAP","Sort=A","Dates=H","DateFormat=P","Fill=—","Direction=H","UseDPDF=Y")</f>
        <v>19.594799999999999</v>
      </c>
      <c r="M15" s="18">
        <f>_xll.BDH("SBIN IN Equity","INC_BEF_XO_ITEMS_TO_NET_SALES","FY 2014","FY 2014","Currency=INR","Period=FY","BEST_FPERIOD_OVERRIDE=FY","FILING_STATUS=MR","EQY_CONSOLIDATED=Y","FA_ADJUSTED=GAAP","Sort=A","Dates=H","DateFormat=P","Fill=—","Direction=H","UseDPDF=Y")</f>
        <v>14.157500000000001</v>
      </c>
      <c r="N15" s="18">
        <f>_xll.BDH("SBIN IN Equity","INC_BEF_XO_ITEMS_TO_NET_SALES","FY 2015","FY 2015","Currency=INR","Period=FY","BEST_FPERIOD_OVERRIDE=FY","FILING_STATUS=MR","EQY_CONSOLIDATED=Y","FA_ADJUSTED=GAAP","Sort=A","Dates=H","DateFormat=P","Fill=—","Direction=H","UseDPDF=Y")</f>
        <v>14.2913</v>
      </c>
      <c r="O15" s="18">
        <f>_xll.BDH("SBIN IN Equity","INC_BEF_XO_ITEMS_TO_NET_SALES","FY 2016","FY 2016","Currency=INR","Period=FY","BEST_FPERIOD_OVERRIDE=FY","FILING_STATUS=MR","EQY_CONSOLIDATED=Y","FA_ADJUSTED=GAAP","Sort=A","Dates=H","DateFormat=P","Fill=—","Direction=H","UseDPDF=Y")</f>
        <v>10.0076</v>
      </c>
      <c r="P15" s="18">
        <f>_xll.BDH("SBIN IN Equity","INC_BEF_XO_ITEMS_TO_NET_SALES","FY 2017","FY 2017","Currency=INR","Period=FY","BEST_FPERIOD_OVERRIDE=FY","FILING_STATUS=MR","EQY_CONSOLIDATED=Y","FA_ADJUSTED=GAAP","Sort=A","Dates=H","DateFormat=P","Fill=—","Direction=H","UseDPDF=Y")</f>
        <v>-6.59E-2</v>
      </c>
      <c r="Q15" s="18">
        <f>_xll.BDH("SBIN IN Equity","INC_BEF_XO_ITEMS_TO_NET_SALES","FY 2018","FY 2018","Currency=INR","Period=FY","BEST_FPERIOD_OVERRIDE=FY","FILING_STATUS=MR","EQY_CONSOLIDATED=Y","FA_ADJUSTED=GAAP","Sort=A","Dates=H","DateFormat=P","Fill=—","Direction=H","UseDPDF=Y")</f>
        <v>-2.4525999999999999</v>
      </c>
      <c r="R15" s="18">
        <f>_xll.BDH("SBIN IN Equity","INC_BEF_XO_ITEMS_TO_NET_SALES","FY 2019","FY 2019","Currency=INR","Period=FY","BEST_FPERIOD_OVERRIDE=FY","FILING_STATUS=MR","EQY_CONSOLIDATED=Y","FA_ADJUSTED=GAAP","Sort=A","Dates=H","DateFormat=P","Fill=—","Direction=H","UseDPDF=Y")</f>
        <v>1.91</v>
      </c>
      <c r="S15" s="18">
        <f>_xll.BDH("SBIN IN Equity","INC_BEF_XO_ITEMS_TO_NET_SALES","FY 2020","FY 2020","Currency=INR","Period=FY","BEST_FPERIOD_OVERRIDE=FY","FILING_STATUS=MR","EQY_CONSOLIDATED=Y","FA_ADJUSTED=GAAP","Sort=A","Dates=H","DateFormat=P","Fill=—","Direction=H","UseDPDF=Y")</f>
        <v>10.2492</v>
      </c>
      <c r="T15" s="18">
        <f>_xll.BDH("SBIN IN Equity","INC_BEF_XO_ITEMS_TO_NET_SALES","FY 2021","FY 2021","Currency=INR","Period=FY","BEST_FPERIOD_OVERRIDE=FY","FILING_STATUS=MR","EQY_CONSOLIDATED=Y","FA_ADJUSTED=GAAP","Sort=A","Dates=H","DateFormat=P","Fill=—","Direction=H","UseDPDF=Y")</f>
        <v>10.546200000000001</v>
      </c>
      <c r="U15" s="18">
        <f>_xll.BDH("SBIN IN Equity","INC_BEF_XO_ITEMS_TO_NET_SALES","FY 2022","FY 2022","Currency=INR","Period=FY","BEST_FPERIOD_OVERRIDE=FY","FILING_STATUS=MR","EQY_CONSOLIDATED=Y","FA_ADJUSTED=GAAP","Sort=A","Dates=H","DateFormat=P","Fill=—","Direction=H","UseDPDF=Y")</f>
        <v>15.0352</v>
      </c>
      <c r="V15" s="18">
        <f>_xll.BDH("SBIN IN Equity","INC_BEF_XO_ITEMS_TO_NET_SALES","FY 2023","FY 2023","Currency=INR","Period=FY","BEST_FPERIOD_OVERRIDE=FY","FILING_STATUS=MR","EQY_CONSOLIDATED=Y","FA_ADJUSTED=GAAP","Sort=A","Dates=H","DateFormat=P","Fill=—","Direction=H","UseDPDF=Y")</f>
        <v>20.484999999999999</v>
      </c>
    </row>
    <row r="16" spans="1:22" x14ac:dyDescent="0.25">
      <c r="A16" s="3" t="s">
        <v>66</v>
      </c>
      <c r="B16" s="3" t="s">
        <v>67</v>
      </c>
      <c r="C16" s="18">
        <f>_xll.BDH("SBIN IN Equity","PROF_MARGIN","FY 2004","FY 2004","Currency=INR","Period=FY","BEST_FPERIOD_OVERRIDE=FY","FILING_STATUS=MR","EQY_CONSOLIDATED=Y","FA_ADJUSTED=GAAP","Sort=A","Dates=H","DateFormat=P","Fill=—","Direction=H","UseDPDF=Y")</f>
        <v>20.475100000000001</v>
      </c>
      <c r="D16" s="18">
        <f>_xll.BDH("SBIN IN Equity","PROF_MARGIN","FY 2005","FY 2005","Currency=INR","Period=FY","BEST_FPERIOD_OVERRIDE=FY","FILING_STATUS=MR","EQY_CONSOLIDATED=Y","FA_ADJUSTED=GAAP","Sort=A","Dates=H","DateFormat=P","Fill=—","Direction=H","UseDPDF=Y")</f>
        <v>33.656999999999996</v>
      </c>
      <c r="E16" s="18">
        <f>_xll.BDH("SBIN IN Equity","PROF_MARGIN","FY 2006","FY 2006","Currency=INR","Period=FY","BEST_FPERIOD_OVERRIDE=FY","FILING_STATUS=MR","EQY_CONSOLIDATED=Y","FA_ADJUSTED=GAAP","Sort=A","Dates=H","DateFormat=P","Fill=—","Direction=H","UseDPDF=Y")</f>
        <v>16.776299999999999</v>
      </c>
      <c r="F16" s="18">
        <f>_xll.BDH("SBIN IN Equity","PROF_MARGIN","FY 2007","FY 2007","Currency=INR","Period=FY","BEST_FPERIOD_OVERRIDE=FY","FILING_STATUS=MR","EQY_CONSOLIDATED=Y","FA_ADJUSTED=GAAP","Sort=A","Dates=H","DateFormat=P","Fill=—","Direction=H","UseDPDF=Y")</f>
        <v>21.039200000000001</v>
      </c>
      <c r="G16" s="18">
        <f>_xll.BDH("SBIN IN Equity","PROF_MARGIN","FY 2008","FY 2008","Currency=INR","Period=FY","BEST_FPERIOD_OVERRIDE=FY","FILING_STATUS=MR","EQY_CONSOLIDATED=Y","FA_ADJUSTED=GAAP","Sort=A","Dates=H","DateFormat=P","Fill=—","Direction=H","UseDPDF=Y")</f>
        <v>21.3215</v>
      </c>
      <c r="H16" s="18">
        <f>_xll.BDH("SBIN IN Equity","PROF_MARGIN","FY 2009","FY 2009","Currency=INR","Period=FY","BEST_FPERIOD_OVERRIDE=FY","FILING_STATUS=MR","EQY_CONSOLIDATED=Y","FA_ADJUSTED=GAAP","Sort=A","Dates=H","DateFormat=P","Fill=—","Direction=H","UseDPDF=Y")</f>
        <v>22.299700000000001</v>
      </c>
      <c r="I16" s="18">
        <f>_xll.BDH("SBIN IN Equity","PROF_MARGIN","FY 2010","FY 2010","Currency=INR","Period=FY","BEST_FPERIOD_OVERRIDE=FY","FILING_STATUS=MR","EQY_CONSOLIDATED=Y","FA_ADJUSTED=GAAP","Sort=A","Dates=H","DateFormat=P","Fill=—","Direction=H","UseDPDF=Y")</f>
        <v>17.166</v>
      </c>
      <c r="J16" s="18">
        <f>_xll.BDH("SBIN IN Equity","PROF_MARGIN","FY 2011","FY 2011","Currency=INR","Period=FY","BEST_FPERIOD_OVERRIDE=FY","FILING_STATUS=MR","EQY_CONSOLIDATED=Y","FA_ADJUSTED=GAAP","Sort=A","Dates=H","DateFormat=P","Fill=—","Direction=H","UseDPDF=Y")</f>
        <v>13.5642</v>
      </c>
      <c r="K16" s="18">
        <f>_xll.BDH("SBIN IN Equity","PROF_MARGIN","FY 2012","FY 2012","Currency=INR","Period=FY","BEST_FPERIOD_OVERRIDE=FY","FILING_STATUS=MR","EQY_CONSOLIDATED=Y","FA_ADJUSTED=GAAP","Sort=A","Dates=H","DateFormat=P","Fill=—","Direction=H","UseDPDF=Y")</f>
        <v>17.697900000000001</v>
      </c>
      <c r="L16" s="18">
        <f>_xll.BDH("SBIN IN Equity","PROF_MARGIN","FY 2013","FY 2013","Currency=INR","Period=FY","BEST_FPERIOD_OVERRIDE=FY","FILING_STATUS=MR","EQY_CONSOLIDATED=Y","FA_ADJUSTED=GAAP","Sort=A","Dates=H","DateFormat=P","Fill=—","Direction=H","UseDPDF=Y")</f>
        <v>18.920500000000001</v>
      </c>
      <c r="M16" s="18">
        <f>_xll.BDH("SBIN IN Equity","PROF_MARGIN","FY 2014","FY 2014","Currency=INR","Period=FY","BEST_FPERIOD_OVERRIDE=FY","FILING_STATUS=MR","EQY_CONSOLIDATED=Y","FA_ADJUSTED=GAAP","Sort=A","Dates=H","DateFormat=P","Fill=—","Direction=H","UseDPDF=Y")</f>
        <v>13.5518</v>
      </c>
      <c r="N16" s="18">
        <f>_xll.BDH("SBIN IN Equity","PROF_MARGIN","FY 2015","FY 2015","Currency=INR","Period=FY","BEST_FPERIOD_OVERRIDE=FY","FILING_STATUS=MR","EQY_CONSOLIDATED=Y","FA_ADJUSTED=GAAP","Sort=A","Dates=H","DateFormat=P","Fill=—","Direction=H","UseDPDF=Y")</f>
        <v>13.620100000000001</v>
      </c>
      <c r="O16" s="18">
        <f>_xll.BDH("SBIN IN Equity","PROF_MARGIN","FY 2016","FY 2016","Currency=INR","Period=FY","BEST_FPERIOD_OVERRIDE=FY","FILING_STATUS=MR","EQY_CONSOLIDATED=Y","FA_ADJUSTED=GAAP","Sort=A","Dates=H","DateFormat=P","Fill=—","Direction=H","UseDPDF=Y")</f>
        <v>9.3968000000000007</v>
      </c>
      <c r="P16" s="18">
        <f>_xll.BDH("SBIN IN Equity","PROF_MARGIN","FY 2017","FY 2017","Currency=INR","Period=FY","BEST_FPERIOD_OVERRIDE=FY","FILING_STATUS=MR","EQY_CONSOLIDATED=Y","FA_ADJUSTED=GAAP","Sort=A","Dates=H","DateFormat=P","Fill=—","Direction=H","UseDPDF=Y")</f>
        <v>0.16320000000000001</v>
      </c>
      <c r="Q16" s="18">
        <f>_xll.BDH("SBIN IN Equity","PROF_MARGIN","FY 2018","FY 2018","Currency=INR","Period=FY","BEST_FPERIOD_OVERRIDE=FY","FILING_STATUS=MR","EQY_CONSOLIDATED=Y","FA_ADJUSTED=GAAP","Sort=A","Dates=H","DateFormat=P","Fill=—","Direction=H","UseDPDF=Y")</f>
        <v>-2.9805000000000001</v>
      </c>
      <c r="R16" s="18">
        <f>_xll.BDH("SBIN IN Equity","PROF_MARGIN","FY 2019","FY 2019","Currency=INR","Period=FY","BEST_FPERIOD_OVERRIDE=FY","FILING_STATUS=MR","EQY_CONSOLIDATED=Y","FA_ADJUSTED=GAAP","Sort=A","Dates=H","DateFormat=P","Fill=—","Direction=H","UseDPDF=Y")</f>
        <v>1.3109</v>
      </c>
      <c r="S16" s="18">
        <f>_xll.BDH("SBIN IN Equity","PROF_MARGIN","FY 2020","FY 2020","Currency=INR","Period=FY","BEST_FPERIOD_OVERRIDE=FY","FILING_STATUS=MR","EQY_CONSOLIDATED=Y","FA_ADJUSTED=GAAP","Sort=A","Dates=H","DateFormat=P","Fill=—","Direction=H","UseDPDF=Y")</f>
        <v>9.5839999999999996</v>
      </c>
      <c r="T16" s="18">
        <f>_xll.BDH("SBIN IN Equity","PROF_MARGIN","FY 2021","FY 2021","Currency=INR","Period=FY","BEST_FPERIOD_OVERRIDE=FY","FILING_STATUS=MR","EQY_CONSOLIDATED=Y","FA_ADJUSTED=GAAP","Sort=A","Dates=H","DateFormat=P","Fill=—","Direction=H","UseDPDF=Y")</f>
        <v>9.8917000000000002</v>
      </c>
      <c r="U16" s="18">
        <f>_xll.BDH("SBIN IN Equity","PROF_MARGIN","FY 2022","FY 2022","Currency=INR","Period=FY","BEST_FPERIOD_OVERRIDE=FY","FILING_STATUS=MR","EQY_CONSOLIDATED=Y","FA_ADJUSTED=GAAP","Sort=A","Dates=H","DateFormat=P","Fill=—","Direction=H","UseDPDF=Y")</f>
        <v>14.303599999999999</v>
      </c>
      <c r="V16" s="18">
        <f>_xll.BDH("SBIN IN Equity","PROF_MARGIN","FY 2023","FY 2023","Currency=INR","Period=FY","BEST_FPERIOD_OVERRIDE=FY","FILING_STATUS=MR","EQY_CONSOLIDATED=Y","FA_ADJUSTED=GAAP","Sort=A","Dates=H","DateFormat=P","Fill=—","Direction=H","UseDPDF=Y")</f>
        <v>19.7395</v>
      </c>
    </row>
    <row r="17" spans="1:22" x14ac:dyDescent="0.25">
      <c r="A17" s="3" t="s">
        <v>68</v>
      </c>
      <c r="B17" s="3" t="s">
        <v>69</v>
      </c>
      <c r="C17" s="18">
        <f>_xll.BDH("SBIN IN Equity","NET_INCOME_TO_COMMON_MARGIN","FY 2004","FY 2004","Currency=INR","Period=FY","BEST_FPERIOD_OVERRIDE=FY","FILING_STATUS=MR","EQY_CONSOLIDATED=Y","FA_ADJUSTED=GAAP","Sort=A","Dates=H","DateFormat=P","Fill=—","Direction=H","UseDPDF=Y")</f>
        <v>20.475100000000001</v>
      </c>
      <c r="D17" s="18">
        <f>_xll.BDH("SBIN IN Equity","NET_INCOME_TO_COMMON_MARGIN","FY 2005","FY 2005","Currency=INR","Period=FY","BEST_FPERIOD_OVERRIDE=FY","FILING_STATUS=MR","EQY_CONSOLIDATED=Y","FA_ADJUSTED=GAAP","Sort=A","Dates=H","DateFormat=P","Fill=—","Direction=H","UseDPDF=Y")</f>
        <v>33.656999999999996</v>
      </c>
      <c r="E17" s="18">
        <f>_xll.BDH("SBIN IN Equity","NET_INCOME_TO_COMMON_MARGIN","FY 2006","FY 2006","Currency=INR","Period=FY","BEST_FPERIOD_OVERRIDE=FY","FILING_STATUS=MR","EQY_CONSOLIDATED=Y","FA_ADJUSTED=GAAP","Sort=A","Dates=H","DateFormat=P","Fill=—","Direction=H","UseDPDF=Y")</f>
        <v>16.776299999999999</v>
      </c>
      <c r="F17" s="18">
        <f>_xll.BDH("SBIN IN Equity","NET_INCOME_TO_COMMON_MARGIN","FY 2007","FY 2007","Currency=INR","Period=FY","BEST_FPERIOD_OVERRIDE=FY","FILING_STATUS=MR","EQY_CONSOLIDATED=Y","FA_ADJUSTED=GAAP","Sort=A","Dates=H","DateFormat=P","Fill=—","Direction=H","UseDPDF=Y")</f>
        <v>21.039200000000001</v>
      </c>
      <c r="G17" s="18">
        <f>_xll.BDH("SBIN IN Equity","NET_INCOME_TO_COMMON_MARGIN","FY 2008","FY 2008","Currency=INR","Period=FY","BEST_FPERIOD_OVERRIDE=FY","FILING_STATUS=MR","EQY_CONSOLIDATED=Y","FA_ADJUSTED=GAAP","Sort=A","Dates=H","DateFormat=P","Fill=—","Direction=H","UseDPDF=Y")</f>
        <v>21.3215</v>
      </c>
      <c r="H17" s="18">
        <f>_xll.BDH("SBIN IN Equity","NET_INCOME_TO_COMMON_MARGIN","FY 2009","FY 2009","Currency=INR","Period=FY","BEST_FPERIOD_OVERRIDE=FY","FILING_STATUS=MR","EQY_CONSOLIDATED=Y","FA_ADJUSTED=GAAP","Sort=A","Dates=H","DateFormat=P","Fill=—","Direction=H","UseDPDF=Y")</f>
        <v>22.299700000000001</v>
      </c>
      <c r="I17" s="18">
        <f>_xll.BDH("SBIN IN Equity","NET_INCOME_TO_COMMON_MARGIN","FY 2010","FY 2010","Currency=INR","Period=FY","BEST_FPERIOD_OVERRIDE=FY","FILING_STATUS=MR","EQY_CONSOLIDATED=Y","FA_ADJUSTED=GAAP","Sort=A","Dates=H","DateFormat=P","Fill=—","Direction=H","UseDPDF=Y")</f>
        <v>17.166</v>
      </c>
      <c r="J17" s="18">
        <f>_xll.BDH("SBIN IN Equity","NET_INCOME_TO_COMMON_MARGIN","FY 2011","FY 2011","Currency=INR","Period=FY","BEST_FPERIOD_OVERRIDE=FY","FILING_STATUS=MR","EQY_CONSOLIDATED=Y","FA_ADJUSTED=GAAP","Sort=A","Dates=H","DateFormat=P","Fill=—","Direction=H","UseDPDF=Y")</f>
        <v>13.5642</v>
      </c>
      <c r="K17" s="18">
        <f>_xll.BDH("SBIN IN Equity","NET_INCOME_TO_COMMON_MARGIN","FY 2012","FY 2012","Currency=INR","Period=FY","BEST_FPERIOD_OVERRIDE=FY","FILING_STATUS=MR","EQY_CONSOLIDATED=Y","FA_ADJUSTED=GAAP","Sort=A","Dates=H","DateFormat=P","Fill=—","Direction=H","UseDPDF=Y")</f>
        <v>17.697900000000001</v>
      </c>
      <c r="L17" s="18">
        <f>_xll.BDH("SBIN IN Equity","NET_INCOME_TO_COMMON_MARGIN","FY 2013","FY 2013","Currency=INR","Period=FY","BEST_FPERIOD_OVERRIDE=FY","FILING_STATUS=MR","EQY_CONSOLIDATED=Y","FA_ADJUSTED=GAAP","Sort=A","Dates=H","DateFormat=P","Fill=—","Direction=H","UseDPDF=Y")</f>
        <v>18.920500000000001</v>
      </c>
      <c r="M17" s="18">
        <f>_xll.BDH("SBIN IN Equity","NET_INCOME_TO_COMMON_MARGIN","FY 2014","FY 2014","Currency=INR","Period=FY","BEST_FPERIOD_OVERRIDE=FY","FILING_STATUS=MR","EQY_CONSOLIDATED=Y","FA_ADJUSTED=GAAP","Sort=A","Dates=H","DateFormat=P","Fill=—","Direction=H","UseDPDF=Y")</f>
        <v>13.5518</v>
      </c>
      <c r="N17" s="18">
        <f>_xll.BDH("SBIN IN Equity","NET_INCOME_TO_COMMON_MARGIN","FY 2015","FY 2015","Currency=INR","Period=FY","BEST_FPERIOD_OVERRIDE=FY","FILING_STATUS=MR","EQY_CONSOLIDATED=Y","FA_ADJUSTED=GAAP","Sort=A","Dates=H","DateFormat=P","Fill=—","Direction=H","UseDPDF=Y")</f>
        <v>13.620100000000001</v>
      </c>
      <c r="O17" s="18">
        <f>_xll.BDH("SBIN IN Equity","NET_INCOME_TO_COMMON_MARGIN","FY 2016","FY 2016","Currency=INR","Period=FY","BEST_FPERIOD_OVERRIDE=FY","FILING_STATUS=MR","EQY_CONSOLIDATED=Y","FA_ADJUSTED=GAAP","Sort=A","Dates=H","DateFormat=P","Fill=—","Direction=H","UseDPDF=Y")</f>
        <v>9.3968000000000007</v>
      </c>
      <c r="P17" s="18">
        <f>_xll.BDH("SBIN IN Equity","NET_INCOME_TO_COMMON_MARGIN","FY 2017","FY 2017","Currency=INR","Period=FY","BEST_FPERIOD_OVERRIDE=FY","FILING_STATUS=MR","EQY_CONSOLIDATED=Y","FA_ADJUSTED=GAAP","Sort=A","Dates=H","DateFormat=P","Fill=—","Direction=H","UseDPDF=Y")</f>
        <v>0.16320000000000001</v>
      </c>
      <c r="Q17" s="18">
        <f>_xll.BDH("SBIN IN Equity","NET_INCOME_TO_COMMON_MARGIN","FY 2018","FY 2018","Currency=INR","Period=FY","BEST_FPERIOD_OVERRIDE=FY","FILING_STATUS=MR","EQY_CONSOLIDATED=Y","FA_ADJUSTED=GAAP","Sort=A","Dates=H","DateFormat=P","Fill=—","Direction=H","UseDPDF=Y")</f>
        <v>-2.9805000000000001</v>
      </c>
      <c r="R17" s="18">
        <f>_xll.BDH("SBIN IN Equity","NET_INCOME_TO_COMMON_MARGIN","FY 2019","FY 2019","Currency=INR","Period=FY","BEST_FPERIOD_OVERRIDE=FY","FILING_STATUS=MR","EQY_CONSOLIDATED=Y","FA_ADJUSTED=GAAP","Sort=A","Dates=H","DateFormat=P","Fill=—","Direction=H","UseDPDF=Y")</f>
        <v>1.3109</v>
      </c>
      <c r="S17" s="18">
        <f>_xll.BDH("SBIN IN Equity","NET_INCOME_TO_COMMON_MARGIN","FY 2020","FY 2020","Currency=INR","Period=FY","BEST_FPERIOD_OVERRIDE=FY","FILING_STATUS=MR","EQY_CONSOLIDATED=Y","FA_ADJUSTED=GAAP","Sort=A","Dates=H","DateFormat=P","Fill=—","Direction=H","UseDPDF=Y")</f>
        <v>9.5839999999999996</v>
      </c>
      <c r="T17" s="18">
        <f>_xll.BDH("SBIN IN Equity","NET_INCOME_TO_COMMON_MARGIN","FY 2021","FY 2021","Currency=INR","Period=FY","BEST_FPERIOD_OVERRIDE=FY","FILING_STATUS=MR","EQY_CONSOLIDATED=Y","FA_ADJUSTED=GAAP","Sort=A","Dates=H","DateFormat=P","Fill=—","Direction=H","UseDPDF=Y")</f>
        <v>9.8917000000000002</v>
      </c>
      <c r="U17" s="18">
        <f>_xll.BDH("SBIN IN Equity","NET_INCOME_TO_COMMON_MARGIN","FY 2022","FY 2022","Currency=INR","Period=FY","BEST_FPERIOD_OVERRIDE=FY","FILING_STATUS=MR","EQY_CONSOLIDATED=Y","FA_ADJUSTED=GAAP","Sort=A","Dates=H","DateFormat=P","Fill=—","Direction=H","UseDPDF=Y")</f>
        <v>14.303599999999999</v>
      </c>
      <c r="V17" s="18">
        <f>_xll.BDH("SBIN IN Equity","NET_INCOME_TO_COMMON_MARGIN","FY 2023","FY 2023","Currency=INR","Period=FY","BEST_FPERIOD_OVERRIDE=FY","FILING_STATUS=MR","EQY_CONSOLIDATED=Y","FA_ADJUSTED=GAAP","Sort=A","Dates=H","DateFormat=P","Fill=—","Direction=H","UseDPDF=Y")</f>
        <v>19.7395</v>
      </c>
    </row>
    <row r="18" spans="1:22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5">
      <c r="A19" s="1" t="s">
        <v>70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3" t="s">
        <v>71</v>
      </c>
      <c r="B20" s="3" t="s">
        <v>72</v>
      </c>
      <c r="C20" s="18">
        <f>_xll.BDH("SBIN IN Equity","EFF_TAX_RATE","FY 2004","FY 2004","Currency=INR","Period=FY","BEST_FPERIOD_OVERRIDE=FY","FILING_STATUS=MR","EQY_CONSOLIDATED=Y","FA_ADJUSTED=GAAP","Sort=A","Dates=H","DateFormat=P","Fill=—","Direction=H","UseDPDF=Y")</f>
        <v>29.914200000000001</v>
      </c>
      <c r="D20" s="18">
        <f>_xll.BDH("SBIN IN Equity","EFF_TAX_RATE","FY 2005","FY 2005","Currency=INR","Period=FY","BEST_FPERIOD_OVERRIDE=FY","FILING_STATUS=MR","EQY_CONSOLIDATED=Y","FA_ADJUSTED=GAAP","Sort=A","Dates=H","DateFormat=P","Fill=—","Direction=H","UseDPDF=Y")</f>
        <v>20.683800000000002</v>
      </c>
      <c r="E20" s="18">
        <f>_xll.BDH("SBIN IN Equity","EFF_TAX_RATE","FY 2006","FY 2006","Currency=INR","Period=FY","BEST_FPERIOD_OVERRIDE=FY","FILING_STATUS=MR","EQY_CONSOLIDATED=Y","FA_ADJUSTED=GAAP","Sort=A","Dates=H","DateFormat=P","Fill=—","Direction=H","UseDPDF=Y")</f>
        <v>36.323799999999999</v>
      </c>
      <c r="F20" s="18">
        <f>_xll.BDH("SBIN IN Equity","EFF_TAX_RATE","FY 2007","FY 2007","Currency=INR","Period=FY","BEST_FPERIOD_OVERRIDE=FY","FILING_STATUS=MR","EQY_CONSOLIDATED=Y","FA_ADJUSTED=GAAP","Sort=A","Dates=H","DateFormat=P","Fill=—","Direction=H","UseDPDF=Y")</f>
        <v>36.011699999999998</v>
      </c>
      <c r="G20" s="18">
        <f>_xll.BDH("SBIN IN Equity","EFF_TAX_RATE","FY 2008","FY 2008","Currency=INR","Period=FY","BEST_FPERIOD_OVERRIDE=FY","FILING_STATUS=MR","EQY_CONSOLIDATED=Y","FA_ADJUSTED=GAAP","Sort=A","Dates=H","DateFormat=P","Fill=—","Direction=H","UseDPDF=Y")</f>
        <v>34.149700000000003</v>
      </c>
      <c r="H20" s="18">
        <f>_xll.BDH("SBIN IN Equity","EFF_TAX_RATE","FY 2009","FY 2009","Currency=INR","Period=FY","BEST_FPERIOD_OVERRIDE=FY","FILING_STATUS=MR","EQY_CONSOLIDATED=Y","FA_ADJUSTED=GAAP","Sort=A","Dates=H","DateFormat=P","Fill=—","Direction=H","UseDPDF=Y")</f>
        <v>37.562600000000003</v>
      </c>
      <c r="I20" s="18">
        <f>_xll.BDH("SBIN IN Equity","EFF_TAX_RATE","FY 2010","FY 2010","Currency=INR","Period=FY","BEST_FPERIOD_OVERRIDE=FY","FILING_STATUS=MR","EQY_CONSOLIDATED=Y","FA_ADJUSTED=GAAP","Sort=A","Dates=H","DateFormat=P","Fill=—","Direction=H","UseDPDF=Y")</f>
        <v>35.694099999999999</v>
      </c>
      <c r="J20" s="18">
        <f>_xll.BDH("SBIN IN Equity","EFF_TAX_RATE","FY 2011","FY 2011","Currency=INR","Period=FY","BEST_FPERIOD_OVERRIDE=FY","FILING_STATUS=MR","EQY_CONSOLIDATED=Y","FA_ADJUSTED=GAAP","Sort=A","Dates=H","DateFormat=P","Fill=—","Direction=H","UseDPDF=Y")</f>
        <v>43.875100000000003</v>
      </c>
      <c r="K20" s="18">
        <f>_xll.BDH("SBIN IN Equity","EFF_TAX_RATE","FY 2012","FY 2012","Currency=INR","Period=FY","BEST_FPERIOD_OVERRIDE=FY","FILING_STATUS=MR","EQY_CONSOLIDATED=Y","FA_ADJUSTED=GAAP","Sort=A","Dates=H","DateFormat=P","Fill=—","Direction=H","UseDPDF=Y")</f>
        <v>35.308</v>
      </c>
      <c r="L20" s="18">
        <f>_xll.BDH("SBIN IN Equity","EFF_TAX_RATE","FY 2013","FY 2013","Currency=INR","Period=FY","BEST_FPERIOD_OVERRIDE=FY","FILING_STATUS=MR","EQY_CONSOLIDATED=Y","FA_ADJUSTED=GAAP","Sort=A","Dates=H","DateFormat=P","Fill=—","Direction=H","UseDPDF=Y")</f>
        <v>29.205200000000001</v>
      </c>
      <c r="M20" s="18">
        <f>_xll.BDH("SBIN IN Equity","EFF_TAX_RATE","FY 2014","FY 2014","Currency=INR","Period=FY","BEST_FPERIOD_OVERRIDE=FY","FILING_STATUS=MR","EQY_CONSOLIDATED=Y","FA_ADJUSTED=GAAP","Sort=A","Dates=H","DateFormat=P","Fill=—","Direction=H","UseDPDF=Y")</f>
        <v>32.055799999999998</v>
      </c>
      <c r="N20" s="18">
        <f>_xll.BDH("SBIN IN Equity","EFF_TAX_RATE","FY 2015","FY 2015","Currency=INR","Period=FY","BEST_FPERIOD_OVERRIDE=FY","FILING_STATUS=MR","EQY_CONSOLIDATED=Y","FA_ADJUSTED=GAAP","Sort=A","Dates=H","DateFormat=P","Fill=—","Direction=H","UseDPDF=Y")</f>
        <v>31.859100000000002</v>
      </c>
      <c r="O20" s="18">
        <f>_xll.BDH("SBIN IN Equity","EFF_TAX_RATE","FY 2016","FY 2016","Currency=INR","Period=FY","BEST_FPERIOD_OVERRIDE=FY","FILING_STATUS=MR","EQY_CONSOLIDATED=Y","FA_ADJUSTED=GAAP","Sort=A","Dates=H","DateFormat=P","Fill=—","Direction=H","UseDPDF=Y")</f>
        <v>29.892499999999998</v>
      </c>
      <c r="P20" s="18">
        <f>_xll.BDH("SBIN IN Equity","EFF_TAX_RATE","FY 2017","FY 2017","Currency=INR","Period=FY","BEST_FPERIOD_OVERRIDE=FY","FILING_STATUS=MR","EQY_CONSOLIDATED=Y","FA_ADJUSTED=GAAP","Sort=A","Dates=H","DateFormat=P","Fill=—","Direction=H","UseDPDF=Y")</f>
        <v>141.3486</v>
      </c>
      <c r="Q20" s="18" t="str">
        <f>_xll.BDH("SBIN IN Equity","EFF_TAX_RATE","FY 2018","FY 2018","Currency=INR","Period=FY","BEST_FPERIOD_OVERRIDE=FY","FILING_STATUS=MR","EQY_CONSOLIDATED=Y","FA_ADJUSTED=GAAP","Sort=A","Dates=H","DateFormat=P","Fill=—","Direction=H","UseDPDF=Y")</f>
        <v>—</v>
      </c>
      <c r="R20" s="18">
        <f>_xll.BDH("SBIN IN Equity","EFF_TAX_RATE","FY 2019","FY 2019","Currency=INR","Period=FY","BEST_FPERIOD_OVERRIDE=FY","FILING_STATUS=MR","EQY_CONSOLIDATED=Y","FA_ADJUSTED=GAAP","Sort=A","Dates=H","DateFormat=P","Fill=—","Direction=H","UseDPDF=Y")</f>
        <v>41.210900000000002</v>
      </c>
      <c r="S20" s="18">
        <f>_xll.BDH("SBIN IN Equity","EFF_TAX_RATE","FY 2020","FY 2020","Currency=INR","Period=FY","BEST_FPERIOD_OVERRIDE=FY","FILING_STATUS=MR","EQY_CONSOLIDATED=Y","FA_ADJUSTED=GAAP","Sort=A","Dates=H","DateFormat=P","Fill=—","Direction=H","UseDPDF=Y")</f>
        <v>40.043300000000002</v>
      </c>
      <c r="T20" s="18">
        <f>_xll.BDH("SBIN IN Equity","EFF_TAX_RATE","FY 2021","FY 2021","Currency=INR","Period=FY","BEST_FPERIOD_OVERRIDE=FY","FILING_STATUS=MR","EQY_CONSOLIDATED=Y","FA_ADJUSTED=GAAP","Sort=A","Dates=H","DateFormat=P","Fill=—","Direction=H","UseDPDF=Y")</f>
        <v>25.967400000000001</v>
      </c>
      <c r="U20" s="18">
        <f>_xll.BDH("SBIN IN Equity","EFF_TAX_RATE","FY 2022","FY 2022","Currency=INR","Period=FY","BEST_FPERIOD_OVERRIDE=FY","FILING_STATUS=MR","EQY_CONSOLIDATED=Y","FA_ADJUSTED=GAAP","Sort=A","Dates=H","DateFormat=P","Fill=—","Direction=H","UseDPDF=Y")</f>
        <v>26.9056</v>
      </c>
      <c r="V20" s="18">
        <f>_xll.BDH("SBIN IN Equity","EFF_TAX_RATE","FY 2023","FY 2023","Currency=INR","Period=FY","BEST_FPERIOD_OVERRIDE=FY","FILING_STATUS=MR","EQY_CONSOLIDATED=Y","FA_ADJUSTED=GAAP","Sort=A","Dates=H","DateFormat=P","Fill=—","Direction=H","UseDPDF=Y")</f>
        <v>24.987400000000001</v>
      </c>
    </row>
    <row r="21" spans="1:22" x14ac:dyDescent="0.25">
      <c r="A21" s="3" t="s">
        <v>73</v>
      </c>
      <c r="B21" s="3" t="s">
        <v>74</v>
      </c>
      <c r="C21" s="18">
        <f>_xll.BDH("SBIN IN Equity","DVD_PAYOUT_RATIO","FY 2004","FY 2004","Currency=INR","Period=FY","BEST_FPERIOD_OVERRIDE=FY","FILING_STATUS=MR","EQY_CONSOLIDATED=Y","FA_ADJUSTED=GAAP","Sort=A","Dates=H","DateFormat=P","Fill=—","Direction=H","UseDPDF=Y")</f>
        <v>10.466799999999999</v>
      </c>
      <c r="D21" s="18">
        <f>_xll.BDH("SBIN IN Equity","DVD_PAYOUT_RATIO","FY 2005","FY 2005","Currency=INR","Period=FY","BEST_FPERIOD_OVERRIDE=FY","FILING_STATUS=MR","EQY_CONSOLIDATED=Y","FA_ADJUSTED=GAAP","Sort=A","Dates=H","DateFormat=P","Fill=—","Direction=H","UseDPDF=Y")</f>
        <v>6.6064999999999996</v>
      </c>
      <c r="E21" s="18">
        <f>_xll.BDH("SBIN IN Equity","DVD_PAYOUT_RATIO","FY 2006","FY 2006","Currency=INR","Period=FY","BEST_FPERIOD_OVERRIDE=FY","FILING_STATUS=MR","EQY_CONSOLIDATED=Y","FA_ADJUSTED=GAAP","Sort=A","Dates=H","DateFormat=P","Fill=—","Direction=H","UseDPDF=Y")</f>
        <v>13.324199999999999</v>
      </c>
      <c r="F21" s="18">
        <f>_xll.BDH("SBIN IN Equity","DVD_PAYOUT_RATIO","FY 2007","FY 2007","Currency=INR","Period=FY","BEST_FPERIOD_OVERRIDE=FY","FILING_STATUS=MR","EQY_CONSOLIDATED=Y","FA_ADJUSTED=GAAP","Sort=A","Dates=H","DateFormat=P","Fill=—","Direction=H","UseDPDF=Y")</f>
        <v>10.2423</v>
      </c>
      <c r="G21" s="18">
        <f>_xll.BDH("SBIN IN Equity","DVD_PAYOUT_RATIO","FY 2008","FY 2008","Currency=INR","Period=FY","BEST_FPERIOD_OVERRIDE=FY","FILING_STATUS=MR","EQY_CONSOLIDATED=Y","FA_ADJUSTED=GAAP","Sort=A","Dates=H","DateFormat=P","Fill=—","Direction=H","UseDPDF=Y")</f>
        <v>15.151400000000001</v>
      </c>
      <c r="H21" s="18">
        <f>_xll.BDH("SBIN IN Equity","DVD_PAYOUT_RATIO","FY 2009","FY 2009","Currency=INR","Period=FY","BEST_FPERIOD_OVERRIDE=FY","FILING_STATUS=MR","EQY_CONSOLIDATED=Y","FA_ADJUSTED=GAAP","Sort=A","Dates=H","DateFormat=P","Fill=—","Direction=H","UseDPDF=Y")</f>
        <v>16.806100000000001</v>
      </c>
      <c r="I21" s="18">
        <f>_xll.BDH("SBIN IN Equity","DVD_PAYOUT_RATIO","FY 2010","FY 2010","Currency=INR","Period=FY","BEST_FPERIOD_OVERRIDE=FY","FILING_STATUS=MR","EQY_CONSOLIDATED=Y","FA_ADJUSTED=GAAP","Sort=A","Dates=H","DateFormat=P","Fill=—","Direction=H","UseDPDF=Y")</f>
        <v>16.232099999999999</v>
      </c>
      <c r="J21" s="18">
        <f>_xll.BDH("SBIN IN Equity","DVD_PAYOUT_RATIO","FY 2011","FY 2011","Currency=INR","Period=FY","BEST_FPERIOD_OVERRIDE=FY","FILING_STATUS=MR","EQY_CONSOLIDATED=Y","FA_ADJUSTED=GAAP","Sort=A","Dates=H","DateFormat=P","Fill=—","Direction=H","UseDPDF=Y")</f>
        <v>17.828800000000001</v>
      </c>
      <c r="K21" s="18">
        <f>_xll.BDH("SBIN IN Equity","DVD_PAYOUT_RATIO","FY 2012","FY 2012","Currency=INR","Period=FY","BEST_FPERIOD_OVERRIDE=FY","FILING_STATUS=MR","EQY_CONSOLIDATED=Y","FA_ADJUSTED=GAAP","Sort=A","Dates=H","DateFormat=P","Fill=—","Direction=H","UseDPDF=Y")</f>
        <v>15.307600000000001</v>
      </c>
      <c r="L21" s="18">
        <f>_xll.BDH("SBIN IN Equity","DVD_PAYOUT_RATIO","FY 2013","FY 2013","Currency=INR","Period=FY","BEST_FPERIOD_OVERRIDE=FY","FILING_STATUS=MR","EQY_CONSOLIDATED=Y","FA_ADJUSTED=GAAP","Sort=A","Dates=H","DateFormat=P","Fill=—","Direction=H","UseDPDF=Y")</f>
        <v>15.8445</v>
      </c>
      <c r="M21" s="18">
        <f>_xll.BDH("SBIN IN Equity","DVD_PAYOUT_RATIO","FY 2014","FY 2014","Currency=INR","Period=FY","BEST_FPERIOD_OVERRIDE=FY","FILING_STATUS=MR","EQY_CONSOLIDATED=Y","FA_ADJUSTED=GAAP","Sort=A","Dates=H","DateFormat=P","Fill=—","Direction=H","UseDPDF=Y")</f>
        <v>15.8019</v>
      </c>
      <c r="N21" s="18">
        <f>_xll.BDH("SBIN IN Equity","DVD_PAYOUT_RATIO","FY 2015","FY 2015","Currency=INR","Period=FY","BEST_FPERIOD_OVERRIDE=FY","FILING_STATUS=MR","EQY_CONSOLIDATED=Y","FA_ADJUSTED=GAAP","Sort=A","Dates=H","DateFormat=P","Fill=—","Direction=H","UseDPDF=Y")</f>
        <v>15.582700000000001</v>
      </c>
      <c r="O21" s="18">
        <f>_xll.BDH("SBIN IN Equity","DVD_PAYOUT_RATIO","FY 2016","FY 2016","Currency=INR","Period=FY","BEST_FPERIOD_OVERRIDE=FY","FILING_STATUS=MR","EQY_CONSOLIDATED=Y","FA_ADJUSTED=GAAP","Sort=A","Dates=H","DateFormat=P","Fill=—","Direction=H","UseDPDF=Y")</f>
        <v>16.510300000000001</v>
      </c>
      <c r="P21" s="18">
        <f>_xll.BDH("SBIN IN Equity","DVD_PAYOUT_RATIO","FY 2017","FY 2017","Currency=INR","Period=FY","BEST_FPERIOD_OVERRIDE=FY","FILING_STATUS=MR","EQY_CONSOLIDATED=Y","FA_ADJUSTED=GAAP","Sort=A","Dates=H","DateFormat=P","Fill=—","Direction=H","UseDPDF=Y")</f>
        <v>874.07910000000004</v>
      </c>
      <c r="Q21" s="18" t="str">
        <f>_xll.BDH("SBIN IN Equity","DVD_PAYOUT_RATIO","FY 2018","FY 2018","Currency=INR","Period=FY","BEST_FPERIOD_OVERRIDE=FY","FILING_STATUS=MR","EQY_CONSOLIDATED=Y","FA_ADJUSTED=GAAP","Sort=A","Dates=H","DateFormat=P","Fill=—","Direction=H","UseDPDF=Y")</f>
        <v>—</v>
      </c>
      <c r="R21" s="18">
        <f>_xll.BDH("SBIN IN Equity","DVD_PAYOUT_RATIO","FY 2019","FY 2019","Currency=INR","Period=FY","BEST_FPERIOD_OVERRIDE=FY","FILING_STATUS=MR","EQY_CONSOLIDATED=Y","FA_ADJUSTED=GAAP","Sort=A","Dates=H","DateFormat=P","Fill=—","Direction=H","UseDPDF=Y")</f>
        <v>0</v>
      </c>
      <c r="S21" s="18">
        <f>_xll.BDH("SBIN IN Equity","DVD_PAYOUT_RATIO","FY 2020","FY 2020","Currency=INR","Period=FY","BEST_FPERIOD_OVERRIDE=FY","FILING_STATUS=MR","EQY_CONSOLIDATED=Y","FA_ADJUSTED=GAAP","Sort=A","Dates=H","DateFormat=P","Fill=—","Direction=H","UseDPDF=Y")</f>
        <v>0</v>
      </c>
      <c r="T21" s="18">
        <f>_xll.BDH("SBIN IN Equity","DVD_PAYOUT_RATIO","FY 2021","FY 2021","Currency=INR","Period=FY","BEST_FPERIOD_OVERRIDE=FY","FILING_STATUS=MR","EQY_CONSOLIDATED=Y","FA_ADJUSTED=GAAP","Sort=A","Dates=H","DateFormat=P","Fill=—","Direction=H","UseDPDF=Y")</f>
        <v>15.9329</v>
      </c>
      <c r="U21" s="18">
        <f>_xll.BDH("SBIN IN Equity","DVD_PAYOUT_RATIO","FY 2022","FY 2022","Currency=INR","Period=FY","BEST_FPERIOD_OVERRIDE=FY","FILING_STATUS=MR","EQY_CONSOLIDATED=Y","FA_ADJUSTED=GAAP","Sort=A","Dates=H","DateFormat=P","Fill=—","Direction=H","UseDPDF=Y")</f>
        <v>17.9129</v>
      </c>
      <c r="V21" s="18">
        <f>_xll.BDH("SBIN IN Equity","DVD_PAYOUT_RATIO","FY 2023","FY 2023","Currency=INR","Period=FY","BEST_FPERIOD_OVERRIDE=FY","FILING_STATUS=MR","EQY_CONSOLIDATED=Y","FA_ADJUSTED=GAAP","Sort=A","Dates=H","DateFormat=P","Fill=—","Direction=H","UseDPDF=Y")</f>
        <v>18.124099999999999</v>
      </c>
    </row>
    <row r="22" spans="1:22" x14ac:dyDescent="0.25">
      <c r="A22" s="3" t="s">
        <v>75</v>
      </c>
      <c r="B22" s="3" t="s">
        <v>76</v>
      </c>
      <c r="C22" s="18">
        <f>_xll.BDH("SBIN IN Equity","SUSTAIN_GROWTH_RT","FY 2004","FY 2004","Currency=INR","Period=FY","BEST_FPERIOD_OVERRIDE=FY","FILING_STATUS=MR","EQY_CONSOLIDATED=Y","FA_ADJUSTED=GAAP","Sort=A","Dates=H","DateFormat=P","Fill=—","Direction=H","UseDPDF=Y")</f>
        <v>19.827100000000002</v>
      </c>
      <c r="D22" s="18">
        <f>_xll.BDH("SBIN IN Equity","SUSTAIN_GROWTH_RT","FY 2005","FY 2005","Currency=INR","Period=FY","BEST_FPERIOD_OVERRIDE=FY","FILING_STATUS=MR","EQY_CONSOLIDATED=Y","FA_ADJUSTED=GAAP","Sort=A","Dates=H","DateFormat=P","Fill=—","Direction=H","UseDPDF=Y")</f>
        <v>31.006599999999999</v>
      </c>
      <c r="E22" s="18">
        <f>_xll.BDH("SBIN IN Equity","SUSTAIN_GROWTH_RT","FY 2006","FY 2006","Currency=INR","Period=FY","BEST_FPERIOD_OVERRIDE=FY","FILING_STATUS=MR","EQY_CONSOLIDATED=Y","FA_ADJUSTED=GAAP","Sort=A","Dates=H","DateFormat=P","Fill=—","Direction=H","UseDPDF=Y")</f>
        <v>13.742000000000001</v>
      </c>
      <c r="F22" s="18">
        <f>_xll.BDH("SBIN IN Equity","SUSTAIN_GROWTH_RT","FY 2007","FY 2007","Currency=INR","Period=FY","BEST_FPERIOD_OVERRIDE=FY","FILING_STATUS=MR","EQY_CONSOLIDATED=Y","FA_ADJUSTED=GAAP","Sort=A","Dates=H","DateFormat=P","Fill=—","Direction=H","UseDPDF=Y")</f>
        <v>16.194800000000001</v>
      </c>
      <c r="G22" s="18">
        <f>_xll.BDH("SBIN IN Equity","SUSTAIN_GROWTH_RT","FY 2008","FY 2008","Currency=INR","Period=FY","BEST_FPERIOD_OVERRIDE=FY","FILING_STATUS=MR","EQY_CONSOLIDATED=Y","FA_ADJUSTED=GAAP","Sort=A","Dates=H","DateFormat=P","Fill=—","Direction=H","UseDPDF=Y")</f>
        <v>14.6532</v>
      </c>
      <c r="H22" s="18">
        <f>_xll.BDH("SBIN IN Equity","SUSTAIN_GROWTH_RT","FY 2009","FY 2009","Currency=INR","Period=FY","BEST_FPERIOD_OVERRIDE=FY","FILING_STATUS=MR","EQY_CONSOLIDATED=Y","FA_ADJUSTED=GAAP","Sort=A","Dates=H","DateFormat=P","Fill=—","Direction=H","UseDPDF=Y")</f>
        <v>13.6412</v>
      </c>
      <c r="I22" s="18">
        <f>_xll.BDH("SBIN IN Equity","SUSTAIN_GROWTH_RT","FY 2010","FY 2010","Currency=INR","Period=FY","BEST_FPERIOD_OVERRIDE=FY","FILING_STATUS=MR","EQY_CONSOLIDATED=Y","FA_ADJUSTED=GAAP","Sort=A","Dates=H","DateFormat=P","Fill=—","Direction=H","UseDPDF=Y")</f>
        <v>12.639900000000001</v>
      </c>
      <c r="J22" s="18">
        <f>_xll.BDH("SBIN IN Equity","SUSTAIN_GROWTH_RT","FY 2011","FY 2011","Currency=INR","Period=FY","BEST_FPERIOD_OVERRIDE=FY","FILING_STATUS=MR","EQY_CONSOLIDATED=Y","FA_ADJUSTED=GAAP","Sort=A","Dates=H","DateFormat=P","Fill=—","Direction=H","UseDPDF=Y")</f>
        <v>10.5397</v>
      </c>
      <c r="K22" s="18">
        <f>_xll.BDH("SBIN IN Equity","SUSTAIN_GROWTH_RT","FY 2012","FY 2012","Currency=INR","Period=FY","BEST_FPERIOD_OVERRIDE=FY","FILING_STATUS=MR","EQY_CONSOLIDATED=Y","FA_ADJUSTED=GAAP","Sort=A","Dates=H","DateFormat=P","Fill=—","Direction=H","UseDPDF=Y")</f>
        <v>13.6999</v>
      </c>
      <c r="L22" s="18">
        <f>_xll.BDH("SBIN IN Equity","SUSTAIN_GROWTH_RT","FY 2013","FY 2013","Currency=INR","Period=FY","BEST_FPERIOD_OVERRIDE=FY","FILING_STATUS=MR","EQY_CONSOLIDATED=Y","FA_ADJUSTED=GAAP","Sort=A","Dates=H","DateFormat=P","Fill=—","Direction=H","UseDPDF=Y")</f>
        <v>13.039300000000001</v>
      </c>
      <c r="M22" s="18">
        <f>_xll.BDH("SBIN IN Equity","SUSTAIN_GROWTH_RT","FY 2014","FY 2014","Currency=INR","Period=FY","BEST_FPERIOD_OVERRIDE=FY","FILING_STATUS=MR","EQY_CONSOLIDATED=Y","FA_ADJUSTED=GAAP","Sort=A","Dates=H","DateFormat=P","Fill=—","Direction=H","UseDPDF=Y")</f>
        <v>8.7620000000000005</v>
      </c>
      <c r="N22" s="18">
        <f>_xll.BDH("SBIN IN Equity","SUSTAIN_GROWTH_RT","FY 2015","FY 2015","Currency=INR","Period=FY","BEST_FPERIOD_OVERRIDE=FY","FILING_STATUS=MR","EQY_CONSOLIDATED=Y","FA_ADJUSTED=GAAP","Sort=A","Dates=H","DateFormat=P","Fill=—","Direction=H","UseDPDF=Y")</f>
        <v>9.2927999999999997</v>
      </c>
      <c r="O22" s="18">
        <f>_xll.BDH("SBIN IN Equity","SUSTAIN_GROWTH_RT","FY 2016","FY 2016","Currency=INR","Period=FY","BEST_FPERIOD_OVERRIDE=FY","FILING_STATUS=MR","EQY_CONSOLIDATED=Y","FA_ADJUSTED=GAAP","Sort=A","Dates=H","DateFormat=P","Fill=—","Direction=H","UseDPDF=Y")</f>
        <v>5.9688999999999997</v>
      </c>
      <c r="P22" s="18">
        <f>_xll.BDH("SBIN IN Equity","SUSTAIN_GROWTH_RT","FY 2017","FY 2017","Currency=INR","Period=FY","BEST_FPERIOD_OVERRIDE=FY","FILING_STATUS=MR","EQY_CONSOLIDATED=Y","FA_ADJUSTED=GAAP","Sort=A","Dates=H","DateFormat=P","Fill=—","Direction=H","UseDPDF=Y")</f>
        <v>-0.93889999999999996</v>
      </c>
      <c r="Q22" s="18" t="str">
        <f>_xll.BDH("SBIN IN Equity","SUSTAIN_GROWTH_RT","FY 2018","FY 2018","Currency=INR","Period=FY","BEST_FPERIOD_OVERRIDE=FY","FILING_STATUS=MR","EQY_CONSOLIDATED=Y","FA_ADJUSTED=GAAP","Sort=A","Dates=H","DateFormat=P","Fill=—","Direction=H","UseDPDF=Y")</f>
        <v>—</v>
      </c>
      <c r="R22" s="18">
        <f>_xll.BDH("SBIN IN Equity","SUSTAIN_GROWTH_RT","FY 2019","FY 2019","Currency=INR","Period=FY","BEST_FPERIOD_OVERRIDE=FY","FILING_STATUS=MR","EQY_CONSOLIDATED=Y","FA_ADJUSTED=GAAP","Sort=A","Dates=H","DateFormat=P","Fill=—","Direction=H","UseDPDF=Y")</f>
        <v>0.98950000000000005</v>
      </c>
      <c r="S22" s="18">
        <f>_xll.BDH("SBIN IN Equity","SUSTAIN_GROWTH_RT","FY 2020","FY 2020","Currency=INR","Period=FY","BEST_FPERIOD_OVERRIDE=FY","FILING_STATUS=MR","EQY_CONSOLIDATED=Y","FA_ADJUSTED=GAAP","Sort=A","Dates=H","DateFormat=P","Fill=—","Direction=H","UseDPDF=Y")</f>
        <v>8.1423000000000005</v>
      </c>
      <c r="T22" s="18">
        <f>_xll.BDH("SBIN IN Equity","SUSTAIN_GROWTH_RT","FY 2021","FY 2021","Currency=INR","Period=FY","BEST_FPERIOD_OVERRIDE=FY","FILING_STATUS=MR","EQY_CONSOLIDATED=Y","FA_ADJUSTED=GAAP","Sort=A","Dates=H","DateFormat=P","Fill=—","Direction=H","UseDPDF=Y")</f>
        <v>7.1534000000000004</v>
      </c>
      <c r="U22" s="18">
        <f>_xll.BDH("SBIN IN Equity","SUSTAIN_GROWTH_RT","FY 2022","FY 2022","Currency=INR","Period=FY","BEST_FPERIOD_OVERRIDE=FY","FILING_STATUS=MR","EQY_CONSOLIDATED=Y","FA_ADJUSTED=GAAP","Sort=A","Dates=H","DateFormat=P","Fill=—","Direction=H","UseDPDF=Y")</f>
        <v>9.9931000000000001</v>
      </c>
      <c r="V22" s="18">
        <f>_xll.BDH("SBIN IN Equity","SUSTAIN_GROWTH_RT","FY 2023","FY 2023","Currency=INR","Period=FY","BEST_FPERIOD_OVERRIDE=FY","FILING_STATUS=MR","EQY_CONSOLIDATED=Y","FA_ADJUSTED=GAAP","Sort=A","Dates=H","DateFormat=P","Fill=—","Direction=H","UseDPDF=Y")</f>
        <v>13.712899999999999</v>
      </c>
    </row>
    <row r="23" spans="1:22" x14ac:dyDescent="0.25">
      <c r="A23" s="13" t="s">
        <v>77</v>
      </c>
      <c r="B23" s="13"/>
      <c r="C23" s="13" t="s"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AAD3-B1F0-48B1-AA44-B2DC4E819C54}">
  <dimension ref="A1:T23"/>
  <sheetViews>
    <sheetView workbookViewId="0">
      <selection sqref="A1:XFD1048576"/>
    </sheetView>
  </sheetViews>
  <sheetFormatPr defaultRowHeight="15" x14ac:dyDescent="0.25"/>
  <cols>
    <col min="1" max="1" width="35.140625" customWidth="1"/>
    <col min="2" max="2" width="0" hidden="1" customWidth="1"/>
    <col min="3" max="20" width="11.85546875" customWidth="1"/>
  </cols>
  <sheetData>
    <row r="1" spans="1:2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.25" x14ac:dyDescent="0.25">
      <c r="A2" s="14" t="s">
        <v>120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6" t="s">
        <v>3</v>
      </c>
      <c r="B4" s="6"/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</row>
    <row r="5" spans="1:20" x14ac:dyDescent="0.25">
      <c r="A5" s="15" t="s">
        <v>23</v>
      </c>
      <c r="B5" s="15"/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33</v>
      </c>
      <c r="K5" s="4" t="s">
        <v>34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39</v>
      </c>
      <c r="Q5" s="4" t="s">
        <v>40</v>
      </c>
      <c r="R5" s="4" t="s">
        <v>41</v>
      </c>
      <c r="S5" s="4" t="s">
        <v>42</v>
      </c>
      <c r="T5" s="4" t="s">
        <v>43</v>
      </c>
    </row>
    <row r="6" spans="1:20" x14ac:dyDescent="0.25">
      <c r="A6" s="1" t="s">
        <v>44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5">
      <c r="A7" s="3" t="s">
        <v>45</v>
      </c>
      <c r="B7" s="3" t="s">
        <v>46</v>
      </c>
      <c r="C7" s="18" t="str">
        <f>_xll.BDH("HDFCB IN Equity","RETURN_COM_EQY","FY 2006","FY 2006","Currency=INR","Period=FY","BEST_FPERIOD_OVERRIDE=FY","FILING_STATUS=MR","EQY_CONSOLIDATED=Y","FA_ADJUSTED=GAAP","Sort=A","Dates=H","DateFormat=P","Fill=—","Direction=H","UseDPDF=Y")</f>
        <v>—</v>
      </c>
      <c r="D7" s="18">
        <f>_xll.BDH("HDFCB IN Equity","RETURN_COM_EQY","FY 2007","FY 2007","Currency=INR","Period=FY","BEST_FPERIOD_OVERRIDE=FY","FILING_STATUS=MR","EQY_CONSOLIDATED=Y","FA_ADJUSTED=GAAP","Sort=A","Dates=H","DateFormat=P","Fill=—","Direction=H","UseDPDF=Y")</f>
        <v>19.511500000000002</v>
      </c>
      <c r="E7" s="18">
        <f>_xll.BDH("HDFCB IN Equity","RETURN_COM_EQY","FY 2008","FY 2008","Currency=INR","Period=FY","BEST_FPERIOD_OVERRIDE=FY","FILING_STATUS=MR","EQY_CONSOLIDATED=Y","FA_ADJUSTED=GAAP","Sort=A","Dates=H","DateFormat=P","Fill=—","Direction=H","UseDPDF=Y")</f>
        <v>17.717700000000001</v>
      </c>
      <c r="F7" s="18">
        <f>_xll.BDH("HDFCB IN Equity","RETURN_COM_EQY","FY 2009","FY 2009","Currency=INR","Period=FY","BEST_FPERIOD_OVERRIDE=FY","FILING_STATUS=MR","EQY_CONSOLIDATED=Y","FA_ADJUSTED=GAAP","Sort=A","Dates=H","DateFormat=P","Fill=—","Direction=H","UseDPDF=Y")</f>
        <v>16.890799999999999</v>
      </c>
      <c r="G7" s="18">
        <f>_xll.BDH("HDFCB IN Equity","RETURN_COM_EQY","FY 2010","FY 2010","Currency=INR","Period=FY","BEST_FPERIOD_OVERRIDE=FY","FILING_STATUS=MR","EQY_CONSOLIDATED=Y","FA_ADJUSTED=GAAP","Sort=A","Dates=H","DateFormat=P","Fill=—","Direction=H","UseDPDF=Y")</f>
        <v>16.3627</v>
      </c>
      <c r="H7" s="18">
        <f>_xll.BDH("HDFCB IN Equity","RETURN_COM_EQY","FY 2011","FY 2011","Currency=INR","Period=FY","BEST_FPERIOD_OVERRIDE=FY","FILING_STATUS=MR","EQY_CONSOLIDATED=Y","FA_ADJUSTED=GAAP","Sort=A","Dates=H","DateFormat=P","Fill=—","Direction=H","UseDPDF=Y")</f>
        <v>16.915600000000001</v>
      </c>
      <c r="I7" s="18">
        <f>_xll.BDH("HDFCB IN Equity","RETURN_COM_EQY","FY 2012","FY 2012","Currency=INR","Period=FY","BEST_FPERIOD_OVERRIDE=FY","FILING_STATUS=MR","EQY_CONSOLIDATED=Y","FA_ADJUSTED=GAAP","Sort=A","Dates=H","DateFormat=P","Fill=—","Direction=H","UseDPDF=Y")</f>
        <v>18.807600000000001</v>
      </c>
      <c r="J7" s="18">
        <f>_xll.BDH("HDFCB IN Equity","RETURN_COM_EQY","FY 2013","FY 2013","Currency=INR","Period=FY","BEST_FPERIOD_OVERRIDE=FY","FILING_STATUS=MR","EQY_CONSOLIDATED=Y","FA_ADJUSTED=GAAP","Sort=A","Dates=H","DateFormat=P","Fill=—","Direction=H","UseDPDF=Y")</f>
        <v>20.551300000000001</v>
      </c>
      <c r="K7" s="18">
        <f>_xll.BDH("HDFCB IN Equity","RETURN_COM_EQY","FY 2014","FY 2014","Currency=INR","Period=FY","BEST_FPERIOD_OVERRIDE=FY","FILING_STATUS=MR","EQY_CONSOLIDATED=Y","FA_ADJUSTED=GAAP","Sort=A","Dates=H","DateFormat=P","Fill=—","Direction=H","UseDPDF=Y")</f>
        <v>21.639800000000001</v>
      </c>
      <c r="L7" s="18">
        <f>_xll.BDH("HDFCB IN Equity","RETURN_COM_EQY","FY 2015","FY 2015","Currency=INR","Period=FY","BEST_FPERIOD_OVERRIDE=FY","FILING_STATUS=MR","EQY_CONSOLIDATED=Y","FA_ADJUSTED=GAAP","Sort=A","Dates=H","DateFormat=P","Fill=—","Direction=H","UseDPDF=Y")</f>
        <v>19.919499999999999</v>
      </c>
      <c r="M7" s="18">
        <f>_xll.BDH("HDFCB IN Equity","RETURN_COM_EQY","FY 2016","FY 2016","Currency=INR","Period=FY","BEST_FPERIOD_OVERRIDE=FY","FILING_STATUS=MR","EQY_CONSOLIDATED=Y","FA_ADJUSTED=GAAP","Sort=A","Dates=H","DateFormat=P","Fill=—","Direction=H","UseDPDF=Y")</f>
        <v>18.625800000000002</v>
      </c>
      <c r="N7" s="18">
        <f>_xll.BDH("HDFCB IN Equity","RETURN_COM_EQY","FY 2017","FY 2017","Currency=INR","Period=FY","BEST_FPERIOD_OVERRIDE=FY","FILING_STATUS=MR","EQY_CONSOLIDATED=Y","FA_ADJUSTED=GAAP","Sort=A","Dates=H","DateFormat=P","Fill=—","Direction=H","UseDPDF=Y")</f>
        <v>18.366299999999999</v>
      </c>
      <c r="O7" s="18">
        <f>_xll.BDH("HDFCB IN Equity","RETURN_COM_EQY","FY 2018","FY 2018","Currency=INR","Period=FY","BEST_FPERIOD_OVERRIDE=FY","FILING_STATUS=MR","EQY_CONSOLIDATED=Y","FA_ADJUSTED=GAAP","Sort=A","Dates=H","DateFormat=P","Fill=—","Direction=H","UseDPDF=Y")</f>
        <v>18.382000000000001</v>
      </c>
      <c r="P7" s="18">
        <f>_xll.BDH("HDFCB IN Equity","RETURN_COM_EQY","FY 2019","FY 2019","Currency=INR","Period=FY","BEST_FPERIOD_OVERRIDE=FY","FILING_STATUS=MR","EQY_CONSOLIDATED=Y","FA_ADJUSTED=GAAP","Sort=A","Dates=H","DateFormat=P","Fill=—","Direction=H","UseDPDF=Y")</f>
        <v>16.965299999999999</v>
      </c>
      <c r="Q7" s="18">
        <f>_xll.BDH("HDFCB IN Equity","RETURN_COM_EQY","FY 2020","FY 2020","Currency=INR","Period=FY","BEST_FPERIOD_OVERRIDE=FY","FILING_STATUS=MR","EQY_CONSOLIDATED=Y","FA_ADJUSTED=GAAP","Sort=A","Dates=H","DateFormat=P","Fill=—","Direction=H","UseDPDF=Y")</f>
        <v>16.515999999999998</v>
      </c>
      <c r="R7" s="18">
        <f>_xll.BDH("HDFCB IN Equity","RETURN_COM_EQY","FY 2021","FY 2021","Currency=INR","Period=FY","BEST_FPERIOD_OVERRIDE=FY","FILING_STATUS=MR","EQY_CONSOLIDATED=Y","FA_ADJUSTED=GAAP","Sort=A","Dates=H","DateFormat=P","Fill=—","Direction=H","UseDPDF=Y")</f>
        <v>16.486699999999999</v>
      </c>
      <c r="S7" s="18">
        <f>_xll.BDH("HDFCB IN Equity","RETURN_COM_EQY","FY 2022","FY 2022","Currency=INR","Period=FY","BEST_FPERIOD_OVERRIDE=FY","FILING_STATUS=MR","EQY_CONSOLIDATED=Y","FA_ADJUSTED=GAAP","Sort=A","Dates=H","DateFormat=P","Fill=—","Direction=H","UseDPDF=Y")</f>
        <v>16.648299999999999</v>
      </c>
      <c r="T7" s="18">
        <f>_xll.BDH("HDFCB IN Equity","RETURN_COM_EQY","FY 2023","FY 2023","Currency=INR","Period=FY","BEST_FPERIOD_OVERRIDE=FY","FILING_STATUS=MR","EQY_CONSOLIDATED=Y","FA_ADJUSTED=GAAP","Sort=A","Dates=H","DateFormat=P","Fill=—","Direction=H","UseDPDF=Y")</f>
        <v>17.1387</v>
      </c>
    </row>
    <row r="8" spans="1:20" x14ac:dyDescent="0.25">
      <c r="A8" s="3" t="s">
        <v>47</v>
      </c>
      <c r="B8" s="3" t="s">
        <v>48</v>
      </c>
      <c r="C8" s="18" t="str">
        <f>_xll.BDH("HDFCB IN Equity","RETURN_ON_ASSET","FY 2006","FY 2006","Currency=INR","Period=FY","BEST_FPERIOD_OVERRIDE=FY","FILING_STATUS=MR","EQY_CONSOLIDATED=Y","FA_ADJUSTED=GAAP","Sort=A","Dates=H","DateFormat=P","Fill=—","Direction=H","UseDPDF=Y")</f>
        <v>—</v>
      </c>
      <c r="D8" s="18">
        <f>_xll.BDH("HDFCB IN Equity","RETURN_ON_ASSET","FY 2007","FY 2007","Currency=INR","Period=FY","BEST_FPERIOD_OVERRIDE=FY","FILING_STATUS=MR","EQY_CONSOLIDATED=Y","FA_ADJUSTED=GAAP","Sort=A","Dates=H","DateFormat=P","Fill=—","Direction=H","UseDPDF=Y")</f>
        <v>1.3958999999999999</v>
      </c>
      <c r="E8" s="18">
        <f>_xll.BDH("HDFCB IN Equity","RETURN_ON_ASSET","FY 2008","FY 2008","Currency=INR","Period=FY","BEST_FPERIOD_OVERRIDE=FY","FILING_STATUS=MR","EQY_CONSOLIDATED=Y","FA_ADJUSTED=GAAP","Sort=A","Dates=H","DateFormat=P","Fill=—","Direction=H","UseDPDF=Y")</f>
        <v>1.421</v>
      </c>
      <c r="F8" s="18">
        <f>_xll.BDH("HDFCB IN Equity","RETURN_ON_ASSET","FY 2009","FY 2009","Currency=INR","Period=FY","BEST_FPERIOD_OVERRIDE=FY","FILING_STATUS=MR","EQY_CONSOLIDATED=Y","FA_ADJUSTED=GAAP","Sort=A","Dates=H","DateFormat=P","Fill=—","Direction=H","UseDPDF=Y")</f>
        <v>1.4207000000000001</v>
      </c>
      <c r="G8" s="18">
        <f>_xll.BDH("HDFCB IN Equity","RETURN_ON_ASSET","FY 2010","FY 2010","Currency=INR","Period=FY","BEST_FPERIOD_OVERRIDE=FY","FILING_STATUS=MR","EQY_CONSOLIDATED=Y","FA_ADJUSTED=GAAP","Sort=A","Dates=H","DateFormat=P","Fill=—","Direction=H","UseDPDF=Y")</f>
        <v>1.4783999999999999</v>
      </c>
      <c r="H8" s="18">
        <f>_xll.BDH("HDFCB IN Equity","RETURN_ON_ASSET","FY 2011","FY 2011","Currency=INR","Period=FY","BEST_FPERIOD_OVERRIDE=FY","FILING_STATUS=MR","EQY_CONSOLIDATED=Y","FA_ADJUSTED=GAAP","Sort=A","Dates=H","DateFormat=P","Fill=—","Direction=H","UseDPDF=Y")</f>
        <v>1.5941000000000001</v>
      </c>
      <c r="I8" s="18">
        <f>_xll.BDH("HDFCB IN Equity","RETURN_ON_ASSET","FY 2012","FY 2012","Currency=INR","Period=FY","BEST_FPERIOD_OVERRIDE=FY","FILING_STATUS=MR","EQY_CONSOLIDATED=Y","FA_ADJUSTED=GAAP","Sort=A","Dates=H","DateFormat=P","Fill=—","Direction=H","UseDPDF=Y")</f>
        <v>1.6953</v>
      </c>
      <c r="J8" s="18">
        <f>_xll.BDH("HDFCB IN Equity","RETURN_ON_ASSET","FY 2013","FY 2013","Currency=INR","Period=FY","BEST_FPERIOD_OVERRIDE=FY","FILING_STATUS=MR","EQY_CONSOLIDATED=Y","FA_ADJUSTED=GAAP","Sort=A","Dates=H","DateFormat=P","Fill=—","Direction=H","UseDPDF=Y")</f>
        <v>1.8349</v>
      </c>
      <c r="K8" s="18">
        <f>_xll.BDH("HDFCB IN Equity","RETURN_ON_ASSET","FY 2014","FY 2014","Currency=INR","Period=FY","BEST_FPERIOD_OVERRIDE=FY","FILING_STATUS=MR","EQY_CONSOLIDATED=Y","FA_ADJUSTED=GAAP","Sort=A","Dates=H","DateFormat=P","Fill=—","Direction=H","UseDPDF=Y")</f>
        <v>1.9188000000000001</v>
      </c>
      <c r="L8" s="18">
        <f>_xll.BDH("HDFCB IN Equity","RETURN_ON_ASSET","FY 2015","FY 2015","Currency=INR","Period=FY","BEST_FPERIOD_OVERRIDE=FY","FILING_STATUS=MR","EQY_CONSOLIDATED=Y","FA_ADJUSTED=GAAP","Sort=A","Dates=H","DateFormat=P","Fill=—","Direction=H","UseDPDF=Y")</f>
        <v>1.9247000000000001</v>
      </c>
      <c r="M8" s="18">
        <f>_xll.BDH("HDFCB IN Equity","RETURN_ON_ASSET","FY 2016","FY 2016","Currency=INR","Period=FY","BEST_FPERIOD_OVERRIDE=FY","FILING_STATUS=MR","EQY_CONSOLIDATED=Y","FA_ADJUSTED=GAAP","Sort=A","Dates=H","DateFormat=P","Fill=—","Direction=H","UseDPDF=Y")</f>
        <v>1.8697999999999999</v>
      </c>
      <c r="N8" s="18">
        <f>_xll.BDH("HDFCB IN Equity","RETURN_ON_ASSET","FY 2017","FY 2017","Currency=INR","Period=FY","BEST_FPERIOD_OVERRIDE=FY","FILING_STATUS=MR","EQY_CONSOLIDATED=Y","FA_ADJUSTED=GAAP","Sort=A","Dates=H","DateFormat=P","Fill=—","Direction=H","UseDPDF=Y")</f>
        <v>1.8438000000000001</v>
      </c>
      <c r="O8" s="18">
        <f>_xll.BDH("HDFCB IN Equity","RETURN_ON_ASSET","FY 2018","FY 2018","Currency=INR","Period=FY","BEST_FPERIOD_OVERRIDE=FY","FILING_STATUS=MR","EQY_CONSOLIDATED=Y","FA_ADJUSTED=GAAP","Sort=A","Dates=H","DateFormat=P","Fill=—","Direction=H","UseDPDF=Y")</f>
        <v>1.8551</v>
      </c>
      <c r="P8" s="18">
        <f>_xll.BDH("HDFCB IN Equity","RETURN_ON_ASSET","FY 2019","FY 2019","Currency=INR","Period=FY","BEST_FPERIOD_OVERRIDE=FY","FILING_STATUS=MR","EQY_CONSOLIDATED=Y","FA_ADJUSTED=GAAP","Sort=A","Dates=H","DateFormat=P","Fill=—","Direction=H","UseDPDF=Y")</f>
        <v>1.8641000000000001</v>
      </c>
      <c r="Q8" s="18">
        <f>_xll.BDH("HDFCB IN Equity","RETURN_ON_ASSET","FY 2020","FY 2020","Currency=INR","Period=FY","BEST_FPERIOD_OVERRIDE=FY","FILING_STATUS=MR","EQY_CONSOLIDATED=Y","FA_ADJUSTED=GAAP","Sort=A","Dates=H","DateFormat=P","Fill=—","Direction=H","UseDPDF=Y")</f>
        <v>1.8968</v>
      </c>
      <c r="R8" s="18">
        <f>_xll.BDH("HDFCB IN Equity","RETURN_ON_ASSET","FY 2021","FY 2021","Currency=INR","Period=FY","BEST_FPERIOD_OVERRIDE=FY","FILING_STATUS=MR","EQY_CONSOLIDATED=Y","FA_ADJUSTED=GAAP","Sort=A","Dates=H","DateFormat=P","Fill=—","Direction=H","UseDPDF=Y")</f>
        <v>1.8834</v>
      </c>
      <c r="S8" s="18">
        <f>_xll.BDH("HDFCB IN Equity","RETURN_ON_ASSET","FY 2022","FY 2022","Currency=INR","Period=FY","BEST_FPERIOD_OVERRIDE=FY","FILING_STATUS=MR","EQY_CONSOLIDATED=Y","FA_ADJUSTED=GAAP","Sort=A","Dates=H","DateFormat=P","Fill=—","Direction=H","UseDPDF=Y")</f>
        <v>1.9402999999999999</v>
      </c>
      <c r="T8" s="18">
        <f>_xll.BDH("HDFCB IN Equity","RETURN_ON_ASSET","FY 2023","FY 2023","Currency=INR","Period=FY","BEST_FPERIOD_OVERRIDE=FY","FILING_STATUS=MR","EQY_CONSOLIDATED=Y","FA_ADJUSTED=GAAP","Sort=A","Dates=H","DateFormat=P","Fill=—","Direction=H","UseDPDF=Y")</f>
        <v>1.9769000000000001</v>
      </c>
    </row>
    <row r="9" spans="1:20" x14ac:dyDescent="0.25">
      <c r="A9" s="3" t="s">
        <v>49</v>
      </c>
      <c r="B9" s="3" t="s">
        <v>50</v>
      </c>
      <c r="C9" s="18" t="str">
        <f>_xll.BDH("HDFCB IN Equity","RETURN_ON_CAP","FY 2006","FY 2006","Currency=INR","Period=FY","BEST_FPERIOD_OVERRIDE=FY","FILING_STATUS=MR","EQY_CONSOLIDATED=Y","FA_ADJUSTED=GAAP","Sort=A","Dates=H","DateFormat=P","Fill=—","Direction=H","UseDPDF=Y")</f>
        <v>—</v>
      </c>
      <c r="D9" s="18">
        <f>_xll.BDH("HDFCB IN Equity","RETURN_ON_CAP","FY 2007","FY 2007","Currency=INR","Period=FY","BEST_FPERIOD_OVERRIDE=FY","FILING_STATUS=MR","EQY_CONSOLIDATED=Y","FA_ADJUSTED=GAAP","Sort=A","Dates=H","DateFormat=P","Fill=—","Direction=H","UseDPDF=Y")</f>
        <v>11.427300000000001</v>
      </c>
      <c r="E9" s="18">
        <f>_xll.BDH("HDFCB IN Equity","RETURN_ON_CAP","FY 2008","FY 2008","Currency=INR","Period=FY","BEST_FPERIOD_OVERRIDE=FY","FILING_STATUS=MR","EQY_CONSOLIDATED=Y","FA_ADJUSTED=GAAP","Sort=A","Dates=H","DateFormat=P","Fill=—","Direction=H","UseDPDF=Y")</f>
        <v>12.5722</v>
      </c>
      <c r="F9" s="18">
        <f>_xll.BDH("HDFCB IN Equity","RETURN_ON_CAP","FY 2009","FY 2009","Currency=INR","Period=FY","BEST_FPERIOD_OVERRIDE=FY","FILING_STATUS=MR","EQY_CONSOLIDATED=Y","FA_ADJUSTED=GAAP","Sort=A","Dates=H","DateFormat=P","Fill=—","Direction=H","UseDPDF=Y")</f>
        <v>11.4505</v>
      </c>
      <c r="G9" s="18">
        <f>_xll.BDH("HDFCB IN Equity","RETURN_ON_CAP","FY 2010","FY 2010","Currency=INR","Period=FY","BEST_FPERIOD_OVERRIDE=FY","FILING_STATUS=MR","EQY_CONSOLIDATED=Y","FA_ADJUSTED=GAAP","Sort=A","Dates=H","DateFormat=P","Fill=—","Direction=H","UseDPDF=Y")</f>
        <v>9.1373999999999995</v>
      </c>
      <c r="H9" s="18">
        <f>_xll.BDH("HDFCB IN Equity","RETURN_ON_CAP","FY 2011","FY 2011","Currency=INR","Period=FY","BEST_FPERIOD_OVERRIDE=FY","FILING_STATUS=MR","EQY_CONSOLIDATED=Y","FA_ADJUSTED=GAAP","Sort=A","Dates=H","DateFormat=P","Fill=—","Direction=H","UseDPDF=Y")</f>
        <v>8.7809000000000008</v>
      </c>
      <c r="I9" s="18">
        <f>_xll.BDH("HDFCB IN Equity","RETURN_ON_CAP","FY 2012","FY 2012","Currency=INR","Period=FY","BEST_FPERIOD_OVERRIDE=FY","FILING_STATUS=MR","EQY_CONSOLIDATED=Y","FA_ADJUSTED=GAAP","Sort=A","Dates=H","DateFormat=P","Fill=—","Direction=H","UseDPDF=Y")</f>
        <v>9.3457000000000008</v>
      </c>
      <c r="J9" s="18">
        <f>_xll.BDH("HDFCB IN Equity","RETURN_ON_CAP","FY 2013","FY 2013","Currency=INR","Period=FY","BEST_FPERIOD_OVERRIDE=FY","FILING_STATUS=MR","EQY_CONSOLIDATED=Y","FA_ADJUSTED=GAAP","Sort=A","Dates=H","DateFormat=P","Fill=—","Direction=H","UseDPDF=Y")</f>
        <v>9.2787000000000006</v>
      </c>
      <c r="K9" s="18">
        <f>_xll.BDH("HDFCB IN Equity","RETURN_ON_CAP","FY 2014","FY 2014","Currency=INR","Period=FY","BEST_FPERIOD_OVERRIDE=FY","FILING_STATUS=MR","EQY_CONSOLIDATED=Y","FA_ADJUSTED=GAAP","Sort=A","Dates=H","DateFormat=P","Fill=—","Direction=H","UseDPDF=Y")</f>
        <v>9.5393000000000008</v>
      </c>
      <c r="L9" s="18">
        <f>_xll.BDH("HDFCB IN Equity","RETURN_ON_CAP","FY 2015","FY 2015","Currency=INR","Period=FY","BEST_FPERIOD_OVERRIDE=FY","FILING_STATUS=MR","EQY_CONSOLIDATED=Y","FA_ADJUSTED=GAAP","Sort=A","Dates=H","DateFormat=P","Fill=—","Direction=H","UseDPDF=Y")</f>
        <v>9.3721999999999994</v>
      </c>
      <c r="M9" s="18">
        <f>_xll.BDH("HDFCB IN Equity","RETURN_ON_CAP","FY 2016","FY 2016","Currency=INR","Period=FY","BEST_FPERIOD_OVERRIDE=FY","FILING_STATUS=MR","EQY_CONSOLIDATED=Y","FA_ADJUSTED=GAAP","Sort=A","Dates=H","DateFormat=P","Fill=—","Direction=H","UseDPDF=Y")</f>
        <v>8.1544000000000008</v>
      </c>
      <c r="N9" s="18">
        <f>_xll.BDH("HDFCB IN Equity","RETURN_ON_CAP","FY 2017","FY 2017","Currency=INR","Period=FY","BEST_FPERIOD_OVERRIDE=FY","FILING_STATUS=MR","EQY_CONSOLIDATED=Y","FA_ADJUSTED=GAAP","Sort=A","Dates=H","DateFormat=P","Fill=—","Direction=H","UseDPDF=Y")</f>
        <v>7.7861000000000002</v>
      </c>
      <c r="O9" s="18">
        <f>_xll.BDH("HDFCB IN Equity","RETURN_ON_CAP","FY 2018","FY 2018","Currency=INR","Period=FY","BEST_FPERIOD_OVERRIDE=FY","FILING_STATUS=MR","EQY_CONSOLIDATED=Y","FA_ADJUSTED=GAAP","Sort=A","Dates=H","DateFormat=P","Fill=—","Direction=H","UseDPDF=Y")</f>
        <v>7.7051999999999996</v>
      </c>
      <c r="P9" s="18">
        <f>_xll.BDH("HDFCB IN Equity","RETURN_ON_CAP","FY 2019","FY 2019","Currency=INR","Period=FY","BEST_FPERIOD_OVERRIDE=FY","FILING_STATUS=MR","EQY_CONSOLIDATED=Y","FA_ADJUSTED=GAAP","Sort=A","Dates=H","DateFormat=P","Fill=—","Direction=H","UseDPDF=Y")</f>
        <v>7.5629999999999997</v>
      </c>
      <c r="Q9" s="18">
        <f>_xll.BDH("HDFCB IN Equity","RETURN_ON_CAP","FY 2020","FY 2020","Currency=INR","Period=FY","BEST_FPERIOD_OVERRIDE=FY","FILING_STATUS=MR","EQY_CONSOLIDATED=Y","FA_ADJUSTED=GAAP","Sort=A","Dates=H","DateFormat=P","Fill=—","Direction=H","UseDPDF=Y")</f>
        <v>7.9085000000000001</v>
      </c>
      <c r="R9" s="18">
        <f>_xll.BDH("HDFCB IN Equity","RETURN_ON_CAP","FY 2021","FY 2021","Currency=INR","Period=FY","BEST_FPERIOD_OVERRIDE=FY","FILING_STATUS=MR","EQY_CONSOLIDATED=Y","FA_ADJUSTED=GAAP","Sort=A","Dates=H","DateFormat=P","Fill=—","Direction=H","UseDPDF=Y")</f>
        <v>8.2538999999999998</v>
      </c>
      <c r="S9" s="18">
        <f>_xll.BDH("HDFCB IN Equity","RETURN_ON_CAP","FY 2022","FY 2022","Currency=INR","Period=FY","BEST_FPERIOD_OVERRIDE=FY","FILING_STATUS=MR","EQY_CONSOLIDATED=Y","FA_ADJUSTED=GAAP","Sort=A","Dates=H","DateFormat=P","Fill=—","Direction=H","UseDPDF=Y")</f>
        <v>8.5861000000000001</v>
      </c>
      <c r="T9" s="18">
        <f>_xll.BDH("HDFCB IN Equity","RETURN_ON_CAP","FY 2023","FY 2023","Currency=INR","Period=FY","BEST_FPERIOD_OVERRIDE=FY","FILING_STATUS=MR","EQY_CONSOLIDATED=Y","FA_ADJUSTED=GAAP","Sort=A","Dates=H","DateFormat=P","Fill=—","Direction=H","UseDPDF=Y")</f>
        <v>8.8176000000000005</v>
      </c>
    </row>
    <row r="10" spans="1:20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x14ac:dyDescent="0.25">
      <c r="A11" s="1" t="s">
        <v>53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25">
      <c r="A12" s="3" t="s">
        <v>58</v>
      </c>
      <c r="B12" s="3" t="s">
        <v>59</v>
      </c>
      <c r="C12" s="18">
        <f>_xll.BDH("HDFCB IN Equity","OPER_MARGIN","FY 2006","FY 2006","Currency=INR","Period=FY","BEST_FPERIOD_OVERRIDE=FY","FILING_STATUS=MR","EQY_CONSOLIDATED=Y","FA_ADJUSTED=GAAP","Sort=A","Dates=H","DateFormat=P","Fill=—","Direction=H","UseDPDF=Y")</f>
        <v>18.146599999999999</v>
      </c>
      <c r="D12" s="18">
        <f>_xll.BDH("HDFCB IN Equity","OPER_MARGIN","FY 2007","FY 2007","Currency=INR","Period=FY","BEST_FPERIOD_OVERRIDE=FY","FILING_STATUS=MR","EQY_CONSOLIDATED=Y","FA_ADJUSTED=GAAP","Sort=A","Dates=H","DateFormat=P","Fill=—","Direction=H","UseDPDF=Y")</f>
        <v>21.635100000000001</v>
      </c>
      <c r="E12" s="18">
        <f>_xll.BDH("HDFCB IN Equity","OPER_MARGIN","FY 2008","FY 2008","Currency=INR","Period=FY","BEST_FPERIOD_OVERRIDE=FY","FILING_STATUS=MR","EQY_CONSOLIDATED=Y","FA_ADJUSTED=GAAP","Sort=A","Dates=H","DateFormat=P","Fill=—","Direction=H","UseDPDF=Y")</f>
        <v>30.1587</v>
      </c>
      <c r="F12" s="18">
        <f>_xll.BDH("HDFCB IN Equity","OPER_MARGIN","FY 2009","FY 2009","Currency=INR","Period=FY","BEST_FPERIOD_OVERRIDE=FY","FILING_STATUS=MR","EQY_CONSOLIDATED=Y","FA_ADJUSTED=GAAP","Sort=A","Dates=H","DateFormat=P","Fill=—","Direction=H","UseDPDF=Y")</f>
        <v>30.589099999999998</v>
      </c>
      <c r="G12" s="18">
        <f>_xll.BDH("HDFCB IN Equity","OPER_MARGIN","FY 2010","FY 2010","Currency=INR","Period=FY","BEST_FPERIOD_OVERRIDE=FY","FILING_STATUS=MR","EQY_CONSOLIDATED=Y","FA_ADJUSTED=GAAP","Sort=A","Dates=H","DateFormat=P","Fill=—","Direction=H","UseDPDF=Y")</f>
        <v>34.947400000000002</v>
      </c>
      <c r="H12" s="18">
        <f>_xll.BDH("HDFCB IN Equity","OPER_MARGIN","FY 2011","FY 2011","Currency=INR","Period=FY","BEST_FPERIOD_OVERRIDE=FY","FILING_STATUS=MR","EQY_CONSOLIDATED=Y","FA_ADJUSTED=GAAP","Sort=A","Dates=H","DateFormat=P","Fill=—","Direction=H","UseDPDF=Y")</f>
        <v>39.183900000000001</v>
      </c>
      <c r="I12" s="18">
        <f>_xll.BDH("HDFCB IN Equity","OPER_MARGIN","FY 2012","FY 2012","Currency=INR","Period=FY","BEST_FPERIOD_OVERRIDE=FY","FILING_STATUS=MR","EQY_CONSOLIDATED=Y","FA_ADJUSTED=GAAP","Sort=A","Dates=H","DateFormat=P","Fill=—","Direction=H","UseDPDF=Y")</f>
        <v>40.186799999999998</v>
      </c>
      <c r="J12" s="18">
        <f>_xll.BDH("HDFCB IN Equity","OPER_MARGIN","FY 2013","FY 2013","Currency=INR","Period=FY","BEST_FPERIOD_OVERRIDE=FY","FILING_STATUS=MR","EQY_CONSOLIDATED=Y","FA_ADJUSTED=GAAP","Sort=A","Dates=H","DateFormat=P","Fill=—","Direction=H","UseDPDF=Y")</f>
        <v>42.938400000000001</v>
      </c>
      <c r="K12" s="18">
        <f>_xll.BDH("HDFCB IN Equity","OPER_MARGIN","FY 2014","FY 2014","Currency=INR","Period=FY","BEST_FPERIOD_OVERRIDE=FY","FILING_STATUS=MR","EQY_CONSOLIDATED=Y","FA_ADJUSTED=GAAP","Sort=A","Dates=H","DateFormat=P","Fill=—","Direction=H","UseDPDF=Y")</f>
        <v>48.201599999999999</v>
      </c>
      <c r="L12" s="18">
        <f>_xll.BDH("HDFCB IN Equity","OPER_MARGIN","FY 2015","FY 2015","Currency=INR","Period=FY","BEST_FPERIOD_OVERRIDE=FY","FILING_STATUS=MR","EQY_CONSOLIDATED=Y","FA_ADJUSTED=GAAP","Sort=A","Dates=H","DateFormat=P","Fill=—","Direction=H","UseDPDF=Y")</f>
        <v>48.838500000000003</v>
      </c>
      <c r="M12" s="18">
        <f>_xll.BDH("HDFCB IN Equity","OPER_MARGIN","FY 2016","FY 2016","Currency=INR","Period=FY","BEST_FPERIOD_OVERRIDE=FY","FILING_STATUS=MR","EQY_CONSOLIDATED=Y","FA_ADJUSTED=GAAP","Sort=A","Dates=H","DateFormat=P","Fill=—","Direction=H","UseDPDF=Y")</f>
        <v>48.41</v>
      </c>
      <c r="N12" s="18">
        <f>_xll.BDH("HDFCB IN Equity","OPER_MARGIN","FY 2017","FY 2017","Currency=INR","Period=FY","BEST_FPERIOD_OVERRIDE=FY","FILING_STATUS=MR","EQY_CONSOLIDATED=Y","FA_ADJUSTED=GAAP","Sort=A","Dates=H","DateFormat=P","Fill=—","Direction=H","UseDPDF=Y")</f>
        <v>48.569499999999998</v>
      </c>
      <c r="O12" s="18">
        <f>_xll.BDH("HDFCB IN Equity","OPER_MARGIN","FY 2018","FY 2018","Currency=INR","Period=FY","BEST_FPERIOD_OVERRIDE=FY","FILING_STATUS=MR","EQY_CONSOLIDATED=Y","FA_ADJUSTED=GAAP","Sort=A","Dates=H","DateFormat=P","Fill=—","Direction=H","UseDPDF=Y")</f>
        <v>48.2742</v>
      </c>
      <c r="P12" s="18">
        <f>_xll.BDH("HDFCB IN Equity","OPER_MARGIN","FY 2019","FY 2019","Currency=INR","Period=FY","BEST_FPERIOD_OVERRIDE=FY","FILING_STATUS=MR","EQY_CONSOLIDATED=Y","FA_ADJUSTED=GAAP","Sort=A","Dates=H","DateFormat=P","Fill=—","Direction=H","UseDPDF=Y")</f>
        <v>48.750799999999998</v>
      </c>
      <c r="Q12" s="18">
        <f>_xll.BDH("HDFCB IN Equity","OPER_MARGIN","FY 2020","FY 2020","Currency=INR","Period=FY","BEST_FPERIOD_OVERRIDE=FY","FILING_STATUS=MR","EQY_CONSOLIDATED=Y","FA_ADJUSTED=GAAP","Sort=A","Dates=H","DateFormat=P","Fill=—","Direction=H","UseDPDF=Y")</f>
        <v>44.975700000000003</v>
      </c>
      <c r="R12" s="18">
        <f>_xll.BDH("HDFCB IN Equity","OPER_MARGIN","FY 2021","FY 2021","Currency=INR","Period=FY","BEST_FPERIOD_OVERRIDE=FY","FILING_STATUS=MR","EQY_CONSOLIDATED=Y","FA_ADJUSTED=GAAP","Sort=A","Dates=H","DateFormat=P","Fill=—","Direction=H","UseDPDF=Y")</f>
        <v>44.277200000000001</v>
      </c>
      <c r="S12" s="18">
        <f>_xll.BDH("HDFCB IN Equity","OPER_MARGIN","FY 2022","FY 2022","Currency=INR","Period=FY","BEST_FPERIOD_OVERRIDE=FY","FILING_STATUS=MR","EQY_CONSOLIDATED=Y","FA_ADJUSTED=GAAP","Sort=A","Dates=H","DateFormat=P","Fill=—","Direction=H","UseDPDF=Y")</f>
        <v>46.622700000000002</v>
      </c>
      <c r="T12" s="18">
        <f>_xll.BDH("HDFCB IN Equity","OPER_MARGIN","FY 2023","FY 2023","Currency=INR","Period=FY","BEST_FPERIOD_OVERRIDE=FY","FILING_STATUS=MR","EQY_CONSOLIDATED=Y","FA_ADJUSTED=GAAP","Sort=A","Dates=H","DateFormat=P","Fill=—","Direction=H","UseDPDF=Y")</f>
        <v>48.466200000000001</v>
      </c>
    </row>
    <row r="13" spans="1:20" x14ac:dyDescent="0.25">
      <c r="A13" s="3" t="s">
        <v>60</v>
      </c>
      <c r="B13" s="3" t="s">
        <v>61</v>
      </c>
      <c r="C13" s="18" t="str">
        <f>_xll.BDH("HDFCB IN Equity","INCREMENTAL_OPERATING_MARGIN","FY 2006","FY 2006","Currency=INR","Period=FY","BEST_FPERIOD_OVERRIDE=FY","FILING_STATUS=MR","EQY_CONSOLIDATED=Y","FA_ADJUSTED=GAAP","Sort=A","Dates=H","DateFormat=P","Fill=—","Direction=H","UseDPDF=Y")</f>
        <v>—</v>
      </c>
      <c r="D13" s="18">
        <f>_xll.BDH("HDFCB IN Equity","INCREMENTAL_OPERATING_MARGIN","FY 2007","FY 2007","Currency=INR","Period=FY","BEST_FPERIOD_OVERRIDE=FY","FILING_STATUS=MR","EQY_CONSOLIDATED=Y","FA_ADJUSTED=GAAP","Sort=A","Dates=H","DateFormat=P","Fill=—","Direction=H","UseDPDF=Y")</f>
        <v>58.335500000000003</v>
      </c>
      <c r="E13" s="18">
        <f>_xll.BDH("HDFCB IN Equity","INCREMENTAL_OPERATING_MARGIN","FY 2008","FY 2008","Currency=INR","Period=FY","BEST_FPERIOD_OVERRIDE=FY","FILING_STATUS=MR","EQY_CONSOLIDATED=Y","FA_ADJUSTED=GAAP","Sort=A","Dates=H","DateFormat=P","Fill=—","Direction=H","UseDPDF=Y")</f>
        <v>49.581000000000003</v>
      </c>
      <c r="F13" s="18">
        <f>_xll.BDH("HDFCB IN Equity","INCREMENTAL_OPERATING_MARGIN","FY 2009","FY 2009","Currency=INR","Period=FY","BEST_FPERIOD_OVERRIDE=FY","FILING_STATUS=MR","EQY_CONSOLIDATED=Y","FA_ADJUSTED=GAAP","Sort=A","Dates=H","DateFormat=P","Fill=—","Direction=H","UseDPDF=Y")</f>
        <v>31.598299999999998</v>
      </c>
      <c r="G13" s="18">
        <f>_xll.BDH("HDFCB IN Equity","INCREMENTAL_OPERATING_MARGIN","FY 2010","FY 2010","Currency=INR","Period=FY","BEST_FPERIOD_OVERRIDE=FY","FILING_STATUS=MR","EQY_CONSOLIDATED=Y","FA_ADJUSTED=GAAP","Sort=A","Dates=H","DateFormat=P","Fill=—","Direction=H","UseDPDF=Y")</f>
        <v>61.247999999999998</v>
      </c>
      <c r="H13" s="18">
        <f>_xll.BDH("HDFCB IN Equity","INCREMENTAL_OPERATING_MARGIN","FY 2011","FY 2011","Currency=INR","Period=FY","BEST_FPERIOD_OVERRIDE=FY","FILING_STATUS=MR","EQY_CONSOLIDATED=Y","FA_ADJUSTED=GAAP","Sort=A","Dates=H","DateFormat=P","Fill=—","Direction=H","UseDPDF=Y")</f>
        <v>60.121499999999997</v>
      </c>
      <c r="I13" s="18">
        <f>_xll.BDH("HDFCB IN Equity","INCREMENTAL_OPERATING_MARGIN","FY 2012","FY 2012","Currency=INR","Period=FY","BEST_FPERIOD_OVERRIDE=FY","FILING_STATUS=MR","EQY_CONSOLIDATED=Y","FA_ADJUSTED=GAAP","Sort=A","Dates=H","DateFormat=P","Fill=—","Direction=H","UseDPDF=Y")</f>
        <v>44.1203</v>
      </c>
      <c r="J13" s="18">
        <f>_xll.BDH("HDFCB IN Equity","INCREMENTAL_OPERATING_MARGIN","FY 2013","FY 2013","Currency=INR","Period=FY","BEST_FPERIOD_OVERRIDE=FY","FILING_STATUS=MR","EQY_CONSOLIDATED=Y","FA_ADJUSTED=GAAP","Sort=A","Dates=H","DateFormat=P","Fill=—","Direction=H","UseDPDF=Y")</f>
        <v>55.381700000000002</v>
      </c>
      <c r="K13" s="18">
        <f>_xll.BDH("HDFCB IN Equity","INCREMENTAL_OPERATING_MARGIN","FY 2014","FY 2014","Currency=INR","Period=FY","BEST_FPERIOD_OVERRIDE=FY","FILING_STATUS=MR","EQY_CONSOLIDATED=Y","FA_ADJUSTED=GAAP","Sort=A","Dates=H","DateFormat=P","Fill=—","Direction=H","UseDPDF=Y")</f>
        <v>78.048500000000004</v>
      </c>
      <c r="L13" s="18">
        <f>_xll.BDH("HDFCB IN Equity","INCREMENTAL_OPERATING_MARGIN","FY 2015","FY 2015","Currency=INR","Period=FY","BEST_FPERIOD_OVERRIDE=FY","FILING_STATUS=MR","EQY_CONSOLIDATED=Y","FA_ADJUSTED=GAAP","Sort=A","Dates=H","DateFormat=P","Fill=—","Direction=H","UseDPDF=Y")</f>
        <v>52.002400000000002</v>
      </c>
      <c r="M13" s="18">
        <f>_xll.BDH("HDFCB IN Equity","INCREMENTAL_OPERATING_MARGIN","FY 2016","FY 2016","Currency=INR","Period=FY","BEST_FPERIOD_OVERRIDE=FY","FILING_STATUS=MR","EQY_CONSOLIDATED=Y","FA_ADJUSTED=GAAP","Sort=A","Dates=H","DateFormat=P","Fill=—","Direction=H","UseDPDF=Y")</f>
        <v>46.4983</v>
      </c>
      <c r="N13" s="18">
        <f>_xll.BDH("HDFCB IN Equity","INCREMENTAL_OPERATING_MARGIN","FY 2017","FY 2017","Currency=INR","Period=FY","BEST_FPERIOD_OVERRIDE=FY","FILING_STATUS=MR","EQY_CONSOLIDATED=Y","FA_ADJUSTED=GAAP","Sort=A","Dates=H","DateFormat=P","Fill=—","Direction=H","UseDPDF=Y")</f>
        <v>49.393300000000004</v>
      </c>
      <c r="O13" s="18">
        <f>_xll.BDH("HDFCB IN Equity","INCREMENTAL_OPERATING_MARGIN","FY 2018","FY 2018","Currency=INR","Period=FY","BEST_FPERIOD_OVERRIDE=FY","FILING_STATUS=MR","EQY_CONSOLIDATED=Y","FA_ADJUSTED=GAAP","Sort=A","Dates=H","DateFormat=P","Fill=—","Direction=H","UseDPDF=Y")</f>
        <v>46.965800000000002</v>
      </c>
      <c r="P13" s="18">
        <f>_xll.BDH("HDFCB IN Equity","INCREMENTAL_OPERATING_MARGIN","FY 2019","FY 2019","Currency=INR","Period=FY","BEST_FPERIOD_OVERRIDE=FY","FILING_STATUS=MR","EQY_CONSOLIDATED=Y","FA_ADJUSTED=GAAP","Sort=A","Dates=H","DateFormat=P","Fill=—","Direction=H","UseDPDF=Y")</f>
        <v>51.208599999999997</v>
      </c>
      <c r="Q13" s="18">
        <f>_xll.BDH("HDFCB IN Equity","INCREMENTAL_OPERATING_MARGIN","FY 2020","FY 2020","Currency=INR","Period=FY","BEST_FPERIOD_OVERRIDE=FY","FILING_STATUS=MR","EQY_CONSOLIDATED=Y","FA_ADJUSTED=GAAP","Sort=A","Dates=H","DateFormat=P","Fill=—","Direction=H","UseDPDF=Y")</f>
        <v>26.683800000000002</v>
      </c>
      <c r="R13" s="18">
        <f>_xll.BDH("HDFCB IN Equity","INCREMENTAL_OPERATING_MARGIN","FY 2021","FY 2021","Currency=INR","Period=FY","BEST_FPERIOD_OVERRIDE=FY","FILING_STATUS=MR","EQY_CONSOLIDATED=Y","FA_ADJUSTED=GAAP","Sort=A","Dates=H","DateFormat=P","Fill=—","Direction=H","UseDPDF=Y")</f>
        <v>39.2211</v>
      </c>
      <c r="S13" s="18">
        <f>_xll.BDH("HDFCB IN Equity","INCREMENTAL_OPERATING_MARGIN","FY 2022","FY 2022","Currency=INR","Period=FY","BEST_FPERIOD_OVERRIDE=FY","FILING_STATUS=MR","EQY_CONSOLIDATED=Y","FA_ADJUSTED=GAAP","Sort=A","Dates=H","DateFormat=P","Fill=—","Direction=H","UseDPDF=Y")</f>
        <v>64.813699999999997</v>
      </c>
      <c r="T13" s="18">
        <f>_xll.BDH("HDFCB IN Equity","INCREMENTAL_OPERATING_MARGIN","FY 2023","FY 2023","Currency=INR","Period=FY","BEST_FPERIOD_OVERRIDE=FY","FILING_STATUS=MR","EQY_CONSOLIDATED=Y","FA_ADJUSTED=GAAP","Sort=A","Dates=H","DateFormat=P","Fill=—","Direction=H","UseDPDF=Y")</f>
        <v>59.784799999999997</v>
      </c>
    </row>
    <row r="14" spans="1:20" x14ac:dyDescent="0.25">
      <c r="A14" s="3" t="s">
        <v>62</v>
      </c>
      <c r="B14" s="3" t="s">
        <v>118</v>
      </c>
      <c r="C14" s="18">
        <f>_xll.BDH("HDFCB IN Equity","PRETAX_MARGIN","FY 2006","FY 2006","Currency=INR","Period=FY","BEST_FPERIOD_OVERRIDE=FY","FILING_STATUS=MR","EQY_CONSOLIDATED=Y","FA_ADJUSTED=GAAP","Sort=A","Dates=H","DateFormat=P","Fill=—","Direction=H","UseDPDF=Y")</f>
        <v>18.317599999999999</v>
      </c>
      <c r="D14" s="18">
        <f>_xll.BDH("HDFCB IN Equity","PRETAX_MARGIN","FY 2007","FY 2007","Currency=INR","Period=FY","BEST_FPERIOD_OVERRIDE=FY","FILING_STATUS=MR","EQY_CONSOLIDATED=Y","FA_ADJUSTED=GAAP","Sort=A","Dates=H","DateFormat=P","Fill=—","Direction=H","UseDPDF=Y")</f>
        <v>21.8384</v>
      </c>
      <c r="E14" s="18">
        <f>_xll.BDH("HDFCB IN Equity","PRETAX_MARGIN","FY 2008","FY 2008","Currency=INR","Period=FY","BEST_FPERIOD_OVERRIDE=FY","FILING_STATUS=MR","EQY_CONSOLIDATED=Y","FA_ADJUSTED=GAAP","Sort=A","Dates=H","DateFormat=P","Fill=—","Direction=H","UseDPDF=Y")</f>
        <v>30.293800000000001</v>
      </c>
      <c r="F14" s="18">
        <f>_xll.BDH("HDFCB IN Equity","PRETAX_MARGIN","FY 2009","FY 2009","Currency=INR","Period=FY","BEST_FPERIOD_OVERRIDE=FY","FILING_STATUS=MR","EQY_CONSOLIDATED=Y","FA_ADJUSTED=GAAP","Sort=A","Dates=H","DateFormat=P","Fill=—","Direction=H","UseDPDF=Y")</f>
        <v>30.589099999999998</v>
      </c>
      <c r="G14" s="18">
        <f>_xll.BDH("HDFCB IN Equity","PRETAX_MARGIN","FY 2010","FY 2010","Currency=INR","Period=FY","BEST_FPERIOD_OVERRIDE=FY","FILING_STATUS=MR","EQY_CONSOLIDATED=Y","FA_ADJUSTED=GAAP","Sort=A","Dates=H","DateFormat=P","Fill=—","Direction=H","UseDPDF=Y")</f>
        <v>34.947400000000002</v>
      </c>
      <c r="H14" s="18">
        <f>_xll.BDH("HDFCB IN Equity","PRETAX_MARGIN","FY 2011","FY 2011","Currency=INR","Period=FY","BEST_FPERIOD_OVERRIDE=FY","FILING_STATUS=MR","EQY_CONSOLIDATED=Y","FA_ADJUSTED=GAAP","Sort=A","Dates=H","DateFormat=P","Fill=—","Direction=H","UseDPDF=Y")</f>
        <v>39.183900000000001</v>
      </c>
      <c r="I14" s="18">
        <f>_xll.BDH("HDFCB IN Equity","PRETAX_MARGIN","FY 2012","FY 2012","Currency=INR","Period=FY","BEST_FPERIOD_OVERRIDE=FY","FILING_STATUS=MR","EQY_CONSOLIDATED=Y","FA_ADJUSTED=GAAP","Sort=A","Dates=H","DateFormat=P","Fill=—","Direction=H","UseDPDF=Y")</f>
        <v>40.186799999999998</v>
      </c>
      <c r="J14" s="18">
        <f>_xll.BDH("HDFCB IN Equity","PRETAX_MARGIN","FY 2013","FY 2013","Currency=INR","Period=FY","BEST_FPERIOD_OVERRIDE=FY","FILING_STATUS=MR","EQY_CONSOLIDATED=Y","FA_ADJUSTED=GAAP","Sort=A","Dates=H","DateFormat=P","Fill=—","Direction=H","UseDPDF=Y")</f>
        <v>42.938400000000001</v>
      </c>
      <c r="K14" s="18">
        <f>_xll.BDH("HDFCB IN Equity","PRETAX_MARGIN","FY 2014","FY 2014","Currency=INR","Period=FY","BEST_FPERIOD_OVERRIDE=FY","FILING_STATUS=MR","EQY_CONSOLIDATED=Y","FA_ADJUSTED=GAAP","Sort=A","Dates=H","DateFormat=P","Fill=—","Direction=H","UseDPDF=Y")</f>
        <v>48.201599999999999</v>
      </c>
      <c r="L14" s="18">
        <f>_xll.BDH("HDFCB IN Equity","PRETAX_MARGIN","FY 2015","FY 2015","Currency=INR","Period=FY","BEST_FPERIOD_OVERRIDE=FY","FILING_STATUS=MR","EQY_CONSOLIDATED=Y","FA_ADJUSTED=GAAP","Sort=A","Dates=H","DateFormat=P","Fill=—","Direction=H","UseDPDF=Y")</f>
        <v>48.838500000000003</v>
      </c>
      <c r="M14" s="18">
        <f>_xll.BDH("HDFCB IN Equity","PRETAX_MARGIN","FY 2016","FY 2016","Currency=INR","Period=FY","BEST_FPERIOD_OVERRIDE=FY","FILING_STATUS=MR","EQY_CONSOLIDATED=Y","FA_ADJUSTED=GAAP","Sort=A","Dates=H","DateFormat=P","Fill=—","Direction=H","UseDPDF=Y")</f>
        <v>48.41</v>
      </c>
      <c r="N14" s="18">
        <f>_xll.BDH("HDFCB IN Equity","PRETAX_MARGIN","FY 2017","FY 2017","Currency=INR","Period=FY","BEST_FPERIOD_OVERRIDE=FY","FILING_STATUS=MR","EQY_CONSOLIDATED=Y","FA_ADJUSTED=GAAP","Sort=A","Dates=H","DateFormat=P","Fill=—","Direction=H","UseDPDF=Y")</f>
        <v>48.569499999999998</v>
      </c>
      <c r="O14" s="18">
        <f>_xll.BDH("HDFCB IN Equity","PRETAX_MARGIN","FY 2018","FY 2018","Currency=INR","Period=FY","BEST_FPERIOD_OVERRIDE=FY","FILING_STATUS=MR","EQY_CONSOLIDATED=Y","FA_ADJUSTED=GAAP","Sort=A","Dates=H","DateFormat=P","Fill=—","Direction=H","UseDPDF=Y")</f>
        <v>48.2742</v>
      </c>
      <c r="P14" s="18">
        <f>_xll.BDH("HDFCB IN Equity","PRETAX_MARGIN","FY 2019","FY 2019","Currency=INR","Period=FY","BEST_FPERIOD_OVERRIDE=FY","FILING_STATUS=MR","EQY_CONSOLIDATED=Y","FA_ADJUSTED=GAAP","Sort=A","Dates=H","DateFormat=P","Fill=—","Direction=H","UseDPDF=Y")</f>
        <v>48.750799999999998</v>
      </c>
      <c r="Q14" s="18">
        <f>_xll.BDH("HDFCB IN Equity","PRETAX_MARGIN","FY 2020","FY 2020","Currency=INR","Period=FY","BEST_FPERIOD_OVERRIDE=FY","FILING_STATUS=MR","EQY_CONSOLIDATED=Y","FA_ADJUSTED=GAAP","Sort=A","Dates=H","DateFormat=P","Fill=—","Direction=H","UseDPDF=Y")</f>
        <v>44.975700000000003</v>
      </c>
      <c r="R14" s="18">
        <f>_xll.BDH("HDFCB IN Equity","PRETAX_MARGIN","FY 2021","FY 2021","Currency=INR","Period=FY","BEST_FPERIOD_OVERRIDE=FY","FILING_STATUS=MR","EQY_CONSOLIDATED=Y","FA_ADJUSTED=GAAP","Sort=A","Dates=H","DateFormat=P","Fill=—","Direction=H","UseDPDF=Y")</f>
        <v>44.277200000000001</v>
      </c>
      <c r="S14" s="18">
        <f>_xll.BDH("HDFCB IN Equity","PRETAX_MARGIN","FY 2022","FY 2022","Currency=INR","Period=FY","BEST_FPERIOD_OVERRIDE=FY","FILING_STATUS=MR","EQY_CONSOLIDATED=Y","FA_ADJUSTED=GAAP","Sort=A","Dates=H","DateFormat=P","Fill=—","Direction=H","UseDPDF=Y")</f>
        <v>46.622700000000002</v>
      </c>
      <c r="T14" s="18">
        <f>_xll.BDH("HDFCB IN Equity","PRETAX_MARGIN","FY 2023","FY 2023","Currency=INR","Period=FY","BEST_FPERIOD_OVERRIDE=FY","FILING_STATUS=MR","EQY_CONSOLIDATED=Y","FA_ADJUSTED=GAAP","Sort=A","Dates=H","DateFormat=P","Fill=—","Direction=H","UseDPDF=Y")</f>
        <v>48.466200000000001</v>
      </c>
    </row>
    <row r="15" spans="1:20" x14ac:dyDescent="0.25">
      <c r="A15" s="3" t="s">
        <v>64</v>
      </c>
      <c r="B15" s="3" t="s">
        <v>65</v>
      </c>
      <c r="C15" s="18">
        <f>_xll.BDH("HDFCB IN Equity","INC_BEF_XO_ITEMS_TO_NET_SALES","FY 2006","FY 2006","Currency=INR","Period=FY","BEST_FPERIOD_OVERRIDE=FY","FILING_STATUS=MR","EQY_CONSOLIDATED=Y","FA_ADJUSTED=GAAP","Sort=A","Dates=H","DateFormat=P","Fill=—","Direction=H","UseDPDF=Y")</f>
        <v>18.317599999999999</v>
      </c>
      <c r="D15" s="18">
        <f>_xll.BDH("HDFCB IN Equity","INC_BEF_XO_ITEMS_TO_NET_SALES","FY 2007","FY 2007","Currency=INR","Period=FY","BEST_FPERIOD_OVERRIDE=FY","FILING_STATUS=MR","EQY_CONSOLIDATED=Y","FA_ADJUSTED=GAAP","Sort=A","Dates=H","DateFormat=P","Fill=—","Direction=H","UseDPDF=Y")</f>
        <v>21.8384</v>
      </c>
      <c r="E15" s="18">
        <f>_xll.BDH("HDFCB IN Equity","INC_BEF_XO_ITEMS_TO_NET_SALES","FY 2008","FY 2008","Currency=INR","Period=FY","BEST_FPERIOD_OVERRIDE=FY","FILING_STATUS=MR","EQY_CONSOLIDATED=Y","FA_ADJUSTED=GAAP","Sort=A","Dates=H","DateFormat=P","Fill=—","Direction=H","UseDPDF=Y")</f>
        <v>21.188800000000001</v>
      </c>
      <c r="F15" s="18">
        <f>_xll.BDH("HDFCB IN Equity","INC_BEF_XO_ITEMS_TO_NET_SALES","FY 2009","FY 2009","Currency=INR","Period=FY","BEST_FPERIOD_OVERRIDE=FY","FILING_STATUS=MR","EQY_CONSOLIDATED=Y","FA_ADJUSTED=GAAP","Sort=A","Dates=H","DateFormat=P","Fill=—","Direction=H","UseDPDF=Y")</f>
        <v>20.792000000000002</v>
      </c>
      <c r="G15" s="18">
        <f>_xll.BDH("HDFCB IN Equity","INC_BEF_XO_ITEMS_TO_NET_SALES","FY 2010","FY 2010","Currency=INR","Period=FY","BEST_FPERIOD_OVERRIDE=FY","FILING_STATUS=MR","EQY_CONSOLIDATED=Y","FA_ADJUSTED=GAAP","Sort=A","Dates=H","DateFormat=P","Fill=—","Direction=H","UseDPDF=Y")</f>
        <v>24.011500000000002</v>
      </c>
      <c r="H15" s="18">
        <f>_xll.BDH("HDFCB IN Equity","INC_BEF_XO_ITEMS_TO_NET_SALES","FY 2011","FY 2011","Currency=INR","Period=FY","BEST_FPERIOD_OVERRIDE=FY","FILING_STATUS=MR","EQY_CONSOLIDATED=Y","FA_ADJUSTED=GAAP","Sort=A","Dates=H","DateFormat=P","Fill=—","Direction=H","UseDPDF=Y")</f>
        <v>26.472899999999999</v>
      </c>
      <c r="I15" s="18">
        <f>_xll.BDH("HDFCB IN Equity","INC_BEF_XO_ITEMS_TO_NET_SALES","FY 2012","FY 2012","Currency=INR","Period=FY","BEST_FPERIOD_OVERRIDE=FY","FILING_STATUS=MR","EQY_CONSOLIDATED=Y","FA_ADJUSTED=GAAP","Sort=A","Dates=H","DateFormat=P","Fill=—","Direction=H","UseDPDF=Y")</f>
        <v>27.658000000000001</v>
      </c>
      <c r="J15" s="18">
        <f>_xll.BDH("HDFCB IN Equity","INC_BEF_XO_ITEMS_TO_NET_SALES","FY 2013","FY 2013","Currency=INR","Period=FY","BEST_FPERIOD_OVERRIDE=FY","FILING_STATUS=MR","EQY_CONSOLIDATED=Y","FA_ADJUSTED=GAAP","Sort=A","Dates=H","DateFormat=P","Fill=—","Direction=H","UseDPDF=Y")</f>
        <v>29.629200000000001</v>
      </c>
      <c r="K15" s="18">
        <f>_xll.BDH("HDFCB IN Equity","INC_BEF_XO_ITEMS_TO_NET_SALES","FY 2014","FY 2014","Currency=INR","Period=FY","BEST_FPERIOD_OVERRIDE=FY","FILING_STATUS=MR","EQY_CONSOLIDATED=Y","FA_ADJUSTED=GAAP","Sort=A","Dates=H","DateFormat=P","Fill=—","Direction=H","UseDPDF=Y")</f>
        <v>31.9922</v>
      </c>
      <c r="L15" s="18">
        <f>_xll.BDH("HDFCB IN Equity","INC_BEF_XO_ITEMS_TO_NET_SALES","FY 2015","FY 2015","Currency=INR","Period=FY","BEST_FPERIOD_OVERRIDE=FY","FILING_STATUS=MR","EQY_CONSOLIDATED=Y","FA_ADJUSTED=GAAP","Sort=A","Dates=H","DateFormat=P","Fill=—","Direction=H","UseDPDF=Y")</f>
        <v>32.509399999999999</v>
      </c>
      <c r="M15" s="18">
        <f>_xll.BDH("HDFCB IN Equity","INC_BEF_XO_ITEMS_TO_NET_SALES","FY 2016","FY 2016","Currency=INR","Period=FY","BEST_FPERIOD_OVERRIDE=FY","FILING_STATUS=MR","EQY_CONSOLIDATED=Y","FA_ADJUSTED=GAAP","Sort=A","Dates=H","DateFormat=P","Fill=—","Direction=H","UseDPDF=Y")</f>
        <v>31.811199999999999</v>
      </c>
      <c r="N15" s="18">
        <f>_xll.BDH("HDFCB IN Equity","INC_BEF_XO_ITEMS_TO_NET_SALES","FY 2017","FY 2017","Currency=INR","Period=FY","BEST_FPERIOD_OVERRIDE=FY","FILING_STATUS=MR","EQY_CONSOLIDATED=Y","FA_ADJUSTED=GAAP","Sort=A","Dates=H","DateFormat=P","Fill=—","Direction=H","UseDPDF=Y")</f>
        <v>31.782499999999999</v>
      </c>
      <c r="O15" s="18">
        <f>_xll.BDH("HDFCB IN Equity","INC_BEF_XO_ITEMS_TO_NET_SALES","FY 2018","FY 2018","Currency=INR","Period=FY","BEST_FPERIOD_OVERRIDE=FY","FILING_STATUS=MR","EQY_CONSOLIDATED=Y","FA_ADJUSTED=GAAP","Sort=A","Dates=H","DateFormat=P","Fill=—","Direction=H","UseDPDF=Y")</f>
        <v>31.479700000000001</v>
      </c>
      <c r="P15" s="18">
        <f>_xll.BDH("HDFCB IN Equity","INC_BEF_XO_ITEMS_TO_NET_SALES","FY 2019","FY 2019","Currency=INR","Period=FY","BEST_FPERIOD_OVERRIDE=FY","FILING_STATUS=MR","EQY_CONSOLIDATED=Y","FA_ADJUSTED=GAAP","Sort=A","Dates=H","DateFormat=P","Fill=—","Direction=H","UseDPDF=Y")</f>
        <v>31.885200000000001</v>
      </c>
      <c r="Q15" s="18">
        <f>_xll.BDH("HDFCB IN Equity","INC_BEF_XO_ITEMS_TO_NET_SALES","FY 2020","FY 2020","Currency=INR","Period=FY","BEST_FPERIOD_OVERRIDE=FY","FILING_STATUS=MR","EQY_CONSOLIDATED=Y","FA_ADJUSTED=GAAP","Sort=A","Dates=H","DateFormat=P","Fill=—","Direction=H","UseDPDF=Y")</f>
        <v>32.142200000000003</v>
      </c>
      <c r="R15" s="18">
        <f>_xll.BDH("HDFCB IN Equity","INC_BEF_XO_ITEMS_TO_NET_SALES","FY 2021","FY 2021","Currency=INR","Period=FY","BEST_FPERIOD_OVERRIDE=FY","FILING_STATUS=MR","EQY_CONSOLIDATED=Y","FA_ADJUSTED=GAAP","Sort=A","Dates=H","DateFormat=P","Fill=—","Direction=H","UseDPDF=Y")</f>
        <v>32.959299999999999</v>
      </c>
      <c r="S15" s="18">
        <f>_xll.BDH("HDFCB IN Equity","INC_BEF_XO_ITEMS_TO_NET_SALES","FY 2022","FY 2022","Currency=INR","Period=FY","BEST_FPERIOD_OVERRIDE=FY","FILING_STATUS=MR","EQY_CONSOLIDATED=Y","FA_ADJUSTED=GAAP","Sort=A","Dates=H","DateFormat=P","Fill=—","Direction=H","UseDPDF=Y")</f>
        <v>34.963200000000001</v>
      </c>
      <c r="T15" s="18">
        <f>_xll.BDH("HDFCB IN Equity","INC_BEF_XO_ITEMS_TO_NET_SALES","FY 2023","FY 2023","Currency=INR","Period=FY","BEST_FPERIOD_OVERRIDE=FY","FILING_STATUS=MR","EQY_CONSOLIDATED=Y","FA_ADJUSTED=GAAP","Sort=A","Dates=H","DateFormat=P","Fill=—","Direction=H","UseDPDF=Y")</f>
        <v>36.369300000000003</v>
      </c>
    </row>
    <row r="16" spans="1:20" x14ac:dyDescent="0.25">
      <c r="A16" s="3" t="s">
        <v>66</v>
      </c>
      <c r="B16" s="3" t="s">
        <v>67</v>
      </c>
      <c r="C16" s="18">
        <f>_xll.BDH("HDFCB IN Equity","PROF_MARGIN","FY 2006","FY 2006","Currency=INR","Period=FY","BEST_FPERIOD_OVERRIDE=FY","FILING_STATUS=MR","EQY_CONSOLIDATED=Y","FA_ADJUSTED=GAAP","Sort=A","Dates=H","DateFormat=P","Fill=—","Direction=H","UseDPDF=Y")</f>
        <v>18.2651</v>
      </c>
      <c r="D16" s="18">
        <f>_xll.BDH("HDFCB IN Equity","PROF_MARGIN","FY 2007","FY 2007","Currency=INR","Period=FY","BEST_FPERIOD_OVERRIDE=FY","FILING_STATUS=MR","EQY_CONSOLIDATED=Y","FA_ADJUSTED=GAAP","Sort=A","Dates=H","DateFormat=P","Fill=—","Direction=H","UseDPDF=Y")</f>
        <v>21.777000000000001</v>
      </c>
      <c r="E16" s="18">
        <f>_xll.BDH("HDFCB IN Equity","PROF_MARGIN","FY 2008","FY 2008","Currency=INR","Period=FY","BEST_FPERIOD_OVERRIDE=FY","FILING_STATUS=MR","EQY_CONSOLIDATED=Y","FA_ADJUSTED=GAAP","Sort=A","Dates=H","DateFormat=P","Fill=—","Direction=H","UseDPDF=Y")</f>
        <v>20.975000000000001</v>
      </c>
      <c r="F16" s="18">
        <f>_xll.BDH("HDFCB IN Equity","PROF_MARGIN","FY 2009","FY 2009","Currency=INR","Period=FY","BEST_FPERIOD_OVERRIDE=FY","FILING_STATUS=MR","EQY_CONSOLIDATED=Y","FA_ADJUSTED=GAAP","Sort=A","Dates=H","DateFormat=P","Fill=—","Direction=H","UseDPDF=Y")</f>
        <v>20.7334</v>
      </c>
      <c r="G16" s="18">
        <f>_xll.BDH("HDFCB IN Equity","PROF_MARGIN","FY 2010","FY 2010","Currency=INR","Period=FY","BEST_FPERIOD_OVERRIDE=FY","FILING_STATUS=MR","EQY_CONSOLIDATED=Y","FA_ADJUSTED=GAAP","Sort=A","Dates=H","DateFormat=P","Fill=—","Direction=H","UseDPDF=Y")</f>
        <v>23.754200000000001</v>
      </c>
      <c r="H16" s="18">
        <f>_xll.BDH("HDFCB IN Equity","PROF_MARGIN","FY 2011","FY 2011","Currency=INR","Period=FY","BEST_FPERIOD_OVERRIDE=FY","FILING_STATUS=MR","EQY_CONSOLIDATED=Y","FA_ADJUSTED=GAAP","Sort=A","Dates=H","DateFormat=P","Fill=—","Direction=H","UseDPDF=Y")</f>
        <v>26.2608</v>
      </c>
      <c r="I16" s="18">
        <f>_xll.BDH("HDFCB IN Equity","PROF_MARGIN","FY 2012","FY 2012","Currency=INR","Period=FY","BEST_FPERIOD_OVERRIDE=FY","FILING_STATUS=MR","EQY_CONSOLIDATED=Y","FA_ADJUSTED=GAAP","Sort=A","Dates=H","DateFormat=P","Fill=—","Direction=H","UseDPDF=Y")</f>
        <v>27.500699999999998</v>
      </c>
      <c r="J16" s="18">
        <f>_xll.BDH("HDFCB IN Equity","PROF_MARGIN","FY 2013","FY 2013","Currency=INR","Period=FY","BEST_FPERIOD_OVERRIDE=FY","FILING_STATUS=MR","EQY_CONSOLIDATED=Y","FA_ADJUSTED=GAAP","Sort=A","Dates=H","DateFormat=P","Fill=—","Direction=H","UseDPDF=Y")</f>
        <v>29.485299999999999</v>
      </c>
      <c r="K16" s="18">
        <f>_xll.BDH("HDFCB IN Equity","PROF_MARGIN","FY 2014","FY 2014","Currency=INR","Period=FY","BEST_FPERIOD_OVERRIDE=FY","FILING_STATUS=MR","EQY_CONSOLIDATED=Y","FA_ADJUSTED=GAAP","Sort=A","Dates=H","DateFormat=P","Fill=—","Direction=H","UseDPDF=Y")</f>
        <v>31.9023</v>
      </c>
      <c r="L16" s="18">
        <f>_xll.BDH("HDFCB IN Equity","PROF_MARGIN","FY 2015","FY 2015","Currency=INR","Period=FY","BEST_FPERIOD_OVERRIDE=FY","FILING_STATUS=MR","EQY_CONSOLIDATED=Y","FA_ADJUSTED=GAAP","Sort=A","Dates=H","DateFormat=P","Fill=—","Direction=H","UseDPDF=Y")</f>
        <v>32.465600000000002</v>
      </c>
      <c r="M16" s="18">
        <f>_xll.BDH("HDFCB IN Equity","PROF_MARGIN","FY 2016","FY 2016","Currency=INR","Period=FY","BEST_FPERIOD_OVERRIDE=FY","FILING_STATUS=MR","EQY_CONSOLIDATED=Y","FA_ADJUSTED=GAAP","Sort=A","Dates=H","DateFormat=P","Fill=—","Direction=H","UseDPDF=Y")</f>
        <v>31.7622</v>
      </c>
      <c r="N16" s="18">
        <f>_xll.BDH("HDFCB IN Equity","PROF_MARGIN","FY 2017","FY 2017","Currency=INR","Period=FY","BEST_FPERIOD_OVERRIDE=FY","FILING_STATUS=MR","EQY_CONSOLIDATED=Y","FA_ADJUSTED=GAAP","Sort=A","Dates=H","DateFormat=P","Fill=—","Direction=H","UseDPDF=Y")</f>
        <v>31.706199999999999</v>
      </c>
      <c r="O16" s="18">
        <f>_xll.BDH("HDFCB IN Equity","PROF_MARGIN","FY 2018","FY 2018","Currency=INR","Period=FY","BEST_FPERIOD_OVERRIDE=FY","FILING_STATUS=MR","EQY_CONSOLIDATED=Y","FA_ADJUSTED=GAAP","Sort=A","Dates=H","DateFormat=P","Fill=—","Direction=H","UseDPDF=Y")</f>
        <v>31.392600000000002</v>
      </c>
      <c r="P16" s="18">
        <f>_xll.BDH("HDFCB IN Equity","PROF_MARGIN","FY 2019","FY 2019","Currency=INR","Period=FY","BEST_FPERIOD_OVERRIDE=FY","FILING_STATUS=MR","EQY_CONSOLIDATED=Y","FA_ADJUSTED=GAAP","Sort=A","Dates=H","DateFormat=P","Fill=—","Direction=H","UseDPDF=Y")</f>
        <v>31.724399999999999</v>
      </c>
      <c r="Q16" s="18">
        <f>_xll.BDH("HDFCB IN Equity","PROF_MARGIN","FY 2020","FY 2020","Currency=INR","Period=FY","BEST_FPERIOD_OVERRIDE=FY","FILING_STATUS=MR","EQY_CONSOLIDATED=Y","FA_ADJUSTED=GAAP","Sort=A","Dates=H","DateFormat=P","Fill=—","Direction=H","UseDPDF=Y")</f>
        <v>32.092399999999998</v>
      </c>
      <c r="R16" s="18">
        <f>_xll.BDH("HDFCB IN Equity","PROF_MARGIN","FY 2021","FY 2021","Currency=INR","Period=FY","BEST_FPERIOD_OVERRIDE=FY","FILING_STATUS=MR","EQY_CONSOLIDATED=Y","FA_ADJUSTED=GAAP","Sort=A","Dates=H","DateFormat=P","Fill=—","Direction=H","UseDPDF=Y")</f>
        <v>32.934899999999999</v>
      </c>
      <c r="S16" s="18">
        <f>_xll.BDH("HDFCB IN Equity","PROF_MARGIN","FY 2022","FY 2022","Currency=INR","Period=FY","BEST_FPERIOD_OVERRIDE=FY","FILING_STATUS=MR","EQY_CONSOLIDATED=Y","FA_ADJUSTED=GAAP","Sort=A","Dates=H","DateFormat=P","Fill=—","Direction=H","UseDPDF=Y")</f>
        <v>34.8733</v>
      </c>
      <c r="T16" s="18">
        <f>_xll.BDH("HDFCB IN Equity","PROF_MARGIN","FY 2023","FY 2023","Currency=INR","Period=FY","BEST_FPERIOD_OVERRIDE=FY","FILING_STATUS=MR","EQY_CONSOLIDATED=Y","FA_ADJUSTED=GAAP","Sort=A","Dates=H","DateFormat=P","Fill=—","Direction=H","UseDPDF=Y")</f>
        <v>36.2498</v>
      </c>
    </row>
    <row r="17" spans="1:20" x14ac:dyDescent="0.25">
      <c r="A17" s="3" t="s">
        <v>68</v>
      </c>
      <c r="B17" s="3" t="s">
        <v>69</v>
      </c>
      <c r="C17" s="18">
        <f>_xll.BDH("HDFCB IN Equity","NET_INCOME_TO_COMMON_MARGIN","FY 2006","FY 2006","Currency=INR","Period=FY","BEST_FPERIOD_OVERRIDE=FY","FILING_STATUS=MR","EQY_CONSOLIDATED=Y","FA_ADJUSTED=GAAP","Sort=A","Dates=H","DateFormat=P","Fill=—","Direction=H","UseDPDF=Y")</f>
        <v>18.2651</v>
      </c>
      <c r="D17" s="18">
        <f>_xll.BDH("HDFCB IN Equity","NET_INCOME_TO_COMMON_MARGIN","FY 2007","FY 2007","Currency=INR","Period=FY","BEST_FPERIOD_OVERRIDE=FY","FILING_STATUS=MR","EQY_CONSOLIDATED=Y","FA_ADJUSTED=GAAP","Sort=A","Dates=H","DateFormat=P","Fill=—","Direction=H","UseDPDF=Y")</f>
        <v>21.777000000000001</v>
      </c>
      <c r="E17" s="18">
        <f>_xll.BDH("HDFCB IN Equity","NET_INCOME_TO_COMMON_MARGIN","FY 2008","FY 2008","Currency=INR","Period=FY","BEST_FPERIOD_OVERRIDE=FY","FILING_STATUS=MR","EQY_CONSOLIDATED=Y","FA_ADJUSTED=GAAP","Sort=A","Dates=H","DateFormat=P","Fill=—","Direction=H","UseDPDF=Y")</f>
        <v>20.975000000000001</v>
      </c>
      <c r="F17" s="18">
        <f>_xll.BDH("HDFCB IN Equity","NET_INCOME_TO_COMMON_MARGIN","FY 2009","FY 2009","Currency=INR","Period=FY","BEST_FPERIOD_OVERRIDE=FY","FILING_STATUS=MR","EQY_CONSOLIDATED=Y","FA_ADJUSTED=GAAP","Sort=A","Dates=H","DateFormat=P","Fill=—","Direction=H","UseDPDF=Y")</f>
        <v>20.7334</v>
      </c>
      <c r="G17" s="18">
        <f>_xll.BDH("HDFCB IN Equity","NET_INCOME_TO_COMMON_MARGIN","FY 2010","FY 2010","Currency=INR","Period=FY","BEST_FPERIOD_OVERRIDE=FY","FILING_STATUS=MR","EQY_CONSOLIDATED=Y","FA_ADJUSTED=GAAP","Sort=A","Dates=H","DateFormat=P","Fill=—","Direction=H","UseDPDF=Y")</f>
        <v>23.754200000000001</v>
      </c>
      <c r="H17" s="18">
        <f>_xll.BDH("HDFCB IN Equity","NET_INCOME_TO_COMMON_MARGIN","FY 2011","FY 2011","Currency=INR","Period=FY","BEST_FPERIOD_OVERRIDE=FY","FILING_STATUS=MR","EQY_CONSOLIDATED=Y","FA_ADJUSTED=GAAP","Sort=A","Dates=H","DateFormat=P","Fill=—","Direction=H","UseDPDF=Y")</f>
        <v>26.2608</v>
      </c>
      <c r="I17" s="18">
        <f>_xll.BDH("HDFCB IN Equity","NET_INCOME_TO_COMMON_MARGIN","FY 2012","FY 2012","Currency=INR","Period=FY","BEST_FPERIOD_OVERRIDE=FY","FILING_STATUS=MR","EQY_CONSOLIDATED=Y","FA_ADJUSTED=GAAP","Sort=A","Dates=H","DateFormat=P","Fill=—","Direction=H","UseDPDF=Y")</f>
        <v>27.500699999999998</v>
      </c>
      <c r="J17" s="18">
        <f>_xll.BDH("HDFCB IN Equity","NET_INCOME_TO_COMMON_MARGIN","FY 2013","FY 2013","Currency=INR","Period=FY","BEST_FPERIOD_OVERRIDE=FY","FILING_STATUS=MR","EQY_CONSOLIDATED=Y","FA_ADJUSTED=GAAP","Sort=A","Dates=H","DateFormat=P","Fill=—","Direction=H","UseDPDF=Y")</f>
        <v>29.485299999999999</v>
      </c>
      <c r="K17" s="18">
        <f>_xll.BDH("HDFCB IN Equity","NET_INCOME_TO_COMMON_MARGIN","FY 2014","FY 2014","Currency=INR","Period=FY","BEST_FPERIOD_OVERRIDE=FY","FILING_STATUS=MR","EQY_CONSOLIDATED=Y","FA_ADJUSTED=GAAP","Sort=A","Dates=H","DateFormat=P","Fill=—","Direction=H","UseDPDF=Y")</f>
        <v>31.9023</v>
      </c>
      <c r="L17" s="18">
        <f>_xll.BDH("HDFCB IN Equity","NET_INCOME_TO_COMMON_MARGIN","FY 2015","FY 2015","Currency=INR","Period=FY","BEST_FPERIOD_OVERRIDE=FY","FILING_STATUS=MR","EQY_CONSOLIDATED=Y","FA_ADJUSTED=GAAP","Sort=A","Dates=H","DateFormat=P","Fill=—","Direction=H","UseDPDF=Y")</f>
        <v>32.465600000000002</v>
      </c>
      <c r="M17" s="18">
        <f>_xll.BDH("HDFCB IN Equity","NET_INCOME_TO_COMMON_MARGIN","FY 2016","FY 2016","Currency=INR","Period=FY","BEST_FPERIOD_OVERRIDE=FY","FILING_STATUS=MR","EQY_CONSOLIDATED=Y","FA_ADJUSTED=GAAP","Sort=A","Dates=H","DateFormat=P","Fill=—","Direction=H","UseDPDF=Y")</f>
        <v>31.7622</v>
      </c>
      <c r="N17" s="18">
        <f>_xll.BDH("HDFCB IN Equity","NET_INCOME_TO_COMMON_MARGIN","FY 2017","FY 2017","Currency=INR","Period=FY","BEST_FPERIOD_OVERRIDE=FY","FILING_STATUS=MR","EQY_CONSOLIDATED=Y","FA_ADJUSTED=GAAP","Sort=A","Dates=H","DateFormat=P","Fill=—","Direction=H","UseDPDF=Y")</f>
        <v>31.706199999999999</v>
      </c>
      <c r="O17" s="18">
        <f>_xll.BDH("HDFCB IN Equity","NET_INCOME_TO_COMMON_MARGIN","FY 2018","FY 2018","Currency=INR","Period=FY","BEST_FPERIOD_OVERRIDE=FY","FILING_STATUS=MR","EQY_CONSOLIDATED=Y","FA_ADJUSTED=GAAP","Sort=A","Dates=H","DateFormat=P","Fill=—","Direction=H","UseDPDF=Y")</f>
        <v>31.392600000000002</v>
      </c>
      <c r="P17" s="18">
        <f>_xll.BDH("HDFCB IN Equity","NET_INCOME_TO_COMMON_MARGIN","FY 2019","FY 2019","Currency=INR","Period=FY","BEST_FPERIOD_OVERRIDE=FY","FILING_STATUS=MR","EQY_CONSOLIDATED=Y","FA_ADJUSTED=GAAP","Sort=A","Dates=H","DateFormat=P","Fill=—","Direction=H","UseDPDF=Y")</f>
        <v>31.724399999999999</v>
      </c>
      <c r="Q17" s="18">
        <f>_xll.BDH("HDFCB IN Equity","NET_INCOME_TO_COMMON_MARGIN","FY 2020","FY 2020","Currency=INR","Period=FY","BEST_FPERIOD_OVERRIDE=FY","FILING_STATUS=MR","EQY_CONSOLIDATED=Y","FA_ADJUSTED=GAAP","Sort=A","Dates=H","DateFormat=P","Fill=—","Direction=H","UseDPDF=Y")</f>
        <v>32.092399999999998</v>
      </c>
      <c r="R17" s="18">
        <f>_xll.BDH("HDFCB IN Equity","NET_INCOME_TO_COMMON_MARGIN","FY 2021","FY 2021","Currency=INR","Period=FY","BEST_FPERIOD_OVERRIDE=FY","FILING_STATUS=MR","EQY_CONSOLIDATED=Y","FA_ADJUSTED=GAAP","Sort=A","Dates=H","DateFormat=P","Fill=—","Direction=H","UseDPDF=Y")</f>
        <v>32.934899999999999</v>
      </c>
      <c r="S17" s="18">
        <f>_xll.BDH("HDFCB IN Equity","NET_INCOME_TO_COMMON_MARGIN","FY 2022","FY 2022","Currency=INR","Period=FY","BEST_FPERIOD_OVERRIDE=FY","FILING_STATUS=MR","EQY_CONSOLIDATED=Y","FA_ADJUSTED=GAAP","Sort=A","Dates=H","DateFormat=P","Fill=—","Direction=H","UseDPDF=Y")</f>
        <v>34.8733</v>
      </c>
      <c r="T17" s="18">
        <f>_xll.BDH("HDFCB IN Equity","NET_INCOME_TO_COMMON_MARGIN","FY 2023","FY 2023","Currency=INR","Period=FY","BEST_FPERIOD_OVERRIDE=FY","FILING_STATUS=MR","EQY_CONSOLIDATED=Y","FA_ADJUSTED=GAAP","Sort=A","Dates=H","DateFormat=P","Fill=—","Direction=H","UseDPDF=Y")</f>
        <v>36.2498</v>
      </c>
    </row>
    <row r="18" spans="1:20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x14ac:dyDescent="0.25">
      <c r="A19" s="1" t="s">
        <v>70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3" t="s">
        <v>71</v>
      </c>
      <c r="B20" s="3" t="s">
        <v>72</v>
      </c>
      <c r="C20" s="18">
        <f>_xll.BDH("HDFCB IN Equity","EFF_TAX_RATE","FY 2006","FY 2006","Currency=INR","Period=FY","BEST_FPERIOD_OVERRIDE=FY","FILING_STATUS=MR","EQY_CONSOLIDATED=Y","FA_ADJUSTED=GAAP","Sort=A","Dates=H","DateFormat=P","Fill=—","Direction=H","UseDPDF=Y")</f>
        <v>0</v>
      </c>
      <c r="D20" s="18">
        <f>_xll.BDH("HDFCB IN Equity","EFF_TAX_RATE","FY 2007","FY 2007","Currency=INR","Period=FY","BEST_FPERIOD_OVERRIDE=FY","FILING_STATUS=MR","EQY_CONSOLIDATED=Y","FA_ADJUSTED=GAAP","Sort=A","Dates=H","DateFormat=P","Fill=—","Direction=H","UseDPDF=Y")</f>
        <v>0</v>
      </c>
      <c r="E20" s="18">
        <f>_xll.BDH("HDFCB IN Equity","EFF_TAX_RATE","FY 2008","FY 2008","Currency=INR","Period=FY","BEST_FPERIOD_OVERRIDE=FY","FILING_STATUS=MR","EQY_CONSOLIDATED=Y","FA_ADJUSTED=GAAP","Sort=A","Dates=H","DateFormat=P","Fill=—","Direction=H","UseDPDF=Y")</f>
        <v>30.470700000000001</v>
      </c>
      <c r="F20" s="18">
        <f>_xll.BDH("HDFCB IN Equity","EFF_TAX_RATE","FY 2009","FY 2009","Currency=INR","Period=FY","BEST_FPERIOD_OVERRIDE=FY","FILING_STATUS=MR","EQY_CONSOLIDATED=Y","FA_ADJUSTED=GAAP","Sort=A","Dates=H","DateFormat=P","Fill=—","Direction=H","UseDPDF=Y")</f>
        <v>32.124899999999997</v>
      </c>
      <c r="G20" s="18">
        <f>_xll.BDH("HDFCB IN Equity","EFF_TAX_RATE","FY 2010","FY 2010","Currency=INR","Period=FY","BEST_FPERIOD_OVERRIDE=FY","FILING_STATUS=MR","EQY_CONSOLIDATED=Y","FA_ADJUSTED=GAAP","Sort=A","Dates=H","DateFormat=P","Fill=—","Direction=H","UseDPDF=Y")</f>
        <v>31.366599999999998</v>
      </c>
      <c r="H20" s="18">
        <f>_xll.BDH("HDFCB IN Equity","EFF_TAX_RATE","FY 2011","FY 2011","Currency=INR","Period=FY","BEST_FPERIOD_OVERRIDE=FY","FILING_STATUS=MR","EQY_CONSOLIDATED=Y","FA_ADJUSTED=GAAP","Sort=A","Dates=H","DateFormat=P","Fill=—","Direction=H","UseDPDF=Y")</f>
        <v>32.557600000000001</v>
      </c>
      <c r="I20" s="18">
        <f>_xll.BDH("HDFCB IN Equity","EFF_TAX_RATE","FY 2012","FY 2012","Currency=INR","Period=FY","BEST_FPERIOD_OVERRIDE=FY","FILING_STATUS=MR","EQY_CONSOLIDATED=Y","FA_ADJUSTED=GAAP","Sort=A","Dates=H","DateFormat=P","Fill=—","Direction=H","UseDPDF=Y")</f>
        <v>31.2239</v>
      </c>
      <c r="J20" s="18">
        <f>_xll.BDH("HDFCB IN Equity","EFF_TAX_RATE","FY 2013","FY 2013","Currency=INR","Period=FY","BEST_FPERIOD_OVERRIDE=FY","FILING_STATUS=MR","EQY_CONSOLIDATED=Y","FA_ADJUSTED=GAAP","Sort=A","Dates=H","DateFormat=P","Fill=—","Direction=H","UseDPDF=Y")</f>
        <v>31.024899999999999</v>
      </c>
      <c r="K20" s="18">
        <f>_xll.BDH("HDFCB IN Equity","EFF_TAX_RATE","FY 2014","FY 2014","Currency=INR","Period=FY","BEST_FPERIOD_OVERRIDE=FY","FILING_STATUS=MR","EQY_CONSOLIDATED=Y","FA_ADJUSTED=GAAP","Sort=A","Dates=H","DateFormat=P","Fill=—","Direction=H","UseDPDF=Y")</f>
        <v>33.655799999999999</v>
      </c>
      <c r="L20" s="18">
        <f>_xll.BDH("HDFCB IN Equity","EFF_TAX_RATE","FY 2015","FY 2015","Currency=INR","Period=FY","BEST_FPERIOD_OVERRIDE=FY","FILING_STATUS=MR","EQY_CONSOLIDATED=Y","FA_ADJUSTED=GAAP","Sort=A","Dates=H","DateFormat=P","Fill=—","Direction=H","UseDPDF=Y")</f>
        <v>33.455100000000002</v>
      </c>
      <c r="M20" s="18">
        <f>_xll.BDH("HDFCB IN Equity","EFF_TAX_RATE","FY 2016","FY 2016","Currency=INR","Period=FY","BEST_FPERIOD_OVERRIDE=FY","FILING_STATUS=MR","EQY_CONSOLIDATED=Y","FA_ADJUSTED=GAAP","Sort=A","Dates=H","DateFormat=P","Fill=—","Direction=H","UseDPDF=Y")</f>
        <v>34.307099999999998</v>
      </c>
      <c r="N20" s="18">
        <f>_xll.BDH("HDFCB IN Equity","EFF_TAX_RATE","FY 2017","FY 2017","Currency=INR","Period=FY","BEST_FPERIOD_OVERRIDE=FY","FILING_STATUS=MR","EQY_CONSOLIDATED=Y","FA_ADJUSTED=GAAP","Sort=A","Dates=H","DateFormat=P","Fill=—","Direction=H","UseDPDF=Y")</f>
        <v>34.572800000000001</v>
      </c>
      <c r="O20" s="18">
        <f>_xll.BDH("HDFCB IN Equity","EFF_TAX_RATE","FY 2018","FY 2018","Currency=INR","Period=FY","BEST_FPERIOD_OVERRIDE=FY","FILING_STATUS=MR","EQY_CONSOLIDATED=Y","FA_ADJUSTED=GAAP","Sort=A","Dates=H","DateFormat=P","Fill=—","Direction=H","UseDPDF=Y")</f>
        <v>34.791699999999999</v>
      </c>
      <c r="P20" s="18">
        <f>_xll.BDH("HDFCB IN Equity","EFF_TAX_RATE","FY 2019","FY 2019","Currency=INR","Period=FY","BEST_FPERIOD_OVERRIDE=FY","FILING_STATUS=MR","EQY_CONSOLIDATED=Y","FA_ADJUSTED=GAAP","Sort=A","Dates=H","DateFormat=P","Fill=—","Direction=H","UseDPDF=Y")</f>
        <v>34.595500000000001</v>
      </c>
      <c r="Q20" s="18">
        <f>_xll.BDH("HDFCB IN Equity","EFF_TAX_RATE","FY 2020","FY 2020","Currency=INR","Period=FY","BEST_FPERIOD_OVERRIDE=FY","FILING_STATUS=MR","EQY_CONSOLIDATED=Y","FA_ADJUSTED=GAAP","Sort=A","Dates=H","DateFormat=P","Fill=—","Direction=H","UseDPDF=Y")</f>
        <v>28.534199999999998</v>
      </c>
      <c r="R20" s="18">
        <f>_xll.BDH("HDFCB IN Equity","EFF_TAX_RATE","FY 2021","FY 2021","Currency=INR","Period=FY","BEST_FPERIOD_OVERRIDE=FY","FILING_STATUS=MR","EQY_CONSOLIDATED=Y","FA_ADJUSTED=GAAP","Sort=A","Dates=H","DateFormat=P","Fill=—","Direction=H","UseDPDF=Y")</f>
        <v>25.561599999999999</v>
      </c>
      <c r="S20" s="18">
        <f>_xll.BDH("HDFCB IN Equity","EFF_TAX_RATE","FY 2022","FY 2022","Currency=INR","Period=FY","BEST_FPERIOD_OVERRIDE=FY","FILING_STATUS=MR","EQY_CONSOLIDATED=Y","FA_ADJUSTED=GAAP","Sort=A","Dates=H","DateFormat=P","Fill=—","Direction=H","UseDPDF=Y")</f>
        <v>25.008099999999999</v>
      </c>
      <c r="T20" s="18">
        <f>_xll.BDH("HDFCB IN Equity","EFF_TAX_RATE","FY 2023","FY 2023","Currency=INR","Period=FY","BEST_FPERIOD_OVERRIDE=FY","FILING_STATUS=MR","EQY_CONSOLIDATED=Y","FA_ADJUSTED=GAAP","Sort=A","Dates=H","DateFormat=P","Fill=—","Direction=H","UseDPDF=Y")</f>
        <v>24.959499999999998</v>
      </c>
    </row>
    <row r="21" spans="1:20" x14ac:dyDescent="0.25">
      <c r="A21" s="3" t="s">
        <v>73</v>
      </c>
      <c r="B21" s="3" t="s">
        <v>74</v>
      </c>
      <c r="C21" s="18">
        <f>_xll.BDH("HDFCB IN Equity","DVD_PAYOUT_RATIO","FY 2006","FY 2006","Currency=INR","Period=FY","BEST_FPERIOD_OVERRIDE=FY","FILING_STATUS=MR","EQY_CONSOLIDATED=Y","FA_ADJUSTED=GAAP","Sort=A","Dates=H","DateFormat=P","Fill=—","Direction=H","UseDPDF=Y")</f>
        <v>19.536999999999999</v>
      </c>
      <c r="D21" s="18">
        <f>_xll.BDH("HDFCB IN Equity","DVD_PAYOUT_RATIO","FY 2007","FY 2007","Currency=INR","Period=FY","BEST_FPERIOD_OVERRIDE=FY","FILING_STATUS=MR","EQY_CONSOLIDATED=Y","FA_ADJUSTED=GAAP","Sort=A","Dates=H","DateFormat=P","Fill=—","Direction=H","UseDPDF=Y")</f>
        <v>19.424700000000001</v>
      </c>
      <c r="E21" s="18">
        <f>_xll.BDH("HDFCB IN Equity","DVD_PAYOUT_RATIO","FY 2008","FY 2008","Currency=INR","Period=FY","BEST_FPERIOD_OVERRIDE=FY","FILING_STATUS=MR","EQY_CONSOLIDATED=Y","FA_ADJUSTED=GAAP","Sort=A","Dates=H","DateFormat=P","Fill=—","Direction=H","UseDPDF=Y")</f>
        <v>18.774799999999999</v>
      </c>
      <c r="F21" s="18">
        <f>_xll.BDH("HDFCB IN Equity","DVD_PAYOUT_RATIO","FY 2009","FY 2009","Currency=INR","Period=FY","BEST_FPERIOD_OVERRIDE=FY","FILING_STATUS=MR","EQY_CONSOLIDATED=Y","FA_ADJUSTED=GAAP","Sort=A","Dates=H","DateFormat=P","Fill=—","Direction=H","UseDPDF=Y")</f>
        <v>18.9145</v>
      </c>
      <c r="G21" s="18">
        <f>_xll.BDH("HDFCB IN Equity","DVD_PAYOUT_RATIO","FY 2010","FY 2010","Currency=INR","Period=FY","BEST_FPERIOD_OVERRIDE=FY","FILING_STATUS=MR","EQY_CONSOLIDATED=Y","FA_ADJUSTED=GAAP","Sort=A","Dates=H","DateFormat=P","Fill=—","Direction=H","UseDPDF=Y")</f>
        <v>18.287500000000001</v>
      </c>
      <c r="H21" s="18">
        <f>_xll.BDH("HDFCB IN Equity","DVD_PAYOUT_RATIO","FY 2011","FY 2011","Currency=INR","Period=FY","BEST_FPERIOD_OVERRIDE=FY","FILING_STATUS=MR","EQY_CONSOLIDATED=Y","FA_ADJUSTED=GAAP","Sort=A","Dates=H","DateFormat=P","Fill=—","Direction=H","UseDPDF=Y")</f>
        <v>19.226700000000001</v>
      </c>
      <c r="I21" s="18">
        <f>_xll.BDH("HDFCB IN Equity","DVD_PAYOUT_RATIO","FY 2012","FY 2012","Currency=INR","Period=FY","BEST_FPERIOD_OVERRIDE=FY","FILING_STATUS=MR","EQY_CONSOLIDATED=Y","FA_ADJUSTED=GAAP","Sort=A","Dates=H","DateFormat=P","Fill=—","Direction=H","UseDPDF=Y")</f>
        <v>19.231400000000001</v>
      </c>
      <c r="J21" s="18">
        <f>_xll.BDH("HDFCB IN Equity","DVD_PAYOUT_RATIO","FY 2013","FY 2013","Currency=INR","Period=FY","BEST_FPERIOD_OVERRIDE=FY","FILING_STATUS=MR","EQY_CONSOLIDATED=Y","FA_ADJUSTED=GAAP","Sort=A","Dates=H","DateFormat=P","Fill=—","Direction=H","UseDPDF=Y")</f>
        <v>19.0502</v>
      </c>
      <c r="K21" s="18">
        <f>_xll.BDH("HDFCB IN Equity","DVD_PAYOUT_RATIO","FY 2014","FY 2014","Currency=INR","Period=FY","BEST_FPERIOD_OVERRIDE=FY","FILING_STATUS=MR","EQY_CONSOLIDATED=Y","FA_ADJUSTED=GAAP","Sort=A","Dates=H","DateFormat=P","Fill=—","Direction=H","UseDPDF=Y")</f>
        <v>18.795100000000001</v>
      </c>
      <c r="L21" s="18">
        <f>_xll.BDH("HDFCB IN Equity","DVD_PAYOUT_RATIO","FY 2015","FY 2015","Currency=INR","Period=FY","BEST_FPERIOD_OVERRIDE=FY","FILING_STATUS=MR","EQY_CONSOLIDATED=Y","FA_ADJUSTED=GAAP","Sort=A","Dates=H","DateFormat=P","Fill=—","Direction=H","UseDPDF=Y")</f>
        <v>18.759599999999999</v>
      </c>
      <c r="M21" s="18">
        <f>_xll.BDH("HDFCB IN Equity","DVD_PAYOUT_RATIO","FY 2016","FY 2016","Currency=INR","Period=FY","BEST_FPERIOD_OVERRIDE=FY","FILING_STATUS=MR","EQY_CONSOLIDATED=Y","FA_ADJUSTED=GAAP","Sort=A","Dates=H","DateFormat=P","Fill=—","Direction=H","UseDPDF=Y")</f>
        <v>18.761900000000001</v>
      </c>
      <c r="N21" s="18">
        <f>_xll.BDH("HDFCB IN Equity","DVD_PAYOUT_RATIO","FY 2017","FY 2017","Currency=INR","Period=FY","BEST_FPERIOD_OVERRIDE=FY","FILING_STATUS=MR","EQY_CONSOLIDATED=Y","FA_ADJUSTED=GAAP","Sort=A","Dates=H","DateFormat=P","Fill=—","Direction=H","UseDPDF=Y")</f>
        <v>18.4803</v>
      </c>
      <c r="O21" s="18">
        <f>_xll.BDH("HDFCB IN Equity","DVD_PAYOUT_RATIO","FY 2018","FY 2018","Currency=INR","Period=FY","BEST_FPERIOD_OVERRIDE=FY","FILING_STATUS=MR","EQY_CONSOLIDATED=Y","FA_ADJUSTED=GAAP","Sort=A","Dates=H","DateFormat=P","Fill=—","Direction=H","UseDPDF=Y")</f>
        <v>18.225899999999999</v>
      </c>
      <c r="P21" s="18">
        <f>_xll.BDH("HDFCB IN Equity","DVD_PAYOUT_RATIO","FY 2019","FY 2019","Currency=INR","Period=FY","BEST_FPERIOD_OVERRIDE=FY","FILING_STATUS=MR","EQY_CONSOLIDATED=Y","FA_ADJUSTED=GAAP","Sort=A","Dates=H","DateFormat=P","Fill=—","Direction=H","UseDPDF=Y")</f>
        <v>18.291599999999999</v>
      </c>
      <c r="Q21" s="18">
        <f>_xll.BDH("HDFCB IN Equity","DVD_PAYOUT_RATIO","FY 2020","FY 2020","Currency=INR","Period=FY","BEST_FPERIOD_OVERRIDE=FY","FILING_STATUS=MR","EQY_CONSOLIDATED=Y","FA_ADJUSTED=GAAP","Sort=A","Dates=H","DateFormat=P","Fill=—","Direction=H","UseDPDF=Y")</f>
        <v>20.119199999999999</v>
      </c>
      <c r="R21" s="18">
        <f>_xll.BDH("HDFCB IN Equity","DVD_PAYOUT_RATIO","FY 2021","FY 2021","Currency=INR","Period=FY","BEST_FPERIOD_OVERRIDE=FY","FILING_STATUS=MR","EQY_CONSOLIDATED=Y","FA_ADJUSTED=GAAP","Sort=A","Dates=H","DateFormat=P","Fill=—","Direction=H","UseDPDF=Y")</f>
        <v>11.256500000000001</v>
      </c>
      <c r="S21" s="18">
        <f>_xll.BDH("HDFCB IN Equity","DVD_PAYOUT_RATIO","FY 2022","FY 2022","Currency=INR","Period=FY","BEST_FPERIOD_OVERRIDE=FY","FILING_STATUS=MR","EQY_CONSOLIDATED=Y","FA_ADJUSTED=GAAP","Sort=A","Dates=H","DateFormat=P","Fill=—","Direction=H","UseDPDF=Y")</f>
        <v>22.5886</v>
      </c>
      <c r="T21" s="18">
        <f>_xll.BDH("HDFCB IN Equity","DVD_PAYOUT_RATIO","FY 2023","FY 2023","Currency=INR","Period=FY","BEST_FPERIOD_OVERRIDE=FY","FILING_STATUS=MR","EQY_CONSOLIDATED=Y","FA_ADJUSTED=GAAP","Sort=A","Dates=H","DateFormat=P","Fill=—","Direction=H","UseDPDF=Y")</f>
        <v>23.048200000000001</v>
      </c>
    </row>
    <row r="22" spans="1:20" x14ac:dyDescent="0.25">
      <c r="A22" s="3" t="s">
        <v>75</v>
      </c>
      <c r="B22" s="3" t="s">
        <v>76</v>
      </c>
      <c r="C22" s="18" t="str">
        <f>_xll.BDH("HDFCB IN Equity","SUSTAIN_GROWTH_RT","FY 2006","FY 2006","Currency=INR","Period=FY","BEST_FPERIOD_OVERRIDE=FY","FILING_STATUS=MR","EQY_CONSOLIDATED=Y","FA_ADJUSTED=GAAP","Sort=A","Dates=H","DateFormat=P","Fill=—","Direction=H","UseDPDF=Y")</f>
        <v>—</v>
      </c>
      <c r="D22" s="18">
        <f>_xll.BDH("HDFCB IN Equity","SUSTAIN_GROWTH_RT","FY 2007","FY 2007","Currency=INR","Period=FY","BEST_FPERIOD_OVERRIDE=FY","FILING_STATUS=MR","EQY_CONSOLIDATED=Y","FA_ADJUSTED=GAAP","Sort=A","Dates=H","DateFormat=P","Fill=—","Direction=H","UseDPDF=Y")</f>
        <v>15.721500000000001</v>
      </c>
      <c r="E22" s="18">
        <f>_xll.BDH("HDFCB IN Equity","SUSTAIN_GROWTH_RT","FY 2008","FY 2008","Currency=INR","Period=FY","BEST_FPERIOD_OVERRIDE=FY","FILING_STATUS=MR","EQY_CONSOLIDATED=Y","FA_ADJUSTED=GAAP","Sort=A","Dates=H","DateFormat=P","Fill=—","Direction=H","UseDPDF=Y")</f>
        <v>14.3912</v>
      </c>
      <c r="F22" s="18">
        <f>_xll.BDH("HDFCB IN Equity","SUSTAIN_GROWTH_RT","FY 2009","FY 2009","Currency=INR","Period=FY","BEST_FPERIOD_OVERRIDE=FY","FILING_STATUS=MR","EQY_CONSOLIDATED=Y","FA_ADJUSTED=GAAP","Sort=A","Dates=H","DateFormat=P","Fill=—","Direction=H","UseDPDF=Y")</f>
        <v>13.696</v>
      </c>
      <c r="G22" s="18">
        <f>_xll.BDH("HDFCB IN Equity","SUSTAIN_GROWTH_RT","FY 2010","FY 2010","Currency=INR","Period=FY","BEST_FPERIOD_OVERRIDE=FY","FILING_STATUS=MR","EQY_CONSOLIDATED=Y","FA_ADJUSTED=GAAP","Sort=A","Dates=H","DateFormat=P","Fill=—","Direction=H","UseDPDF=Y")</f>
        <v>13.3704</v>
      </c>
      <c r="H22" s="18">
        <f>_xll.BDH("HDFCB IN Equity","SUSTAIN_GROWTH_RT","FY 2011","FY 2011","Currency=INR","Period=FY","BEST_FPERIOD_OVERRIDE=FY","FILING_STATUS=MR","EQY_CONSOLIDATED=Y","FA_ADJUSTED=GAAP","Sort=A","Dates=H","DateFormat=P","Fill=—","Direction=H","UseDPDF=Y")</f>
        <v>13.6633</v>
      </c>
      <c r="I22" s="18">
        <f>_xll.BDH("HDFCB IN Equity","SUSTAIN_GROWTH_RT","FY 2012","FY 2012","Currency=INR","Period=FY","BEST_FPERIOD_OVERRIDE=FY","FILING_STATUS=MR","EQY_CONSOLIDATED=Y","FA_ADJUSTED=GAAP","Sort=A","Dates=H","DateFormat=P","Fill=—","Direction=H","UseDPDF=Y")</f>
        <v>15.1906</v>
      </c>
      <c r="J22" s="18">
        <f>_xll.BDH("HDFCB IN Equity","SUSTAIN_GROWTH_RT","FY 2013","FY 2013","Currency=INR","Period=FY","BEST_FPERIOD_OVERRIDE=FY","FILING_STATUS=MR","EQY_CONSOLIDATED=Y","FA_ADJUSTED=GAAP","Sort=A","Dates=H","DateFormat=P","Fill=—","Direction=H","UseDPDF=Y")</f>
        <v>16.636299999999999</v>
      </c>
      <c r="K22" s="18">
        <f>_xll.BDH("HDFCB IN Equity","SUSTAIN_GROWTH_RT","FY 2014","FY 2014","Currency=INR","Period=FY","BEST_FPERIOD_OVERRIDE=FY","FILING_STATUS=MR","EQY_CONSOLIDATED=Y","FA_ADJUSTED=GAAP","Sort=A","Dates=H","DateFormat=P","Fill=—","Direction=H","UseDPDF=Y")</f>
        <v>17.572600000000001</v>
      </c>
      <c r="L22" s="18">
        <f>_xll.BDH("HDFCB IN Equity","SUSTAIN_GROWTH_RT","FY 2015","FY 2015","Currency=INR","Period=FY","BEST_FPERIOD_OVERRIDE=FY","FILING_STATUS=MR","EQY_CONSOLIDATED=Y","FA_ADJUSTED=GAAP","Sort=A","Dates=H","DateFormat=P","Fill=—","Direction=H","UseDPDF=Y")</f>
        <v>16.182700000000001</v>
      </c>
      <c r="M22" s="18">
        <f>_xll.BDH("HDFCB IN Equity","SUSTAIN_GROWTH_RT","FY 2016","FY 2016","Currency=INR","Period=FY","BEST_FPERIOD_OVERRIDE=FY","FILING_STATUS=MR","EQY_CONSOLIDATED=Y","FA_ADJUSTED=GAAP","Sort=A","Dates=H","DateFormat=P","Fill=—","Direction=H","UseDPDF=Y")</f>
        <v>15.1312</v>
      </c>
      <c r="N22" s="18">
        <f>_xll.BDH("HDFCB IN Equity","SUSTAIN_GROWTH_RT","FY 2017","FY 2017","Currency=INR","Period=FY","BEST_FPERIOD_OVERRIDE=FY","FILING_STATUS=MR","EQY_CONSOLIDATED=Y","FA_ADJUSTED=GAAP","Sort=A","Dates=H","DateFormat=P","Fill=—","Direction=H","UseDPDF=Y")</f>
        <v>14.972099999999999</v>
      </c>
      <c r="O22" s="18">
        <f>_xll.BDH("HDFCB IN Equity","SUSTAIN_GROWTH_RT","FY 2018","FY 2018","Currency=INR","Period=FY","BEST_FPERIOD_OVERRIDE=FY","FILING_STATUS=MR","EQY_CONSOLIDATED=Y","FA_ADJUSTED=GAAP","Sort=A","Dates=H","DateFormat=P","Fill=—","Direction=H","UseDPDF=Y")</f>
        <v>15.031700000000001</v>
      </c>
      <c r="P22" s="18">
        <f>_xll.BDH("HDFCB IN Equity","SUSTAIN_GROWTH_RT","FY 2019","FY 2019","Currency=INR","Period=FY","BEST_FPERIOD_OVERRIDE=FY","FILING_STATUS=MR","EQY_CONSOLIDATED=Y","FA_ADJUSTED=GAAP","Sort=A","Dates=H","DateFormat=P","Fill=—","Direction=H","UseDPDF=Y")</f>
        <v>13.8621</v>
      </c>
      <c r="Q22" s="18">
        <f>_xll.BDH("HDFCB IN Equity","SUSTAIN_GROWTH_RT","FY 2020","FY 2020","Currency=INR","Period=FY","BEST_FPERIOD_OVERRIDE=FY","FILING_STATUS=MR","EQY_CONSOLIDATED=Y","FA_ADJUSTED=GAAP","Sort=A","Dates=H","DateFormat=P","Fill=—","Direction=H","UseDPDF=Y")</f>
        <v>13.193099999999999</v>
      </c>
      <c r="R22" s="18">
        <f>_xll.BDH("HDFCB IN Equity","SUSTAIN_GROWTH_RT","FY 2021","FY 2021","Currency=INR","Period=FY","BEST_FPERIOD_OVERRIDE=FY","FILING_STATUS=MR","EQY_CONSOLIDATED=Y","FA_ADJUSTED=GAAP","Sort=A","Dates=H","DateFormat=P","Fill=—","Direction=H","UseDPDF=Y")</f>
        <v>14.6309</v>
      </c>
      <c r="S22" s="18">
        <f>_xll.BDH("HDFCB IN Equity","SUSTAIN_GROWTH_RT","FY 2022","FY 2022","Currency=INR","Period=FY","BEST_FPERIOD_OVERRIDE=FY","FILING_STATUS=MR","EQY_CONSOLIDATED=Y","FA_ADJUSTED=GAAP","Sort=A","Dates=H","DateFormat=P","Fill=—","Direction=H","UseDPDF=Y")</f>
        <v>12.887700000000001</v>
      </c>
      <c r="T22" s="18">
        <f>_xll.BDH("HDFCB IN Equity","SUSTAIN_GROWTH_RT","FY 2023","FY 2023","Currency=INR","Period=FY","BEST_FPERIOD_OVERRIDE=FY","FILING_STATUS=MR","EQY_CONSOLIDATED=Y","FA_ADJUSTED=GAAP","Sort=A","Dates=H","DateFormat=P","Fill=—","Direction=H","UseDPDF=Y")</f>
        <v>13.188499999999999</v>
      </c>
    </row>
    <row r="23" spans="1:20" x14ac:dyDescent="0.25">
      <c r="A23" s="13" t="s">
        <v>77</v>
      </c>
      <c r="B23" s="13"/>
      <c r="C23" s="13" t="s"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51E3-4435-4414-B9CA-088F659BB1BF}">
  <dimension ref="A1:V28"/>
  <sheetViews>
    <sheetView workbookViewId="0">
      <selection activeCell="D30" sqref="D30"/>
    </sheetView>
  </sheetViews>
  <sheetFormatPr defaultRowHeight="15" x14ac:dyDescent="0.25"/>
  <cols>
    <col min="1" max="1" width="35.140625" customWidth="1"/>
    <col min="2" max="2" width="0" hidden="1" customWidth="1"/>
    <col min="3" max="22" width="11.85546875" customWidth="1"/>
  </cols>
  <sheetData>
    <row r="1" spans="1:2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78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6" t="s">
        <v>3</v>
      </c>
      <c r="B4" s="6"/>
      <c r="C4" s="5" t="s">
        <v>4</v>
      </c>
      <c r="D4" s="5" t="s">
        <v>1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</row>
    <row r="5" spans="1:22" x14ac:dyDescent="0.25">
      <c r="A5" s="15" t="s">
        <v>23</v>
      </c>
      <c r="B5" s="15"/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4" t="s">
        <v>43</v>
      </c>
    </row>
    <row r="6" spans="1:22" x14ac:dyDescent="0.25">
      <c r="A6" s="3" t="s">
        <v>79</v>
      </c>
      <c r="B6" s="3" t="s">
        <v>80</v>
      </c>
      <c r="C6" s="18">
        <f>_xll.BDH("TCS IN Equity","CASH_RATIO","FY 2004","FY 2004","Currency=INR","Period=FY","BEST_FPERIOD_OVERRIDE=FY","FILING_STATUS=MR","EQY_CONSOLIDATED=Y","ACCOUNTING_STANDARD_OVERRIDE=MIXED","Sort=A","Dates=H","DateFormat=P","Fill=—","Direction=H","UseDPDF=Y")</f>
        <v>9.5899999999999999E-2</v>
      </c>
      <c r="D6" s="18">
        <f>_xll.BDH("TCS IN Equity","CASH_RATIO","FY 2005","FY 2005","Currency=INR","Period=FY","BEST_FPERIOD_OVERRIDE=FY","FILING_STATUS=MR","EQY_CONSOLIDATED=Y","ACCOUNTING_STANDARD_OVERRIDE=MIXED","Sort=A","Dates=H","DateFormat=P","Fill=—","Direction=H","UseDPDF=Y")</f>
        <v>0.46229999999999999</v>
      </c>
      <c r="E6" s="18">
        <f>_xll.BDH("TCS IN Equity","CASH_RATIO","FY 2006","FY 2006","Currency=INR","Period=FY","BEST_FPERIOD_OVERRIDE=FY","FILING_STATUS=MR","EQY_CONSOLIDATED=Y","ACCOUNTING_STANDARD_OVERRIDE=MIXED","Sort=A","Dates=H","DateFormat=P","Fill=—","Direction=H","UseDPDF=Y")</f>
        <v>4.65E-2</v>
      </c>
      <c r="F6" s="18">
        <f>_xll.BDH("TCS IN Equity","CASH_RATIO","FY 2007","FY 2007","Currency=INR","Period=FY","BEST_FPERIOD_OVERRIDE=FY","FILING_STATUS=MR","EQY_CONSOLIDATED=Y","ACCOUNTING_STANDARD_OVERRIDE=MIXED","Sort=A","Dates=H","DateFormat=P","Fill=—","Direction=H","UseDPDF=Y")</f>
        <v>0.72709999999999997</v>
      </c>
      <c r="G6" s="18">
        <f>_xll.BDH("TCS IN Equity","CASH_RATIO","FY 2008","FY 2008","Currency=INR","Period=FY","BEST_FPERIOD_OVERRIDE=FY","FILING_STATUS=MR","EQY_CONSOLIDATED=Y","ACCOUNTING_STANDARD_OVERRIDE=MIXED","Sort=A","Dates=H","DateFormat=P","Fill=—","Direction=H","UseDPDF=Y")</f>
        <v>0.85199999999999998</v>
      </c>
      <c r="H6" s="18">
        <f>_xll.BDH("TCS IN Equity","CASH_RATIO","FY 2009","FY 2009","Currency=INR","Period=FY","BEST_FPERIOD_OVERRIDE=FY","FILING_STATUS=MR","EQY_CONSOLIDATED=Y","ACCOUNTING_STANDARD_OVERRIDE=MIXED","Sort=A","Dates=H","DateFormat=P","Fill=—","Direction=H","UseDPDF=Y")</f>
        <v>0.66080000000000005</v>
      </c>
      <c r="I6" s="18">
        <f>_xll.BDH("TCS IN Equity","CASH_RATIO","FY 2010","FY 2010","Currency=INR","Period=FY","BEST_FPERIOD_OVERRIDE=FY","FILING_STATUS=MR","EQY_CONSOLIDATED=Y","ACCOUNTING_STANDARD_OVERRIDE=MIXED","Sort=A","Dates=H","DateFormat=P","Fill=—","Direction=H","UseDPDF=Y")</f>
        <v>0.84930000000000005</v>
      </c>
      <c r="J6" s="18">
        <f>_xll.BDH("TCS IN Equity","CASH_RATIO","FY 2011","FY 2011","Currency=INR","Period=FY","BEST_FPERIOD_OVERRIDE=FY","FILING_STATUS=MR","EQY_CONSOLIDATED=Y","ACCOUNTING_STANDARD_OVERRIDE=MIXED","Sort=A","Dates=H","DateFormat=P","Fill=—","Direction=H","UseDPDF=Y")</f>
        <v>0.7349</v>
      </c>
      <c r="K6" s="18">
        <f>_xll.BDH("TCS IN Equity","CASH_RATIO","FY 2012","FY 2012","Currency=INR","Period=FY","BEST_FPERIOD_OVERRIDE=FY","FILING_STATUS=MR","EQY_CONSOLIDATED=Y","ACCOUNTING_STANDARD_OVERRIDE=MIXED","Sort=A","Dates=H","DateFormat=P","Fill=—","Direction=H","UseDPDF=Y")</f>
        <v>0.62970000000000004</v>
      </c>
      <c r="L6" s="18">
        <f>_xll.BDH("TCS IN Equity","CASH_RATIO","FY 2013","FY 2013","Currency=INR","Period=FY","BEST_FPERIOD_OVERRIDE=FY","FILING_STATUS=MR","EQY_CONSOLIDATED=Y","ACCOUNTING_STANDARD_OVERRIDE=MIXED","Sort=A","Dates=H","DateFormat=P","Fill=—","Direction=H","UseDPDF=Y")</f>
        <v>0.65710000000000002</v>
      </c>
      <c r="M6" s="18">
        <f>_xll.BDH("TCS IN Equity","CASH_RATIO","FY 2014","FY 2014","Currency=INR","Period=FY","BEST_FPERIOD_OVERRIDE=FY","FILING_STATUS=MR","EQY_CONSOLIDATED=Y","ACCOUNTING_STANDARD_OVERRIDE=MIXED","Sort=A","Dates=H","DateFormat=P","Fill=—","Direction=H","UseDPDF=Y")</f>
        <v>1.413</v>
      </c>
      <c r="N6" s="18">
        <f>_xll.BDH("TCS IN Equity","CASH_RATIO","FY 2015","FY 2015","Currency=INR","Period=FY","BEST_FPERIOD_OVERRIDE=FY","FILING_STATUS=MR","EQY_CONSOLIDATED=Y","ACCOUNTING_STANDARD_OVERRIDE=MIXED","Sort=A","Dates=H","DateFormat=P","Fill=—","Direction=H","UseDPDF=Y")</f>
        <v>0.97070000000000001</v>
      </c>
      <c r="O6" s="18">
        <f>_xll.BDH("TCS IN Equity","CASH_RATIO","FY 2016","FY 2016","Currency=INR","Period=FY","BEST_FPERIOD_OVERRIDE=FY","FILING_STATUS=MR","EQY_CONSOLIDATED=Y","ACCOUNTING_STANDARD_OVERRIDE=MIXED","Sort=A","Dates=H","DateFormat=P","Fill=—","Direction=H","UseDPDF=Y")</f>
        <v>1.8515999999999999</v>
      </c>
      <c r="P6" s="18">
        <f>_xll.BDH("TCS IN Equity","CASH_RATIO","FY 2017","FY 2017","Currency=INR","Period=FY","BEST_FPERIOD_OVERRIDE=FY","FILING_STATUS=MR","EQY_CONSOLIDATED=Y","ACCOUNTING_STANDARD_OVERRIDE=MIXED","Sort=A","Dates=H","DateFormat=P","Fill=—","Direction=H","UseDPDF=Y")</f>
        <v>3.1465999999999998</v>
      </c>
      <c r="Q6" s="18">
        <f>_xll.BDH("TCS IN Equity","CASH_RATIO","FY 2018","FY 2018","Currency=INR","Period=FY","BEST_FPERIOD_OVERRIDE=FY","FILING_STATUS=MR","EQY_CONSOLIDATED=Y","ACCOUNTING_STANDARD_OVERRIDE=MIXED","Sort=A","Dates=H","DateFormat=P","Fill=—","Direction=H","UseDPDF=Y")</f>
        <v>2.3921000000000001</v>
      </c>
      <c r="R6" s="18">
        <f>_xll.BDH("TCS IN Equity","CASH_RATIO","FY 2019","FY 2019","Currency=INR","Period=FY","BEST_FPERIOD_OVERRIDE=FY","FILING_STATUS=MR","EQY_CONSOLIDATED=Y","ACCOUNTING_STANDARD_OVERRIDE=MIXED","Sort=A","Dates=H","DateFormat=P","Fill=—","Direction=H","UseDPDF=Y")</f>
        <v>1.8902000000000001</v>
      </c>
      <c r="S6" s="18">
        <f>_xll.BDH("TCS IN Equity","CASH_RATIO","FY 2020","FY 2020","Currency=INR","Period=FY","BEST_FPERIOD_OVERRIDE=FY","FILING_STATUS=MR","EQY_CONSOLIDATED=Y","ACCOUNTING_STANDARD_OVERRIDE=MIXED","Sort=A","Dates=H","DateFormat=P","Fill=—","Direction=H","UseDPDF=Y")</f>
        <v>1.3151999999999999</v>
      </c>
      <c r="T6" s="18">
        <f>_xll.BDH("TCS IN Equity","CASH_RATIO","FY 2021","FY 2021","Currency=INR","Period=FY","BEST_FPERIOD_OVERRIDE=FY","FILING_STATUS=MR","EQY_CONSOLIDATED=Y","ACCOUNTING_STANDARD_OVERRIDE=MIXED","Sort=A","Dates=H","DateFormat=P","Fill=—","Direction=H","UseDPDF=Y")</f>
        <v>1.1208</v>
      </c>
      <c r="U6" s="18">
        <f>_xll.BDH("TCS IN Equity","CASH_RATIO","FY 2022","FY 2022","Currency=INR","Period=FY","BEST_FPERIOD_OVERRIDE=FY","FILING_STATUS=MR","EQY_CONSOLIDATED=Y","ACCOUNTING_STANDARD_OVERRIDE=MIXED","Sort=A","Dates=H","DateFormat=P","Fill=—","Direction=H","UseDPDF=Y")</f>
        <v>1.1395</v>
      </c>
      <c r="V6" s="18">
        <f>_xll.BDH("TCS IN Equity","CASH_RATIO","FY 2023","FY 2023","Currency=INR","Period=FY","BEST_FPERIOD_OVERRIDE=FY","FILING_STATUS=MR","EQY_CONSOLIDATED=Y","ACCOUNTING_STANDARD_OVERRIDE=MIXED","Sort=A","Dates=H","DateFormat=P","Fill=—","Direction=H","UseDPDF=Y")</f>
        <v>1.0846</v>
      </c>
    </row>
    <row r="7" spans="1:22" x14ac:dyDescent="0.25">
      <c r="A7" s="3" t="s">
        <v>81</v>
      </c>
      <c r="B7" s="3" t="s">
        <v>82</v>
      </c>
      <c r="C7" s="18">
        <f>_xll.BDH("TCS IN Equity","CUR_RATIO","FY 2004","FY 2004","Currency=INR","Period=FY","BEST_FPERIOD_OVERRIDE=FY","FILING_STATUS=MR","EQY_CONSOLIDATED=Y","ACCOUNTING_STANDARD_OVERRIDE=MIXED","Sort=A","Dates=H","DateFormat=P","Fill=—","Direction=H","UseDPDF=Y")</f>
        <v>1.7486999999999999</v>
      </c>
      <c r="D7" s="18">
        <f>_xll.BDH("TCS IN Equity","CUR_RATIO","FY 2005","FY 2005","Currency=INR","Period=FY","BEST_FPERIOD_OVERRIDE=FY","FILING_STATUS=MR","EQY_CONSOLIDATED=Y","ACCOUNTING_STANDARD_OVERRIDE=MIXED","Sort=A","Dates=H","DateFormat=P","Fill=—","Direction=H","UseDPDF=Y")</f>
        <v>2.4611999999999998</v>
      </c>
      <c r="E7" s="18">
        <f>_xll.BDH("TCS IN Equity","CUR_RATIO","FY 2006","FY 2006","Currency=INR","Period=FY","BEST_FPERIOD_OVERRIDE=FY","FILING_STATUS=MR","EQY_CONSOLIDATED=Y","ACCOUNTING_STANDARD_OVERRIDE=MIXED","Sort=A","Dates=H","DateFormat=P","Fill=—","Direction=H","UseDPDF=Y")</f>
        <v>2.6960999999999999</v>
      </c>
      <c r="F7" s="18">
        <f>_xll.BDH("TCS IN Equity","CUR_RATIO","FY 2007","FY 2007","Currency=INR","Period=FY","BEST_FPERIOD_OVERRIDE=FY","FILING_STATUS=MR","EQY_CONSOLIDATED=Y","ACCOUNTING_STANDARD_OVERRIDE=MIXED","Sort=A","Dates=H","DateFormat=P","Fill=—","Direction=H","UseDPDF=Y")</f>
        <v>2.5623999999999998</v>
      </c>
      <c r="G7" s="18">
        <f>_xll.BDH("TCS IN Equity","CUR_RATIO","FY 2008","FY 2008","Currency=INR","Period=FY","BEST_FPERIOD_OVERRIDE=FY","FILING_STATUS=MR","EQY_CONSOLIDATED=Y","ACCOUNTING_STANDARD_OVERRIDE=MIXED","Sort=A","Dates=H","DateFormat=P","Fill=—","Direction=H","UseDPDF=Y")</f>
        <v>2.8191000000000002</v>
      </c>
      <c r="H7" s="18">
        <f>_xll.BDH("TCS IN Equity","CUR_RATIO","FY 2009","FY 2009","Currency=INR","Period=FY","BEST_FPERIOD_OVERRIDE=FY","FILING_STATUS=MR","EQY_CONSOLIDATED=Y","ACCOUNTING_STANDARD_OVERRIDE=MIXED","Sort=A","Dates=H","DateFormat=P","Fill=—","Direction=H","UseDPDF=Y")</f>
        <v>2.3294000000000001</v>
      </c>
      <c r="I7" s="18">
        <f>_xll.BDH("TCS IN Equity","CUR_RATIO","FY 2010","FY 2010","Currency=INR","Period=FY","BEST_FPERIOD_OVERRIDE=FY","FILING_STATUS=MR","EQY_CONSOLIDATED=Y","ACCOUNTING_STANDARD_OVERRIDE=MIXED","Sort=A","Dates=H","DateFormat=P","Fill=—","Direction=H","UseDPDF=Y")</f>
        <v>2.1589999999999998</v>
      </c>
      <c r="J7" s="18">
        <f>_xll.BDH("TCS IN Equity","CUR_RATIO","FY 2011","FY 2011","Currency=INR","Period=FY","BEST_FPERIOD_OVERRIDE=FY","FILING_STATUS=MR","EQY_CONSOLIDATED=Y","ACCOUNTING_STANDARD_OVERRIDE=MIXED","Sort=A","Dates=H","DateFormat=P","Fill=—","Direction=H","UseDPDF=Y")</f>
        <v>2.3511000000000002</v>
      </c>
      <c r="K7" s="18">
        <f>_xll.BDH("TCS IN Equity","CUR_RATIO","FY 2012","FY 2012","Currency=INR","Period=FY","BEST_FPERIOD_OVERRIDE=FY","FILING_STATUS=MR","EQY_CONSOLIDATED=Y","ACCOUNTING_STANDARD_OVERRIDE=MIXED","Sort=A","Dates=H","DateFormat=P","Fill=—","Direction=H","UseDPDF=Y")</f>
        <v>2.2198000000000002</v>
      </c>
      <c r="L7" s="18">
        <f>_xll.BDH("TCS IN Equity","CUR_RATIO","FY 2013","FY 2013","Currency=INR","Period=FY","BEST_FPERIOD_OVERRIDE=FY","FILING_STATUS=MR","EQY_CONSOLIDATED=Y","ACCOUNTING_STANDARD_OVERRIDE=MIXED","Sort=A","Dates=H","DateFormat=P","Fill=—","Direction=H","UseDPDF=Y")</f>
        <v>2.6917</v>
      </c>
      <c r="M7" s="18">
        <f>_xll.BDH("TCS IN Equity","CUR_RATIO","FY 2014","FY 2014","Currency=INR","Period=FY","BEST_FPERIOD_OVERRIDE=FY","FILING_STATUS=MR","EQY_CONSOLIDATED=Y","ACCOUNTING_STANDARD_OVERRIDE=MIXED","Sort=A","Dates=H","DateFormat=P","Fill=—","Direction=H","UseDPDF=Y")</f>
        <v>3.8799000000000001</v>
      </c>
      <c r="N7" s="18">
        <f>_xll.BDH("TCS IN Equity","CUR_RATIO","FY 2015","FY 2015","Currency=INR","Period=FY","BEST_FPERIOD_OVERRIDE=FY","FILING_STATUS=MR","EQY_CONSOLIDATED=Y","ACCOUNTING_STANDARD_OVERRIDE=MIXED","Sort=A","Dates=H","DateFormat=P","Fill=—","Direction=H","UseDPDF=Y")</f>
        <v>2.4024000000000001</v>
      </c>
      <c r="O7" s="18">
        <f>_xll.BDH("TCS IN Equity","CUR_RATIO","FY 2016","FY 2016","Currency=INR","Period=FY","BEST_FPERIOD_OVERRIDE=FY","FILING_STATUS=MR","EQY_CONSOLIDATED=Y","ACCOUNTING_STANDARD_OVERRIDE=MIXED","Sort=A","Dates=H","DateFormat=P","Fill=—","Direction=H","UseDPDF=Y")</f>
        <v>4.0602</v>
      </c>
      <c r="P7" s="18">
        <f>_xll.BDH("TCS IN Equity","CUR_RATIO","FY 2017","FY 2017","Currency=INR","Period=FY","BEST_FPERIOD_OVERRIDE=FY","FILING_STATUS=MR","EQY_CONSOLIDATED=Y","ACCOUNTING_STANDARD_OVERRIDE=MIXED","Sort=A","Dates=H","DateFormat=P","Fill=—","Direction=H","UseDPDF=Y")</f>
        <v>5.5345000000000004</v>
      </c>
      <c r="Q7" s="18">
        <f>_xll.BDH("TCS IN Equity","CUR_RATIO","FY 2018","FY 2018","Currency=INR","Period=FY","BEST_FPERIOD_OVERRIDE=FY","FILING_STATUS=MR","EQY_CONSOLIDATED=Y","ACCOUNTING_STANDARD_OVERRIDE=MIXED","Sort=A","Dates=H","DateFormat=P","Fill=—","Direction=H","UseDPDF=Y")</f>
        <v>4.556</v>
      </c>
      <c r="R7" s="18">
        <f>_xll.BDH("TCS IN Equity","CUR_RATIO","FY 2019","FY 2019","Currency=INR","Period=FY","BEST_FPERIOD_OVERRIDE=FY","FILING_STATUS=MR","EQY_CONSOLIDATED=Y","ACCOUNTING_STANDARD_OVERRIDE=MIXED","Sort=A","Dates=H","DateFormat=P","Fill=—","Direction=H","UseDPDF=Y")</f>
        <v>4.1718000000000002</v>
      </c>
      <c r="S7" s="18">
        <f>_xll.BDH("TCS IN Equity","CUR_RATIO","FY 2020","FY 2020","Currency=INR","Period=FY","BEST_FPERIOD_OVERRIDE=FY","FILING_STATUS=MR","EQY_CONSOLIDATED=Y","ACCOUNTING_STANDARD_OVERRIDE=MIXED","Sort=A","Dates=H","DateFormat=P","Fill=—","Direction=H","UseDPDF=Y")</f>
        <v>3.3347000000000002</v>
      </c>
      <c r="T7" s="18">
        <f>_xll.BDH("TCS IN Equity","CUR_RATIO","FY 2021","FY 2021","Currency=INR","Period=FY","BEST_FPERIOD_OVERRIDE=FY","FILING_STATUS=MR","EQY_CONSOLIDATED=Y","ACCOUNTING_STANDARD_OVERRIDE=MIXED","Sort=A","Dates=H","DateFormat=P","Fill=—","Direction=H","UseDPDF=Y")</f>
        <v>2.9066999999999998</v>
      </c>
      <c r="U7" s="18">
        <f>_xll.BDH("TCS IN Equity","CUR_RATIO","FY 2022","FY 2022","Currency=INR","Period=FY","BEST_FPERIOD_OVERRIDE=FY","FILING_STATUS=MR","EQY_CONSOLIDATED=Y","ACCOUNTING_STANDARD_OVERRIDE=MIXED","Sort=A","Dates=H","DateFormat=P","Fill=—","Direction=H","UseDPDF=Y")</f>
        <v>2.5573999999999999</v>
      </c>
      <c r="V7" s="18">
        <f>_xll.BDH("TCS IN Equity","CUR_RATIO","FY 2023","FY 2023","Currency=INR","Period=FY","BEST_FPERIOD_OVERRIDE=FY","FILING_STATUS=MR","EQY_CONSOLIDATED=Y","ACCOUNTING_STANDARD_OVERRIDE=MIXED","Sort=A","Dates=H","DateFormat=P","Fill=—","Direction=H","UseDPDF=Y")</f>
        <v>2.5316000000000001</v>
      </c>
    </row>
    <row r="8" spans="1:22" x14ac:dyDescent="0.25">
      <c r="A8" s="3" t="s">
        <v>83</v>
      </c>
      <c r="B8" s="3" t="s">
        <v>84</v>
      </c>
      <c r="C8" s="18">
        <f>_xll.BDH("TCS IN Equity","QUICK_RATIO","FY 2004","FY 2004","Currency=INR","Period=FY","BEST_FPERIOD_OVERRIDE=FY","FILING_STATUS=MR","EQY_CONSOLIDATED=Y","ACCOUNTING_STANDARD_OVERRIDE=MIXED","Sort=A","Dates=H","DateFormat=P","Fill=—","Direction=H","UseDPDF=Y")</f>
        <v>0.94020000000000004</v>
      </c>
      <c r="D8" s="18">
        <f>_xll.BDH("TCS IN Equity","QUICK_RATIO","FY 2005","FY 2005","Currency=INR","Period=FY","BEST_FPERIOD_OVERRIDE=FY","FILING_STATUS=MR","EQY_CONSOLIDATED=Y","ACCOUNTING_STANDARD_OVERRIDE=MIXED","Sort=A","Dates=H","DateFormat=P","Fill=—","Direction=H","UseDPDF=Y")</f>
        <v>1.8434999999999999</v>
      </c>
      <c r="E8" s="18">
        <f>_xll.BDH("TCS IN Equity","QUICK_RATIO","FY 2006","FY 2006","Currency=INR","Period=FY","BEST_FPERIOD_OVERRIDE=FY","FILING_STATUS=MR","EQY_CONSOLIDATED=Y","ACCOUNTING_STANDARD_OVERRIDE=MIXED","Sort=A","Dates=H","DateFormat=P","Fill=—","Direction=H","UseDPDF=Y")</f>
        <v>1.7414000000000001</v>
      </c>
      <c r="F8" s="18">
        <f>_xll.BDH("TCS IN Equity","QUICK_RATIO","FY 2007","FY 2007","Currency=INR","Period=FY","BEST_FPERIOD_OVERRIDE=FY","FILING_STATUS=MR","EQY_CONSOLIDATED=Y","ACCOUNTING_STANDARD_OVERRIDE=MIXED","Sort=A","Dates=H","DateFormat=P","Fill=—","Direction=H","UseDPDF=Y")</f>
        <v>1.9392</v>
      </c>
      <c r="G8" s="18">
        <f>_xll.BDH("TCS IN Equity","QUICK_RATIO","FY 2008","FY 2008","Currency=INR","Period=FY","BEST_FPERIOD_OVERRIDE=FY","FILING_STATUS=MR","EQY_CONSOLIDATED=Y","ACCOUNTING_STANDARD_OVERRIDE=MIXED","Sort=A","Dates=H","DateFormat=P","Fill=—","Direction=H","UseDPDF=Y")</f>
        <v>2.0531999999999999</v>
      </c>
      <c r="H8" s="18">
        <f>_xll.BDH("TCS IN Equity","QUICK_RATIO","FY 2009","FY 2009","Currency=INR","Period=FY","BEST_FPERIOD_OVERRIDE=FY","FILING_STATUS=MR","EQY_CONSOLIDATED=Y","ACCOUNTING_STANDARD_OVERRIDE=MIXED","Sort=A","Dates=H","DateFormat=P","Fill=—","Direction=H","UseDPDF=Y")</f>
        <v>1.6073</v>
      </c>
      <c r="I8" s="18">
        <f>_xll.BDH("TCS IN Equity","QUICK_RATIO","FY 2010","FY 2010","Currency=INR","Period=FY","BEST_FPERIOD_OVERRIDE=FY","FILING_STATUS=MR","EQY_CONSOLIDATED=Y","ACCOUNTING_STANDARD_OVERRIDE=MIXED","Sort=A","Dates=H","DateFormat=P","Fill=—","Direction=H","UseDPDF=Y")</f>
        <v>1.542</v>
      </c>
      <c r="J8" s="18">
        <f>_xll.BDH("TCS IN Equity","QUICK_RATIO","FY 2011","FY 2011","Currency=INR","Period=FY","BEST_FPERIOD_OVERRIDE=FY","FILING_STATUS=MR","EQY_CONSOLIDATED=Y","ACCOUNTING_STANDARD_OVERRIDE=MIXED","Sort=A","Dates=H","DateFormat=P","Fill=—","Direction=H","UseDPDF=Y")</f>
        <v>1.8657999999999999</v>
      </c>
      <c r="K8" s="18">
        <f>_xll.BDH("TCS IN Equity","QUICK_RATIO","FY 2012","FY 2012","Currency=INR","Period=FY","BEST_FPERIOD_OVERRIDE=FY","FILING_STATUS=MR","EQY_CONSOLIDATED=Y","ACCOUNTING_STANDARD_OVERRIDE=MIXED","Sort=A","Dates=H","DateFormat=P","Fill=—","Direction=H","UseDPDF=Y")</f>
        <v>1.7385999999999999</v>
      </c>
      <c r="L8" s="18">
        <f>_xll.BDH("TCS IN Equity","QUICK_RATIO","FY 2013","FY 2013","Currency=INR","Period=FY","BEST_FPERIOD_OVERRIDE=FY","FILING_STATUS=MR","EQY_CONSOLIDATED=Y","ACCOUNTING_STANDARD_OVERRIDE=MIXED","Sort=A","Dates=H","DateFormat=P","Fill=—","Direction=H","UseDPDF=Y")</f>
        <v>1.8653999999999999</v>
      </c>
      <c r="M8" s="18">
        <f>_xll.BDH("TCS IN Equity","QUICK_RATIO","FY 2014","FY 2014","Currency=INR","Period=FY","BEST_FPERIOD_OVERRIDE=FY","FILING_STATUS=MR","EQY_CONSOLIDATED=Y","ACCOUNTING_STANDARD_OVERRIDE=MIXED","Sort=A","Dates=H","DateFormat=P","Fill=—","Direction=H","UseDPDF=Y")</f>
        <v>3.0590999999999999</v>
      </c>
      <c r="N8" s="18">
        <f>_xll.BDH("TCS IN Equity","QUICK_RATIO","FY 2015","FY 2015","Currency=INR","Period=FY","BEST_FPERIOD_OVERRIDE=FY","FILING_STATUS=MR","EQY_CONSOLIDATED=Y","ACCOUNTING_STANDARD_OVERRIDE=MIXED","Sort=A","Dates=H","DateFormat=P","Fill=—","Direction=H","UseDPDF=Y")</f>
        <v>1.9765999999999999</v>
      </c>
      <c r="O8" s="18">
        <f>_xll.BDH("TCS IN Equity","QUICK_RATIO","FY 2016","FY 2016","Currency=INR","Period=FY","BEST_FPERIOD_OVERRIDE=FY","FILING_STATUS=MR","EQY_CONSOLIDATED=Y","ACCOUNTING_STANDARD_OVERRIDE=MIXED","Sort=A","Dates=H","DateFormat=P","Fill=—","Direction=H","UseDPDF=Y")</f>
        <v>3.3978000000000002</v>
      </c>
      <c r="P8" s="18">
        <f>_xll.BDH("TCS IN Equity","QUICK_RATIO","FY 2017","FY 2017","Currency=INR","Period=FY","BEST_FPERIOD_OVERRIDE=FY","FILING_STATUS=MR","EQY_CONSOLIDATED=Y","ACCOUNTING_STANDARD_OVERRIDE=MIXED","Sort=A","Dates=H","DateFormat=P","Fill=—","Direction=H","UseDPDF=Y")</f>
        <v>4.7050999999999998</v>
      </c>
      <c r="Q8" s="18">
        <f>_xll.BDH("TCS IN Equity","QUICK_RATIO","FY 2018","FY 2018","Currency=INR","Period=FY","BEST_FPERIOD_OVERRIDE=FY","FILING_STATUS=MR","EQY_CONSOLIDATED=Y","ACCOUNTING_STANDARD_OVERRIDE=MIXED","Sort=A","Dates=H","DateFormat=P","Fill=—","Direction=H","UseDPDF=Y")</f>
        <v>3.7911999999999999</v>
      </c>
      <c r="R8" s="18">
        <f>_xll.BDH("TCS IN Equity","QUICK_RATIO","FY 2019","FY 2019","Currency=INR","Period=FY","BEST_FPERIOD_OVERRIDE=FY","FILING_STATUS=MR","EQY_CONSOLIDATED=Y","ACCOUNTING_STANDARD_OVERRIDE=MIXED","Sort=A","Dates=H","DateFormat=P","Fill=—","Direction=H","UseDPDF=Y")</f>
        <v>3.1284999999999998</v>
      </c>
      <c r="S8" s="18">
        <f>_xll.BDH("TCS IN Equity","QUICK_RATIO","FY 2020","FY 2020","Currency=INR","Period=FY","BEST_FPERIOD_OVERRIDE=FY","FILING_STATUS=MR","EQY_CONSOLIDATED=Y","ACCOUNTING_STANDARD_OVERRIDE=MIXED","Sort=A","Dates=H","DateFormat=P","Fill=—","Direction=H","UseDPDF=Y")</f>
        <v>2.4434999999999998</v>
      </c>
      <c r="T8" s="18">
        <f>_xll.BDH("TCS IN Equity","QUICK_RATIO","FY 2021","FY 2021","Currency=INR","Period=FY","BEST_FPERIOD_OVERRIDE=FY","FILING_STATUS=MR","EQY_CONSOLIDATED=Y","ACCOUNTING_STANDARD_OVERRIDE=MIXED","Sort=A","Dates=H","DateFormat=P","Fill=—","Direction=H","UseDPDF=Y")</f>
        <v>2.0013999999999998</v>
      </c>
      <c r="U8" s="18">
        <f>_xll.BDH("TCS IN Equity","QUICK_RATIO","FY 2022","FY 2022","Currency=INR","Period=FY","BEST_FPERIOD_OVERRIDE=FY","FILING_STATUS=MR","EQY_CONSOLIDATED=Y","ACCOUNTING_STANDARD_OVERRIDE=MIXED","Sort=A","Dates=H","DateFormat=P","Fill=—","Direction=H","UseDPDF=Y")</f>
        <v>1.944</v>
      </c>
      <c r="V8" s="18">
        <f>_xll.BDH("TCS IN Equity","QUICK_RATIO","FY 2023","FY 2023","Currency=INR","Period=FY","BEST_FPERIOD_OVERRIDE=FY","FILING_STATUS=MR","EQY_CONSOLIDATED=Y","ACCOUNTING_STANDARD_OVERRIDE=MIXED","Sort=A","Dates=H","DateFormat=P","Fill=—","Direction=H","UseDPDF=Y")</f>
        <v>2.0270000000000001</v>
      </c>
    </row>
    <row r="9" spans="1:22" x14ac:dyDescent="0.25">
      <c r="A9" s="3" t="s">
        <v>85</v>
      </c>
      <c r="B9" s="3" t="s">
        <v>86</v>
      </c>
      <c r="C9" s="18">
        <f>_xll.BDH("TCS IN Equity","CFO_TO_AVG_CURRENT_LIABILITIES","FY 2004","FY 2004","Currency=INR","Period=FY","BEST_FPERIOD_OVERRIDE=FY","FILING_STATUS=MR","EQY_CONSOLIDATED=Y","ACCOUNTING_STANDARD_OVERRIDE=MIXED","Sort=A","Dates=H","DateFormat=P","Fill=—","Direction=H","UseDPDF=Y")</f>
        <v>0.97119999999999995</v>
      </c>
      <c r="D9" s="18">
        <f>_xll.BDH("TCS IN Equity","CFO_TO_AVG_CURRENT_LIABILITIES","FY 2005","FY 2005","Currency=INR","Period=FY","BEST_FPERIOD_OVERRIDE=FY","FILING_STATUS=MR","EQY_CONSOLIDATED=Y","ACCOUNTING_STANDARD_OVERRIDE=MIXED","Sort=A","Dates=H","DateFormat=P","Fill=—","Direction=H","UseDPDF=Y")</f>
        <v>1.3395999999999999</v>
      </c>
      <c r="E9" s="18">
        <f>_xll.BDH("TCS IN Equity","CFO_TO_AVG_CURRENT_LIABILITIES","FY 2006","FY 2006","Currency=INR","Period=FY","BEST_FPERIOD_OVERRIDE=FY","FILING_STATUS=MR","EQY_CONSOLIDATED=Y","ACCOUNTING_STANDARD_OVERRIDE=MIXED","Sort=A","Dates=H","DateFormat=P","Fill=—","Direction=H","UseDPDF=Y")</f>
        <v>1.4782</v>
      </c>
      <c r="F9" s="18">
        <f>_xll.BDH("TCS IN Equity","CFO_TO_AVG_CURRENT_LIABILITIES","FY 2007","FY 2007","Currency=INR","Period=FY","BEST_FPERIOD_OVERRIDE=FY","FILING_STATUS=MR","EQY_CONSOLIDATED=Y","ACCOUNTING_STANDARD_OVERRIDE=MIXED","Sort=A","Dates=H","DateFormat=P","Fill=—","Direction=H","UseDPDF=Y")</f>
        <v>1.2796000000000001</v>
      </c>
      <c r="G9" s="18">
        <f>_xll.BDH("TCS IN Equity","CFO_TO_AVG_CURRENT_LIABILITIES","FY 2008","FY 2008","Currency=INR","Period=FY","BEST_FPERIOD_OVERRIDE=FY","FILING_STATUS=MR","EQY_CONSOLIDATED=Y","ACCOUNTING_STANDARD_OVERRIDE=MIXED","Sort=A","Dates=H","DateFormat=P","Fill=—","Direction=H","UseDPDF=Y")</f>
        <v>0.97989999999999999</v>
      </c>
      <c r="H9" s="18">
        <f>_xll.BDH("TCS IN Equity","CFO_TO_AVG_CURRENT_LIABILITIES","FY 2009","FY 2009","Currency=INR","Period=FY","BEST_FPERIOD_OVERRIDE=FY","FILING_STATUS=MR","EQY_CONSOLIDATED=Y","ACCOUNTING_STANDARD_OVERRIDE=MIXED","Sort=A","Dates=H","DateFormat=P","Fill=—","Direction=H","UseDPDF=Y")</f>
        <v>1.0196000000000001</v>
      </c>
      <c r="I9" s="18">
        <f>_xll.BDH("TCS IN Equity","CFO_TO_AVG_CURRENT_LIABILITIES","FY 2010","FY 2010","Currency=INR","Period=FY","BEST_FPERIOD_OVERRIDE=FY","FILING_STATUS=MR","EQY_CONSOLIDATED=Y","ACCOUNTING_STANDARD_OVERRIDE=MIXED","Sort=A","Dates=H","DateFormat=P","Fill=—","Direction=H","UseDPDF=Y")</f>
        <v>1.0039</v>
      </c>
      <c r="J9" s="18">
        <f>_xll.BDH("TCS IN Equity","CFO_TO_AVG_CURRENT_LIABILITIES","FY 2011","FY 2011","Currency=INR","Period=FY","BEST_FPERIOD_OVERRIDE=FY","FILING_STATUS=MR","EQY_CONSOLIDATED=Y","ACCOUNTING_STANDARD_OVERRIDE=MIXED","Sort=A","Dates=H","DateFormat=P","Fill=—","Direction=H","UseDPDF=Y")</f>
        <v>0.89219999999999999</v>
      </c>
      <c r="K9" s="18">
        <f>_xll.BDH("TCS IN Equity","CFO_TO_AVG_CURRENT_LIABILITIES","FY 2012","FY 2012","Currency=INR","Period=FY","BEST_FPERIOD_OVERRIDE=FY","FILING_STATUS=MR","EQY_CONSOLIDATED=Y","ACCOUNTING_STANDARD_OVERRIDE=MIXED","Sort=A","Dates=H","DateFormat=P","Fill=—","Direction=H","UseDPDF=Y")</f>
        <v>0.83699999999999997</v>
      </c>
      <c r="L9" s="18">
        <f>_xll.BDH("TCS IN Equity","CFO_TO_AVG_CURRENT_LIABILITIES","FY 2013","FY 2013","Currency=INR","Period=FY","BEST_FPERIOD_OVERRIDE=FY","FILING_STATUS=MR","EQY_CONSOLIDATED=Y","ACCOUNTING_STANDARD_OVERRIDE=MIXED","Sort=A","Dates=H","DateFormat=P","Fill=—","Direction=H","UseDPDF=Y")</f>
        <v>1.1220000000000001</v>
      </c>
      <c r="M9" s="18">
        <f>_xll.BDH("TCS IN Equity","CFO_TO_AVG_CURRENT_LIABILITIES","FY 2014","FY 2014","Currency=INR","Period=FY","BEST_FPERIOD_OVERRIDE=FY","FILING_STATUS=MR","EQY_CONSOLIDATED=Y","ACCOUNTING_STANDARD_OVERRIDE=MIXED","Sort=A","Dates=H","DateFormat=P","Fill=—","Direction=H","UseDPDF=Y")</f>
        <v>1.4003000000000001</v>
      </c>
      <c r="N9" s="18">
        <f>_xll.BDH("TCS IN Equity","CFO_TO_AVG_CURRENT_LIABILITIES","FY 2015","FY 2015","Currency=INR","Period=FY","BEST_FPERIOD_OVERRIDE=FY","FILING_STATUS=MR","EQY_CONSOLIDATED=Y","ACCOUNTING_STANDARD_OVERRIDE=MIXED","Sort=A","Dates=H","DateFormat=P","Fill=—","Direction=H","UseDPDF=Y")</f>
        <v>1.3549</v>
      </c>
      <c r="O9" s="18">
        <f>_xll.BDH("TCS IN Equity","CFO_TO_AVG_CURRENT_LIABILITIES","FY 2016","FY 2016","Currency=INR","Period=FY","BEST_FPERIOD_OVERRIDE=FY","FILING_STATUS=MR","EQY_CONSOLIDATED=Y","ACCOUNTING_STANDARD_OVERRIDE=MIXED","Sort=A","Dates=H","DateFormat=P","Fill=—","Direction=H","UseDPDF=Y")</f>
        <v>1.1657</v>
      </c>
      <c r="P9" s="18">
        <f>_xll.BDH("TCS IN Equity","CFO_TO_AVG_CURRENT_LIABILITIES","FY 2017","FY 2017","Currency=INR","Period=FY","BEST_FPERIOD_OVERRIDE=FY","FILING_STATUS=MR","EQY_CONSOLIDATED=Y","ACCOUNTING_STANDARD_OVERRIDE=MIXED","Sort=A","Dates=H","DateFormat=P","Fill=—","Direction=H","UseDPDF=Y")</f>
        <v>1.8354999999999999</v>
      </c>
      <c r="Q9" s="18">
        <f>_xll.BDH("TCS IN Equity","CFO_TO_AVG_CURRENT_LIABILITIES","FY 2018","FY 2018","Currency=INR","Period=FY","BEST_FPERIOD_OVERRIDE=FY","FILING_STATUS=MR","EQY_CONSOLIDATED=Y","ACCOUNTING_STANDARD_OVERRIDE=MIXED","Sort=A","Dates=H","DateFormat=P","Fill=—","Direction=H","UseDPDF=Y")</f>
        <v>1.7419</v>
      </c>
      <c r="R9" s="18">
        <f>_xll.BDH("TCS IN Equity","CFO_TO_AVG_CURRENT_LIABILITIES","FY 2019","FY 2019","Currency=INR","Period=FY","BEST_FPERIOD_OVERRIDE=FY","FILING_STATUS=MR","EQY_CONSOLIDATED=Y","ACCOUNTING_STANDARD_OVERRIDE=MIXED","Sort=A","Dates=H","DateFormat=P","Fill=—","Direction=H","UseDPDF=Y")</f>
        <v>1.5868</v>
      </c>
      <c r="S9" s="18">
        <f>_xll.BDH("TCS IN Equity","CFO_TO_AVG_CURRENT_LIABILITIES","FY 2020","FY 2020","Currency=INR","Period=FY","BEST_FPERIOD_OVERRIDE=FY","FILING_STATUS=MR","EQY_CONSOLIDATED=Y","ACCOUNTING_STANDARD_OVERRIDE=MIXED","Sort=A","Dates=H","DateFormat=P","Fill=—","Direction=H","UseDPDF=Y")</f>
        <v>1.4318</v>
      </c>
      <c r="T9" s="18">
        <f>_xll.BDH("TCS IN Equity","CFO_TO_AVG_CURRENT_LIABILITIES","FY 2021","FY 2021","Currency=INR","Period=FY","BEST_FPERIOD_OVERRIDE=FY","FILING_STATUS=MR","EQY_CONSOLIDATED=Y","ACCOUNTING_STANDARD_OVERRIDE=MIXED","Sort=A","Dates=H","DateFormat=P","Fill=—","Direction=H","UseDPDF=Y")</f>
        <v>1.343</v>
      </c>
      <c r="U9" s="18">
        <f>_xll.BDH("TCS IN Equity","CFO_TO_AVG_CURRENT_LIABILITIES","FY 2022","FY 2022","Currency=INR","Period=FY","BEST_FPERIOD_OVERRIDE=FY","FILING_STATUS=MR","EQY_CONSOLIDATED=Y","ACCOUNTING_STANDARD_OVERRIDE=MIXED","Sort=A","Dates=H","DateFormat=P","Fill=—","Direction=H","UseDPDF=Y")</f>
        <v>1.0969</v>
      </c>
      <c r="V9" s="18">
        <f>_xll.BDH("TCS IN Equity","CFO_TO_AVG_CURRENT_LIABILITIES","FY 2023","FY 2023","Currency=INR","Period=FY","BEST_FPERIOD_OVERRIDE=FY","FILING_STATUS=MR","EQY_CONSOLIDATED=Y","ACCOUNTING_STANDARD_OVERRIDE=MIXED","Sort=A","Dates=H","DateFormat=P","Fill=—","Direction=H","UseDPDF=Y")</f>
        <v>1.0361</v>
      </c>
    </row>
    <row r="10" spans="1:22" x14ac:dyDescent="0.25">
      <c r="A10" s="3" t="s">
        <v>87</v>
      </c>
      <c r="B10" s="3" t="s">
        <v>88</v>
      </c>
      <c r="C10" s="18">
        <f>_xll.BDH("TCS IN Equity","COM_EQY_TO_TOT_ASSET","FY 2004","FY 2004","Currency=INR","Period=FY","BEST_FPERIOD_OVERRIDE=FY","FILING_STATUS=MR","EQY_CONSOLIDATED=Y","ACCOUNTING_STANDARD_OVERRIDE=MIXED","Sort=A","Dates=H","DateFormat=P","Fill=—","Direction=H","UseDPDF=Y")</f>
        <v>55.098199999999999</v>
      </c>
      <c r="D10" s="18">
        <f>_xll.BDH("TCS IN Equity","COM_EQY_TO_TOT_ASSET","FY 2005","FY 2005","Currency=INR","Period=FY","BEST_FPERIOD_OVERRIDE=FY","FILING_STATUS=MR","EQY_CONSOLIDATED=Y","ACCOUNTING_STANDARD_OVERRIDE=MIXED","Sort=A","Dates=H","DateFormat=P","Fill=—","Direction=H","UseDPDF=Y")</f>
        <v>65.740099999999998</v>
      </c>
      <c r="E10" s="18">
        <f>_xll.BDH("TCS IN Equity","COM_EQY_TO_TOT_ASSET","FY 2006","FY 2006","Currency=INR","Period=FY","BEST_FPERIOD_OVERRIDE=FY","FILING_STATUS=MR","EQY_CONSOLIDATED=Y","ACCOUNTING_STANDARD_OVERRIDE=MIXED","Sort=A","Dates=H","DateFormat=P","Fill=—","Direction=H","UseDPDF=Y")</f>
        <v>73.091999999999999</v>
      </c>
      <c r="F10" s="18">
        <f>_xll.BDH("TCS IN Equity","COM_EQY_TO_TOT_ASSET","FY 2007","FY 2007","Currency=INR","Period=FY","BEST_FPERIOD_OVERRIDE=FY","FILING_STATUS=MR","EQY_CONSOLIDATED=Y","ACCOUNTING_STANDARD_OVERRIDE=MIXED","Sort=A","Dates=H","DateFormat=P","Fill=—","Direction=H","UseDPDF=Y")</f>
        <v>67.116600000000005</v>
      </c>
      <c r="G10" s="18">
        <f>_xll.BDH("TCS IN Equity","COM_EQY_TO_TOT_ASSET","FY 2008","FY 2008","Currency=INR","Period=FY","BEST_FPERIOD_OVERRIDE=FY","FILING_STATUS=MR","EQY_CONSOLIDATED=Y","ACCOUNTING_STANDARD_OVERRIDE=MIXED","Sort=A","Dates=H","DateFormat=P","Fill=—","Direction=H","UseDPDF=Y")</f>
        <v>69.455799999999996</v>
      </c>
      <c r="H10" s="18">
        <f>_xll.BDH("TCS IN Equity","COM_EQY_TO_TOT_ASSET","FY 2009","FY 2009","Currency=INR","Period=FY","BEST_FPERIOD_OVERRIDE=FY","FILING_STATUS=MR","EQY_CONSOLIDATED=Y","ACCOUNTING_STANDARD_OVERRIDE=MIXED","Sort=A","Dates=H","DateFormat=P","Fill=—","Direction=H","UseDPDF=Y")</f>
        <v>68.912700000000001</v>
      </c>
      <c r="I10" s="18">
        <f>_xll.BDH("TCS IN Equity","COM_EQY_TO_TOT_ASSET","FY 2010","FY 2010","Currency=INR","Period=FY","BEST_FPERIOD_OVERRIDE=FY","FILING_STATUS=MR","EQY_CONSOLIDATED=Y","ACCOUNTING_STANDARD_OVERRIDE=MIXED","Sort=A","Dates=H","DateFormat=P","Fill=—","Direction=H","UseDPDF=Y")</f>
        <v>67.046000000000006</v>
      </c>
      <c r="J10" s="18">
        <f>_xll.BDH("TCS IN Equity","COM_EQY_TO_TOT_ASSET","FY 2011","FY 2011","Currency=INR","Period=FY","BEST_FPERIOD_OVERRIDE=FY","FILING_STATUS=MR","EQY_CONSOLIDATED=Y","ACCOUNTING_STANDARD_OVERRIDE=MIXED","Sort=A","Dates=H","DateFormat=P","Fill=—","Direction=H","UseDPDF=Y")</f>
        <v>74.675700000000006</v>
      </c>
      <c r="K10" s="18">
        <f>_xll.BDH("TCS IN Equity","COM_EQY_TO_TOT_ASSET","FY 2012","FY 2012","Currency=INR","Period=FY","BEST_FPERIOD_OVERRIDE=FY","FILING_STATUS=MR","EQY_CONSOLIDATED=Y","ACCOUNTING_STANDARD_OVERRIDE=MIXED","Sort=A","Dates=H","DateFormat=P","Fill=—","Direction=H","UseDPDF=Y")</f>
        <v>71.325599999999994</v>
      </c>
      <c r="L10" s="18">
        <f>_xll.BDH("TCS IN Equity","COM_EQY_TO_TOT_ASSET","FY 2013","FY 2013","Currency=INR","Period=FY","BEST_FPERIOD_OVERRIDE=FY","FILING_STATUS=MR","EQY_CONSOLIDATED=Y","ACCOUNTING_STANDARD_OVERRIDE=MIXED","Sort=A","Dates=H","DateFormat=P","Fill=—","Direction=H","UseDPDF=Y")</f>
        <v>73.887900000000002</v>
      </c>
      <c r="M10" s="18">
        <f>_xll.BDH("TCS IN Equity","COM_EQY_TO_TOT_ASSET","FY 2014","FY 2014","Currency=INR","Period=FY","BEST_FPERIOD_OVERRIDE=FY","FILING_STATUS=MR","EQY_CONSOLIDATED=Y","ACCOUNTING_STANDARD_OVERRIDE=MIXED","Sort=A","Dates=H","DateFormat=P","Fill=—","Direction=H","UseDPDF=Y")</f>
        <v>80.297700000000006</v>
      </c>
      <c r="N10" s="18">
        <f>_xll.BDH("TCS IN Equity","COM_EQY_TO_TOT_ASSET","FY 2015","FY 2015","Currency=INR","Period=FY","BEST_FPERIOD_OVERRIDE=FY","FILING_STATUS=MR","EQY_CONSOLIDATED=Y","ACCOUNTING_STANDARD_OVERRIDE=MIXED","Sort=A","Dates=H","DateFormat=P","Fill=—","Direction=H","UseDPDF=Y")</f>
        <v>68.740399999999994</v>
      </c>
      <c r="O10" s="18">
        <f>_xll.BDH("TCS IN Equity","COM_EQY_TO_TOT_ASSET","FY 2016","FY 2016","Currency=INR","Period=FY","BEST_FPERIOD_OVERRIDE=FY","FILING_STATUS=MR","EQY_CONSOLIDATED=Y","ACCOUNTING_STANDARD_OVERRIDE=MIXED","Sort=A","Dates=H","DateFormat=P","Fill=—","Direction=H","UseDPDF=Y")</f>
        <v>80.239699999999999</v>
      </c>
      <c r="P10" s="18">
        <f>_xll.BDH("TCS IN Equity","COM_EQY_TO_TOT_ASSET","FY 2017","FY 2017","Currency=INR","Period=FY","BEST_FPERIOD_OVERRIDE=FY","FILING_STATUS=MR","EQY_CONSOLIDATED=Y","ACCOUNTING_STANDARD_OVERRIDE=MIXED","Sort=A","Dates=H","DateFormat=P","Fill=—","Direction=H","UseDPDF=Y")</f>
        <v>83.827699999999993</v>
      </c>
      <c r="Q10" s="18">
        <f>_xll.BDH("TCS IN Equity","COM_EQY_TO_TOT_ASSET","FY 2018","FY 2018","Currency=INR","Period=FY","BEST_FPERIOD_OVERRIDE=FY","FILING_STATUS=MR","EQY_CONSOLIDATED=Y","ACCOUNTING_STANDARD_OVERRIDE=MIXED","Sort=A","Dates=H","DateFormat=P","Fill=—","Direction=H","UseDPDF=Y")</f>
        <v>80.4739</v>
      </c>
      <c r="R10" s="18">
        <f>_xll.BDH("TCS IN Equity","COM_EQY_TO_TOT_ASSET","FY 2019","FY 2019","Currency=INR","Period=FY","BEST_FPERIOD_OVERRIDE=FY","FILING_STATUS=MR","EQY_CONSOLIDATED=Y","ACCOUNTING_STANDARD_OVERRIDE=MIXED","Sort=A","Dates=H","DateFormat=P","Fill=—","Direction=H","UseDPDF=Y")</f>
        <v>78.217600000000004</v>
      </c>
      <c r="S10" s="18">
        <f>_xll.BDH("TCS IN Equity","COM_EQY_TO_TOT_ASSET","FY 2020","FY 2020","Currency=INR","Period=FY","BEST_FPERIOD_OVERRIDE=FY","FILING_STATUS=MR","EQY_CONSOLIDATED=Y","ACCOUNTING_STANDARD_OVERRIDE=MIXED","Sort=A","Dates=H","DateFormat=P","Fill=—","Direction=H","UseDPDF=Y")</f>
        <v>69.583699999999993</v>
      </c>
      <c r="T10" s="18">
        <f>_xll.BDH("TCS IN Equity","COM_EQY_TO_TOT_ASSET","FY 2021","FY 2021","Currency=INR","Period=FY","BEST_FPERIOD_OVERRIDE=FY","FILING_STATUS=MR","EQY_CONSOLIDATED=Y","ACCOUNTING_STANDARD_OVERRIDE=MIXED","Sort=A","Dates=H","DateFormat=P","Fill=—","Direction=H","UseDPDF=Y")</f>
        <v>66.642300000000006</v>
      </c>
      <c r="U10" s="18">
        <f>_xll.BDH("TCS IN Equity","COM_EQY_TO_TOT_ASSET","FY 2022","FY 2022","Currency=INR","Period=FY","BEST_FPERIOD_OVERRIDE=FY","FILING_STATUS=MR","EQY_CONSOLIDATED=Y","ACCOUNTING_STANDARD_OVERRIDE=MIXED","Sort=A","Dates=H","DateFormat=P","Fill=—","Direction=H","UseDPDF=Y")</f>
        <v>62.9895</v>
      </c>
      <c r="V10" s="18">
        <f>_xll.BDH("TCS IN Equity","COM_EQY_TO_TOT_ASSET","FY 2023","FY 2023","Currency=INR","Period=FY","BEST_FPERIOD_OVERRIDE=FY","FILING_STATUS=MR","EQY_CONSOLIDATED=Y","ACCOUNTING_STANDARD_OVERRIDE=MIXED","Sort=A","Dates=H","DateFormat=P","Fill=—","Direction=H","UseDPDF=Y")</f>
        <v>63.485399999999998</v>
      </c>
    </row>
    <row r="11" spans="1:22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3" t="s">
        <v>89</v>
      </c>
      <c r="B12" s="3" t="s">
        <v>90</v>
      </c>
      <c r="C12" s="18">
        <f>_xll.BDH("TCS IN Equity","LT_DEBT_TO_TOT_EQY","FY 2004","FY 2004","Currency=INR","Period=FY","BEST_FPERIOD_OVERRIDE=FY","FILING_STATUS=MR","EQY_CONSOLIDATED=Y","ACCOUNTING_STANDARD_OVERRIDE=MIXED","Sort=A","Dates=H","DateFormat=P","Fill=—","Direction=H","UseDPDF=Y")</f>
        <v>0.34010000000000001</v>
      </c>
      <c r="D12" s="18">
        <f>_xll.BDH("TCS IN Equity","LT_DEBT_TO_TOT_EQY","FY 2005","FY 2005","Currency=INR","Period=FY","BEST_FPERIOD_OVERRIDE=FY","FILING_STATUS=MR","EQY_CONSOLIDATED=Y","ACCOUNTING_STANDARD_OVERRIDE=MIXED","Sort=A","Dates=H","DateFormat=P","Fill=—","Direction=H","UseDPDF=Y")</f>
        <v>4.7098000000000004</v>
      </c>
      <c r="E12" s="18">
        <f>_xll.BDH("TCS IN Equity","LT_DEBT_TO_TOT_EQY","FY 2006","FY 2006","Currency=INR","Period=FY","BEST_FPERIOD_OVERRIDE=FY","FILING_STATUS=MR","EQY_CONSOLIDATED=Y","ACCOUNTING_STANDARD_OVERRIDE=MIXED","Sort=A","Dates=H","DateFormat=P","Fill=—","Direction=H","UseDPDF=Y")</f>
        <v>0.51039999999999996</v>
      </c>
      <c r="F12" s="18">
        <f>_xll.BDH("TCS IN Equity","LT_DEBT_TO_TOT_EQY","FY 2007","FY 2007","Currency=INR","Period=FY","BEST_FPERIOD_OVERRIDE=FY","FILING_STATUS=MR","EQY_CONSOLIDATED=Y","ACCOUNTING_STANDARD_OVERRIDE=MIXED","Sort=A","Dates=H","DateFormat=P","Fill=—","Direction=H","UseDPDF=Y")</f>
        <v>5.5921000000000003</v>
      </c>
      <c r="G12" s="18">
        <f>_xll.BDH("TCS IN Equity","LT_DEBT_TO_TOT_EQY","FY 2008","FY 2008","Currency=INR","Period=FY","BEST_FPERIOD_OVERRIDE=FY","FILING_STATUS=MR","EQY_CONSOLIDATED=Y","ACCOUNTING_STANDARD_OVERRIDE=MIXED","Sort=A","Dates=H","DateFormat=P","Fill=—","Direction=H","UseDPDF=Y")</f>
        <v>3.6364000000000001</v>
      </c>
      <c r="H12" s="18">
        <f>_xll.BDH("TCS IN Equity","LT_DEBT_TO_TOT_EQY","FY 2009","FY 2009","Currency=INR","Period=FY","BEST_FPERIOD_OVERRIDE=FY","FILING_STATUS=MR","EQY_CONSOLIDATED=Y","ACCOUNTING_STANDARD_OVERRIDE=MIXED","Sort=A","Dates=H","DateFormat=P","Fill=—","Direction=H","UseDPDF=Y")</f>
        <v>0.31819999999999998</v>
      </c>
      <c r="I12" s="18">
        <f>_xll.BDH("TCS IN Equity","LT_DEBT_TO_TOT_EQY","FY 2010","FY 2010","Currency=INR","Period=FY","BEST_FPERIOD_OVERRIDE=FY","FILING_STATUS=MR","EQY_CONSOLIDATED=Y","ACCOUNTING_STANDARD_OVERRIDE=MIXED","Sort=A","Dates=H","DateFormat=P","Fill=—","Direction=H","UseDPDF=Y")</f>
        <v>0.2387</v>
      </c>
      <c r="J12" s="18">
        <f>_xll.BDH("TCS IN Equity","LT_DEBT_TO_TOT_EQY","FY 2011","FY 2011","Currency=INR","Period=FY","BEST_FPERIOD_OVERRIDE=FY","FILING_STATUS=MR","EQY_CONSOLIDATED=Y","ACCOUNTING_STANDARD_OVERRIDE=MIXED","Sort=A","Dates=H","DateFormat=P","Fill=—","Direction=H","UseDPDF=Y")</f>
        <v>0.151</v>
      </c>
      <c r="K12" s="18">
        <f>_xll.BDH("TCS IN Equity","LT_DEBT_TO_TOT_EQY","FY 2012","FY 2012","Currency=INR","Period=FY","BEST_FPERIOD_OVERRIDE=FY","FILING_STATUS=MR","EQY_CONSOLIDATED=Y","ACCOUNTING_STANDARD_OVERRIDE=MIXED","Sort=A","Dates=H","DateFormat=P","Fill=—","Direction=H","UseDPDF=Y")</f>
        <v>0.38279999999999997</v>
      </c>
      <c r="L12" s="18">
        <f>_xll.BDH("TCS IN Equity","LT_DEBT_TO_TOT_EQY","FY 2013","FY 2013","Currency=INR","Period=FY","BEST_FPERIOD_OVERRIDE=FY","FILING_STATUS=MR","EQY_CONSOLIDATED=Y","ACCOUNTING_STANDARD_OVERRIDE=MIXED","Sort=A","Dates=H","DateFormat=P","Fill=—","Direction=H","UseDPDF=Y")</f>
        <v>0.33289999999999997</v>
      </c>
      <c r="M12" s="18">
        <f>_xll.BDH("TCS IN Equity","LT_DEBT_TO_TOT_EQY","FY 2014","FY 2014","Currency=INR","Period=FY","BEST_FPERIOD_OVERRIDE=FY","FILING_STATUS=MR","EQY_CONSOLIDATED=Y","ACCOUNTING_STANDARD_OVERRIDE=MIXED","Sort=A","Dates=H","DateFormat=P","Fill=—","Direction=H","UseDPDF=Y")</f>
        <v>0.2271</v>
      </c>
      <c r="N12" s="18">
        <f>_xll.BDH("TCS IN Equity","LT_DEBT_TO_TOT_EQY","FY 2015","FY 2015","Currency=INR","Period=FY","BEST_FPERIOD_OVERRIDE=FY","FILING_STATUS=MR","EQY_CONSOLIDATED=Y","ACCOUNTING_STANDARD_OVERRIDE=MIXED","Sort=A","Dates=H","DateFormat=P","Fill=—","Direction=H","UseDPDF=Y")</f>
        <v>0.2208</v>
      </c>
      <c r="O12" s="18">
        <f>_xll.BDH("TCS IN Equity","LT_DEBT_TO_TOT_EQY","FY 2016","FY 2016","Currency=INR","Period=FY","BEST_FPERIOD_OVERRIDE=FY","FILING_STATUS=MR","EQY_CONSOLIDATED=Y","ACCOUNTING_STANDARD_OVERRIDE=MIXED","Sort=A","Dates=H","DateFormat=P","Fill=—","Direction=H","UseDPDF=Y")</f>
        <v>0.1129</v>
      </c>
      <c r="P12" s="18">
        <f>_xll.BDH("TCS IN Equity","LT_DEBT_TO_TOT_EQY","FY 2017","FY 2017","Currency=INR","Period=FY","BEST_FPERIOD_OVERRIDE=FY","FILING_STATUS=MR","EQY_CONSOLIDATED=Y","ACCOUNTING_STANDARD_OVERRIDE=MIXED","Sort=A","Dates=H","DateFormat=P","Fill=—","Direction=H","UseDPDF=Y")</f>
        <v>8.0100000000000005E-2</v>
      </c>
      <c r="Q12" s="18">
        <f>_xll.BDH("TCS IN Equity","LT_DEBT_TO_TOT_EQY","FY 2018","FY 2018","Currency=INR","Period=FY","BEST_FPERIOD_OVERRIDE=FY","FILING_STATUS=MR","EQY_CONSOLIDATED=Y","ACCOUNTING_STANDARD_OVERRIDE=MIXED","Sort=A","Dates=H","DateFormat=P","Fill=—","Direction=H","UseDPDF=Y")</f>
        <v>6.1600000000000002E-2</v>
      </c>
      <c r="R12" s="18">
        <f>_xll.BDH("TCS IN Equity","LT_DEBT_TO_TOT_EQY","FY 2019","FY 2019","Currency=INR","Period=FY","BEST_FPERIOD_OVERRIDE=FY","FILING_STATUS=MR","EQY_CONSOLIDATED=Y","ACCOUNTING_STANDARD_OVERRIDE=MIXED","Sort=A","Dates=H","DateFormat=P","Fill=—","Direction=H","UseDPDF=Y")</f>
        <v>4.7800000000000002E-2</v>
      </c>
      <c r="S12" s="18">
        <f>_xll.BDH("TCS IN Equity","LT_DEBT_TO_TOT_EQY","FY 2020","FY 2020","Currency=INR","Period=FY","BEST_FPERIOD_OVERRIDE=FY","FILING_STATUS=MR","EQY_CONSOLIDATED=Y","ACCOUNTING_STANDARD_OVERRIDE=MIXED","Sort=A","Dates=H","DateFormat=P","Fill=—","Direction=H","UseDPDF=Y")</f>
        <v>8.1487999999999996</v>
      </c>
      <c r="T12" s="18">
        <f>_xll.BDH("TCS IN Equity","LT_DEBT_TO_TOT_EQY","FY 2021","FY 2021","Currency=INR","Period=FY","BEST_FPERIOD_OVERRIDE=FY","FILING_STATUS=MR","EQY_CONSOLIDATED=Y","ACCOUNTING_STANDARD_OVERRIDE=MIXED","Sort=A","Dates=H","DateFormat=P","Fill=—","Direction=H","UseDPDF=Y")</f>
        <v>7.2878999999999996</v>
      </c>
      <c r="U12" s="18">
        <f>_xll.BDH("TCS IN Equity","LT_DEBT_TO_TOT_EQY","FY 2022","FY 2022","Currency=INR","Period=FY","BEST_FPERIOD_OVERRIDE=FY","FILING_STATUS=MR","EQY_CONSOLIDATED=Y","ACCOUNTING_STANDARD_OVERRIDE=MIXED","Sort=A","Dates=H","DateFormat=P","Fill=—","Direction=H","UseDPDF=Y")</f>
        <v>7.0876999999999999</v>
      </c>
      <c r="V12" s="18">
        <f>_xll.BDH("TCS IN Equity","LT_DEBT_TO_TOT_EQY","FY 2023","FY 2023","Currency=INR","Period=FY","BEST_FPERIOD_OVERRIDE=FY","FILING_STATUS=MR","EQY_CONSOLIDATED=Y","ACCOUNTING_STANDARD_OVERRIDE=MIXED","Sort=A","Dates=H","DateFormat=P","Fill=—","Direction=H","UseDPDF=Y")</f>
        <v>6.6467000000000001</v>
      </c>
    </row>
    <row r="13" spans="1:22" x14ac:dyDescent="0.25">
      <c r="A13" s="3" t="s">
        <v>91</v>
      </c>
      <c r="B13" s="3" t="s">
        <v>92</v>
      </c>
      <c r="C13" s="18">
        <f>_xll.BDH("TCS IN Equity","LT_DEBT_TO_TOT_CAP","FY 2004","FY 2004","Currency=INR","Period=FY","BEST_FPERIOD_OVERRIDE=FY","FILING_STATUS=MR","EQY_CONSOLIDATED=Y","ACCOUNTING_STANDARD_OVERRIDE=MIXED","Sort=A","Dates=H","DateFormat=P","Fill=—","Direction=H","UseDPDF=Y")</f>
        <v>0.24890000000000001</v>
      </c>
      <c r="D13" s="18">
        <f>_xll.BDH("TCS IN Equity","LT_DEBT_TO_TOT_CAP","FY 2005","FY 2005","Currency=INR","Period=FY","BEST_FPERIOD_OVERRIDE=FY","FILING_STATUS=MR","EQY_CONSOLIDATED=Y","ACCOUNTING_STANDARD_OVERRIDE=MIXED","Sort=A","Dates=H","DateFormat=P","Fill=—","Direction=H","UseDPDF=Y")</f>
        <v>4.4561999999999999</v>
      </c>
      <c r="E13" s="18">
        <f>_xll.BDH("TCS IN Equity","LT_DEBT_TO_TOT_CAP","FY 2006","FY 2006","Currency=INR","Period=FY","BEST_FPERIOD_OVERRIDE=FY","FILING_STATUS=MR","EQY_CONSOLIDATED=Y","ACCOUNTING_STANDARD_OVERRIDE=MIXED","Sort=A","Dates=H","DateFormat=P","Fill=—","Direction=H","UseDPDF=Y")</f>
        <v>0.50570000000000004</v>
      </c>
      <c r="F13" s="18">
        <f>_xll.BDH("TCS IN Equity","LT_DEBT_TO_TOT_CAP","FY 2007","FY 2007","Currency=INR","Period=FY","BEST_FPERIOD_OVERRIDE=FY","FILING_STATUS=MR","EQY_CONSOLIDATED=Y","ACCOUNTING_STANDARD_OVERRIDE=MIXED","Sort=A","Dates=H","DateFormat=P","Fill=—","Direction=H","UseDPDF=Y")</f>
        <v>5.2958999999999996</v>
      </c>
      <c r="G13" s="18">
        <f>_xll.BDH("TCS IN Equity","LT_DEBT_TO_TOT_CAP","FY 2008","FY 2008","Currency=INR","Period=FY","BEST_FPERIOD_OVERRIDE=FY","FILING_STATUS=MR","EQY_CONSOLIDATED=Y","ACCOUNTING_STANDARD_OVERRIDE=MIXED","Sort=A","Dates=H","DateFormat=P","Fill=—","Direction=H","UseDPDF=Y")</f>
        <v>3.5028000000000001</v>
      </c>
      <c r="H13" s="18">
        <f>_xll.BDH("TCS IN Equity","LT_DEBT_TO_TOT_CAP","FY 2009","FY 2009","Currency=INR","Period=FY","BEST_FPERIOD_OVERRIDE=FY","FILING_STATUS=MR","EQY_CONSOLIDATED=Y","ACCOUNTING_STANDARD_OVERRIDE=MIXED","Sort=A","Dates=H","DateFormat=P","Fill=—","Direction=H","UseDPDF=Y")</f>
        <v>0.30740000000000001</v>
      </c>
      <c r="I13" s="18">
        <f>_xll.BDH("TCS IN Equity","LT_DEBT_TO_TOT_CAP","FY 2010","FY 2010","Currency=INR","Period=FY","BEST_FPERIOD_OVERRIDE=FY","FILING_STATUS=MR","EQY_CONSOLIDATED=Y","ACCOUNTING_STANDARD_OVERRIDE=MIXED","Sort=A","Dates=H","DateFormat=P","Fill=—","Direction=H","UseDPDF=Y")</f>
        <v>0.2374</v>
      </c>
      <c r="J13" s="18">
        <f>_xll.BDH("TCS IN Equity","LT_DEBT_TO_TOT_CAP","FY 2011","FY 2011","Currency=INR","Period=FY","BEST_FPERIOD_OVERRIDE=FY","FILING_STATUS=MR","EQY_CONSOLIDATED=Y","ACCOUNTING_STANDARD_OVERRIDE=MIXED","Sort=A","Dates=H","DateFormat=P","Fill=—","Direction=H","UseDPDF=Y")</f>
        <v>0.15060000000000001</v>
      </c>
      <c r="K13" s="18">
        <f>_xll.BDH("TCS IN Equity","LT_DEBT_TO_TOT_CAP","FY 2012","FY 2012","Currency=INR","Period=FY","BEST_FPERIOD_OVERRIDE=FY","FILING_STATUS=MR","EQY_CONSOLIDATED=Y","ACCOUNTING_STANDARD_OVERRIDE=MIXED","Sort=A","Dates=H","DateFormat=P","Fill=—","Direction=H","UseDPDF=Y")</f>
        <v>0.38119999999999998</v>
      </c>
      <c r="L13" s="18">
        <f>_xll.BDH("TCS IN Equity","LT_DEBT_TO_TOT_CAP","FY 2013","FY 2013","Currency=INR","Period=FY","BEST_FPERIOD_OVERRIDE=FY","FILING_STATUS=MR","EQY_CONSOLIDATED=Y","ACCOUNTING_STANDARD_OVERRIDE=MIXED","Sort=A","Dates=H","DateFormat=P","Fill=—","Direction=H","UseDPDF=Y")</f>
        <v>0.33100000000000002</v>
      </c>
      <c r="M13" s="18">
        <f>_xll.BDH("TCS IN Equity","LT_DEBT_TO_TOT_CAP","FY 2014","FY 2014","Currency=INR","Period=FY","BEST_FPERIOD_OVERRIDE=FY","FILING_STATUS=MR","EQY_CONSOLIDATED=Y","ACCOUNTING_STANDARD_OVERRIDE=MIXED","Sort=A","Dates=H","DateFormat=P","Fill=—","Direction=H","UseDPDF=Y")</f>
        <v>0.22589999999999999</v>
      </c>
      <c r="N13" s="18">
        <f>_xll.BDH("TCS IN Equity","LT_DEBT_TO_TOT_CAP","FY 2015","FY 2015","Currency=INR","Period=FY","BEST_FPERIOD_OVERRIDE=FY","FILING_STATUS=MR","EQY_CONSOLIDATED=Y","ACCOUNTING_STANDARD_OVERRIDE=MIXED","Sort=A","Dates=H","DateFormat=P","Fill=—","Direction=H","UseDPDF=Y")</f>
        <v>0.21920000000000001</v>
      </c>
      <c r="O13" s="18">
        <f>_xll.BDH("TCS IN Equity","LT_DEBT_TO_TOT_CAP","FY 2016","FY 2016","Currency=INR","Period=FY","BEST_FPERIOD_OVERRIDE=FY","FILING_STATUS=MR","EQY_CONSOLIDATED=Y","ACCOUNTING_STANDARD_OVERRIDE=MIXED","Sort=A","Dates=H","DateFormat=P","Fill=—","Direction=H","UseDPDF=Y")</f>
        <v>0.1125</v>
      </c>
      <c r="P13" s="18">
        <f>_xll.BDH("TCS IN Equity","LT_DEBT_TO_TOT_CAP","FY 2017","FY 2017","Currency=INR","Period=FY","BEST_FPERIOD_OVERRIDE=FY","FILING_STATUS=MR","EQY_CONSOLIDATED=Y","ACCOUNTING_STANDARD_OVERRIDE=MIXED","Sort=A","Dates=H","DateFormat=P","Fill=—","Direction=H","UseDPDF=Y")</f>
        <v>7.9799999999999996E-2</v>
      </c>
      <c r="Q13" s="18">
        <f>_xll.BDH("TCS IN Equity","LT_DEBT_TO_TOT_CAP","FY 2018","FY 2018","Currency=INR","Period=FY","BEST_FPERIOD_OVERRIDE=FY","FILING_STATUS=MR","EQY_CONSOLIDATED=Y","ACCOUNTING_STANDARD_OVERRIDE=MIXED","Sort=A","Dates=H","DateFormat=P","Fill=—","Direction=H","UseDPDF=Y")</f>
        <v>6.1400000000000003E-2</v>
      </c>
      <c r="R13" s="18">
        <f>_xll.BDH("TCS IN Equity","LT_DEBT_TO_TOT_CAP","FY 2019","FY 2019","Currency=INR","Period=FY","BEST_FPERIOD_OVERRIDE=FY","FILING_STATUS=MR","EQY_CONSOLIDATED=Y","ACCOUNTING_STANDARD_OVERRIDE=MIXED","Sort=A","Dates=H","DateFormat=P","Fill=—","Direction=H","UseDPDF=Y")</f>
        <v>4.7800000000000002E-2</v>
      </c>
      <c r="S13" s="18">
        <f>_xll.BDH("TCS IN Equity","LT_DEBT_TO_TOT_CAP","FY 2020","FY 2020","Currency=INR","Period=FY","BEST_FPERIOD_OVERRIDE=FY","FILING_STATUS=MR","EQY_CONSOLIDATED=Y","ACCOUNTING_STANDARD_OVERRIDE=MIXED","Sort=A","Dates=H","DateFormat=P","Fill=—","Direction=H","UseDPDF=Y")</f>
        <v>7.4318</v>
      </c>
      <c r="T13" s="18">
        <f>_xll.BDH("TCS IN Equity","LT_DEBT_TO_TOT_CAP","FY 2021","FY 2021","Currency=INR","Period=FY","BEST_FPERIOD_OVERRIDE=FY","FILING_STATUS=MR","EQY_CONSOLIDATED=Y","ACCOUNTING_STANDARD_OVERRIDE=MIXED","Sort=A","Dates=H","DateFormat=P","Fill=—","Direction=H","UseDPDF=Y")</f>
        <v>6.7023999999999999</v>
      </c>
      <c r="U13" s="18">
        <f>_xll.BDH("TCS IN Equity","LT_DEBT_TO_TOT_CAP","FY 2022","FY 2022","Currency=INR","Period=FY","BEST_FPERIOD_OVERRIDE=FY","FILING_STATUS=MR","EQY_CONSOLIDATED=Y","ACCOUNTING_STANDARD_OVERRIDE=MIXED","Sort=A","Dates=H","DateFormat=P","Fill=—","Direction=H","UseDPDF=Y")</f>
        <v>6.5202999999999998</v>
      </c>
      <c r="V13" s="18">
        <f>_xll.BDH("TCS IN Equity","LT_DEBT_TO_TOT_CAP","FY 2023","FY 2023","Currency=INR","Period=FY","BEST_FPERIOD_OVERRIDE=FY","FILING_STATUS=MR","EQY_CONSOLIDATED=Y","ACCOUNTING_STANDARD_OVERRIDE=MIXED","Sort=A","Dates=H","DateFormat=P","Fill=—","Direction=H","UseDPDF=Y")</f>
        <v>6.1409000000000002</v>
      </c>
    </row>
    <row r="14" spans="1:22" x14ac:dyDescent="0.25">
      <c r="A14" s="3" t="s">
        <v>93</v>
      </c>
      <c r="B14" s="3" t="s">
        <v>94</v>
      </c>
      <c r="C14" s="18">
        <f>_xll.BDH("TCS IN Equity","LT_DEBT_TO_TOT_ASSET","FY 2004","FY 2004","Currency=INR","Period=FY","BEST_FPERIOD_OVERRIDE=FY","FILING_STATUS=MR","EQY_CONSOLIDATED=Y","ACCOUNTING_STANDARD_OVERRIDE=MIXED","Sort=A","Dates=H","DateFormat=P","Fill=—","Direction=H","UseDPDF=Y")</f>
        <v>0.18740000000000001</v>
      </c>
      <c r="D14" s="18">
        <f>_xll.BDH("TCS IN Equity","LT_DEBT_TO_TOT_ASSET","FY 2005","FY 2005","Currency=INR","Period=FY","BEST_FPERIOD_OVERRIDE=FY","FILING_STATUS=MR","EQY_CONSOLIDATED=Y","ACCOUNTING_STANDARD_OVERRIDE=MIXED","Sort=A","Dates=H","DateFormat=P","Fill=—","Direction=H","UseDPDF=Y")</f>
        <v>3.1760999999999999</v>
      </c>
      <c r="E14" s="18">
        <f>_xll.BDH("TCS IN Equity","LT_DEBT_TO_TOT_ASSET","FY 2006","FY 2006","Currency=INR","Period=FY","BEST_FPERIOD_OVERRIDE=FY","FILING_STATUS=MR","EQY_CONSOLIDATED=Y","ACCOUNTING_STANDARD_OVERRIDE=MIXED","Sort=A","Dates=H","DateFormat=P","Fill=—","Direction=H","UseDPDF=Y")</f>
        <v>0.3836</v>
      </c>
      <c r="F14" s="18">
        <f>_xll.BDH("TCS IN Equity","LT_DEBT_TO_TOT_ASSET","FY 2007","FY 2007","Currency=INR","Period=FY","BEST_FPERIOD_OVERRIDE=FY","FILING_STATUS=MR","EQY_CONSOLIDATED=Y","ACCOUNTING_STANDARD_OVERRIDE=MIXED","Sort=A","Dates=H","DateFormat=P","Fill=—","Direction=H","UseDPDF=Y")</f>
        <v>3.843</v>
      </c>
      <c r="G14" s="18">
        <f>_xll.BDH("TCS IN Equity","LT_DEBT_TO_TOT_ASSET","FY 2008","FY 2008","Currency=INR","Period=FY","BEST_FPERIOD_OVERRIDE=FY","FILING_STATUS=MR","EQY_CONSOLIDATED=Y","ACCOUNTING_STANDARD_OVERRIDE=MIXED","Sort=A","Dates=H","DateFormat=P","Fill=—","Direction=H","UseDPDF=Y")</f>
        <v>2.5903999999999998</v>
      </c>
      <c r="H14" s="18">
        <f>_xll.BDH("TCS IN Equity","LT_DEBT_TO_TOT_ASSET","FY 2009","FY 2009","Currency=INR","Period=FY","BEST_FPERIOD_OVERRIDE=FY","FILING_STATUS=MR","EQY_CONSOLIDATED=Y","ACCOUNTING_STANDARD_OVERRIDE=MIXED","Sort=A","Dates=H","DateFormat=P","Fill=—","Direction=H","UseDPDF=Y")</f>
        <v>0.22459999999999999</v>
      </c>
      <c r="I14" s="18">
        <f>_xll.BDH("TCS IN Equity","LT_DEBT_TO_TOT_ASSET","FY 2010","FY 2010","Currency=INR","Period=FY","BEST_FPERIOD_OVERRIDE=FY","FILING_STATUS=MR","EQY_CONSOLIDATED=Y","ACCOUNTING_STANDARD_OVERRIDE=MIXED","Sort=A","Dates=H","DateFormat=P","Fill=—","Direction=H","UseDPDF=Y")</f>
        <v>0.16400000000000001</v>
      </c>
      <c r="J14" s="18">
        <f>_xll.BDH("TCS IN Equity","LT_DEBT_TO_TOT_ASSET","FY 2011","FY 2011","Currency=INR","Period=FY","BEST_FPERIOD_OVERRIDE=FY","FILING_STATUS=MR","EQY_CONSOLIDATED=Y","ACCOUNTING_STANDARD_OVERRIDE=MIXED","Sort=A","Dates=H","DateFormat=P","Fill=—","Direction=H","UseDPDF=Y")</f>
        <v>0.1154</v>
      </c>
      <c r="K14" s="18">
        <f>_xll.BDH("TCS IN Equity","LT_DEBT_TO_TOT_ASSET","FY 2012","FY 2012","Currency=INR","Period=FY","BEST_FPERIOD_OVERRIDE=FY","FILING_STATUS=MR","EQY_CONSOLIDATED=Y","ACCOUNTING_STANDARD_OVERRIDE=MIXED","Sort=A","Dates=H","DateFormat=P","Fill=—","Direction=H","UseDPDF=Y")</f>
        <v>0.27910000000000001</v>
      </c>
      <c r="L14" s="18">
        <f>_xll.BDH("TCS IN Equity","LT_DEBT_TO_TOT_ASSET","FY 2013","FY 2013","Currency=INR","Period=FY","BEST_FPERIOD_OVERRIDE=FY","FILING_STATUS=MR","EQY_CONSOLIDATED=Y","ACCOUNTING_STANDARD_OVERRIDE=MIXED","Sort=A","Dates=H","DateFormat=P","Fill=—","Direction=H","UseDPDF=Y")</f>
        <v>0.25109999999999999</v>
      </c>
      <c r="M14" s="18">
        <f>_xll.BDH("TCS IN Equity","LT_DEBT_TO_TOT_ASSET","FY 2014","FY 2014","Currency=INR","Period=FY","BEST_FPERIOD_OVERRIDE=FY","FILING_STATUS=MR","EQY_CONSOLIDATED=Y","ACCOUNTING_STANDARD_OVERRIDE=MIXED","Sort=A","Dates=H","DateFormat=P","Fill=—","Direction=H","UseDPDF=Y")</f>
        <v>0.1847</v>
      </c>
      <c r="N14" s="18">
        <f>_xll.BDH("TCS IN Equity","LT_DEBT_TO_TOT_ASSET","FY 2015","FY 2015","Currency=INR","Period=FY","BEST_FPERIOD_OVERRIDE=FY","FILING_STATUS=MR","EQY_CONSOLIDATED=Y","ACCOUNTING_STANDARD_OVERRIDE=MIXED","Sort=A","Dates=H","DateFormat=P","Fill=—","Direction=H","UseDPDF=Y")</f>
        <v>0.15509999999999999</v>
      </c>
      <c r="O14" s="18">
        <f>_xll.BDH("TCS IN Equity","LT_DEBT_TO_TOT_ASSET","FY 2016","FY 2016","Currency=INR","Period=FY","BEST_FPERIOD_OVERRIDE=FY","FILING_STATUS=MR","EQY_CONSOLIDATED=Y","ACCOUNTING_STANDARD_OVERRIDE=MIXED","Sort=A","Dates=H","DateFormat=P","Fill=—","Direction=H","UseDPDF=Y")</f>
        <v>9.0999999999999998E-2</v>
      </c>
      <c r="P14" s="18">
        <f>_xll.BDH("TCS IN Equity","LT_DEBT_TO_TOT_ASSET","FY 2017","FY 2017","Currency=INR","Period=FY","BEST_FPERIOD_OVERRIDE=FY","FILING_STATUS=MR","EQY_CONSOLIDATED=Y","ACCOUNTING_STANDARD_OVERRIDE=MIXED","Sort=A","Dates=H","DateFormat=P","Fill=—","Direction=H","UseDPDF=Y")</f>
        <v>6.7400000000000002E-2</v>
      </c>
      <c r="Q14" s="18">
        <f>_xll.BDH("TCS IN Equity","LT_DEBT_TO_TOT_ASSET","FY 2018","FY 2018","Currency=INR","Period=FY","BEST_FPERIOD_OVERRIDE=FY","FILING_STATUS=MR","EQY_CONSOLIDATED=Y","ACCOUNTING_STANDARD_OVERRIDE=MIXED","Sort=A","Dates=H","DateFormat=P","Fill=—","Direction=H","UseDPDF=Y")</f>
        <v>4.9799999999999997E-2</v>
      </c>
      <c r="R14" s="18">
        <f>_xll.BDH("TCS IN Equity","LT_DEBT_TO_TOT_ASSET","FY 2019","FY 2019","Currency=INR","Period=FY","BEST_FPERIOD_OVERRIDE=FY","FILING_STATUS=MR","EQY_CONSOLIDATED=Y","ACCOUNTING_STANDARD_OVERRIDE=MIXED","Sort=A","Dates=H","DateFormat=P","Fill=—","Direction=H","UseDPDF=Y")</f>
        <v>3.7600000000000001E-2</v>
      </c>
      <c r="S14" s="18">
        <f>_xll.BDH("TCS IN Equity","LT_DEBT_TO_TOT_ASSET","FY 2020","FY 2020","Currency=INR","Period=FY","BEST_FPERIOD_OVERRIDE=FY","FILING_STATUS=MR","EQY_CONSOLIDATED=Y","ACCOUNTING_STANDARD_OVERRIDE=MIXED","Sort=A","Dates=H","DateFormat=P","Fill=—","Direction=H","UseDPDF=Y")</f>
        <v>5.7122000000000002</v>
      </c>
      <c r="T14" s="18">
        <f>_xll.BDH("TCS IN Equity","LT_DEBT_TO_TOT_ASSET","FY 2021","FY 2021","Currency=INR","Period=FY","BEST_FPERIOD_OVERRIDE=FY","FILING_STATUS=MR","EQY_CONSOLIDATED=Y","ACCOUNTING_STANDARD_OVERRIDE=MIXED","Sort=A","Dates=H","DateFormat=P","Fill=—","Direction=H","UseDPDF=Y")</f>
        <v>4.8939000000000004</v>
      </c>
      <c r="U14" s="18">
        <f>_xll.BDH("TCS IN Equity","LT_DEBT_TO_TOT_ASSET","FY 2022","FY 2022","Currency=INR","Period=FY","BEST_FPERIOD_OVERRIDE=FY","FILING_STATUS=MR","EQY_CONSOLIDATED=Y","ACCOUNTING_STANDARD_OVERRIDE=MIXED","Sort=A","Dates=H","DateFormat=P","Fill=—","Direction=H","UseDPDF=Y")</f>
        <v>4.4999000000000002</v>
      </c>
      <c r="V14" s="18">
        <f>_xll.BDH("TCS IN Equity","LT_DEBT_TO_TOT_ASSET","FY 2023","FY 2023","Currency=INR","Period=FY","BEST_FPERIOD_OVERRIDE=FY","FILING_STATUS=MR","EQY_CONSOLIDATED=Y","ACCOUNTING_STANDARD_OVERRIDE=MIXED","Sort=A","Dates=H","DateFormat=P","Fill=—","Direction=H","UseDPDF=Y")</f>
        <v>4.2553999999999998</v>
      </c>
    </row>
    <row r="15" spans="1:22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5">
      <c r="A16" s="3" t="s">
        <v>95</v>
      </c>
      <c r="B16" s="3" t="s">
        <v>96</v>
      </c>
      <c r="C16" s="18">
        <f>_xll.BDH("TCS IN Equity","TOT_DEBT_TO_TOT_EQY","FY 2004","FY 2004","Currency=INR","Period=FY","BEST_FPERIOD_OVERRIDE=FY","FILING_STATUS=MR","EQY_CONSOLIDATED=Y","ACCOUNTING_STANDARD_OVERRIDE=MIXED","Sort=A","Dates=H","DateFormat=P","Fill=—","Direction=H","UseDPDF=Y")</f>
        <v>36.669899999999998</v>
      </c>
      <c r="D16" s="18">
        <f>_xll.BDH("TCS IN Equity","TOT_DEBT_TO_TOT_EQY","FY 2005","FY 2005","Currency=INR","Period=FY","BEST_FPERIOD_OVERRIDE=FY","FILING_STATUS=MR","EQY_CONSOLIDATED=Y","ACCOUNTING_STANDARD_OVERRIDE=MIXED","Sort=A","Dates=H","DateFormat=P","Fill=—","Direction=H","UseDPDF=Y")</f>
        <v>5.6909000000000001</v>
      </c>
      <c r="E16" s="18">
        <f>_xll.BDH("TCS IN Equity","TOT_DEBT_TO_TOT_EQY","FY 2006","FY 2006","Currency=INR","Period=FY","BEST_FPERIOD_OVERRIDE=FY","FILING_STATUS=MR","EQY_CONSOLIDATED=Y","ACCOUNTING_STANDARD_OVERRIDE=MIXED","Sort=A","Dates=H","DateFormat=P","Fill=—","Direction=H","UseDPDF=Y")</f>
        <v>0.93469999999999998</v>
      </c>
      <c r="F16" s="18">
        <f>_xll.BDH("TCS IN Equity","TOT_DEBT_TO_TOT_EQY","FY 2007","FY 2007","Currency=INR","Period=FY","BEST_FPERIOD_OVERRIDE=FY","FILING_STATUS=MR","EQY_CONSOLIDATED=Y","ACCOUNTING_STANDARD_OVERRIDE=MIXED","Sort=A","Dates=H","DateFormat=P","Fill=—","Direction=H","UseDPDF=Y")</f>
        <v>5.5921000000000003</v>
      </c>
      <c r="G16" s="18">
        <f>_xll.BDH("TCS IN Equity","TOT_DEBT_TO_TOT_EQY","FY 2008","FY 2008","Currency=INR","Period=FY","BEST_FPERIOD_OVERRIDE=FY","FILING_STATUS=MR","EQY_CONSOLIDATED=Y","ACCOUNTING_STANDARD_OVERRIDE=MIXED","Sort=A","Dates=H","DateFormat=P","Fill=—","Direction=H","UseDPDF=Y")</f>
        <v>3.8157999999999999</v>
      </c>
      <c r="H16" s="18">
        <f>_xll.BDH("TCS IN Equity","TOT_DEBT_TO_TOT_EQY","FY 2009","FY 2009","Currency=INR","Period=FY","BEST_FPERIOD_OVERRIDE=FY","FILING_STATUS=MR","EQY_CONSOLIDATED=Y","ACCOUNTING_STANDARD_OVERRIDE=MIXED","Sort=A","Dates=H","DateFormat=P","Fill=—","Direction=H","UseDPDF=Y")</f>
        <v>3.5293000000000001</v>
      </c>
      <c r="I16" s="18">
        <f>_xll.BDH("TCS IN Equity","TOT_DEBT_TO_TOT_EQY","FY 2010","FY 2010","Currency=INR","Period=FY","BEST_FPERIOD_OVERRIDE=FY","FILING_STATUS=MR","EQY_CONSOLIDATED=Y","ACCOUNTING_STANDARD_OVERRIDE=MIXED","Sort=A","Dates=H","DateFormat=P","Fill=—","Direction=H","UseDPDF=Y")</f>
        <v>0.5484</v>
      </c>
      <c r="J16" s="18">
        <f>_xll.BDH("TCS IN Equity","TOT_DEBT_TO_TOT_EQY","FY 2011","FY 2011","Currency=INR","Period=FY","BEST_FPERIOD_OVERRIDE=FY","FILING_STATUS=MR","EQY_CONSOLIDATED=Y","ACCOUNTING_STANDARD_OVERRIDE=MIXED","Sort=A","Dates=H","DateFormat=P","Fill=—","Direction=H","UseDPDF=Y")</f>
        <v>0.29959999999999998</v>
      </c>
      <c r="K16" s="18">
        <f>_xll.BDH("TCS IN Equity","TOT_DEBT_TO_TOT_EQY","FY 2012","FY 2012","Currency=INR","Period=FY","BEST_FPERIOD_OVERRIDE=FY","FILING_STATUS=MR","EQY_CONSOLIDATED=Y","ACCOUNTING_STANDARD_OVERRIDE=MIXED","Sort=A","Dates=H","DateFormat=P","Fill=—","Direction=H","UseDPDF=Y")</f>
        <v>0.4199</v>
      </c>
      <c r="L16" s="18">
        <f>_xll.BDH("TCS IN Equity","TOT_DEBT_TO_TOT_EQY","FY 2013","FY 2013","Currency=INR","Period=FY","BEST_FPERIOD_OVERRIDE=FY","FILING_STATUS=MR","EQY_CONSOLIDATED=Y","ACCOUNTING_STANDARD_OVERRIDE=MIXED","Sort=A","Dates=H","DateFormat=P","Fill=—","Direction=H","UseDPDF=Y")</f>
        <v>0.59040000000000004</v>
      </c>
      <c r="M16" s="18">
        <f>_xll.BDH("TCS IN Equity","TOT_DEBT_TO_TOT_EQY","FY 2014","FY 2014","Currency=INR","Period=FY","BEST_FPERIOD_OVERRIDE=FY","FILING_STATUS=MR","EQY_CONSOLIDATED=Y","ACCOUNTING_STANDARD_OVERRIDE=MIXED","Sort=A","Dates=H","DateFormat=P","Fill=—","Direction=H","UseDPDF=Y")</f>
        <v>0.52990000000000004</v>
      </c>
      <c r="N16" s="18">
        <f>_xll.BDH("TCS IN Equity","TOT_DEBT_TO_TOT_EQY","FY 2015","FY 2015","Currency=INR","Period=FY","BEST_FPERIOD_OVERRIDE=FY","FILING_STATUS=MR","EQY_CONSOLIDATED=Y","ACCOUNTING_STANDARD_OVERRIDE=MIXED","Sort=A","Dates=H","DateFormat=P","Fill=—","Direction=H","UseDPDF=Y")</f>
        <v>0.69099999999999995</v>
      </c>
      <c r="O16" s="18">
        <f>_xll.BDH("TCS IN Equity","TOT_DEBT_TO_TOT_EQY","FY 2016","FY 2016","Currency=INR","Period=FY","BEST_FPERIOD_OVERRIDE=FY","FILING_STATUS=MR","EQY_CONSOLIDATED=Y","ACCOUNTING_STANDARD_OVERRIDE=MIXED","Sort=A","Dates=H","DateFormat=P","Fill=—","Direction=H","UseDPDF=Y")</f>
        <v>0.33310000000000001</v>
      </c>
      <c r="P16" s="18">
        <f>_xll.BDH("TCS IN Equity","TOT_DEBT_TO_TOT_EQY","FY 2017","FY 2017","Currency=INR","Period=FY","BEST_FPERIOD_OVERRIDE=FY","FILING_STATUS=MR","EQY_CONSOLIDATED=Y","ACCOUNTING_STANDARD_OVERRIDE=MIXED","Sort=A","Dates=H","DateFormat=P","Fill=—","Direction=H","UseDPDF=Y")</f>
        <v>0.32590000000000002</v>
      </c>
      <c r="Q16" s="18">
        <f>_xll.BDH("TCS IN Equity","TOT_DEBT_TO_TOT_EQY","FY 2018","FY 2018","Currency=INR","Period=FY","BEST_FPERIOD_OVERRIDE=FY","FILING_STATUS=MR","EQY_CONSOLIDATED=Y","ACCOUNTING_STANDARD_OVERRIDE=MIXED","Sort=A","Dates=H","DateFormat=P","Fill=—","Direction=H","UseDPDF=Y")</f>
        <v>0.28179999999999999</v>
      </c>
      <c r="R16" s="18">
        <f>_xll.BDH("TCS IN Equity","TOT_DEBT_TO_TOT_EQY","FY 2019","FY 2019","Currency=INR","Period=FY","BEST_FPERIOD_OVERRIDE=FY","FILING_STATUS=MR","EQY_CONSOLIDATED=Y","ACCOUNTING_STANDARD_OVERRIDE=MIXED","Sort=A","Dates=H","DateFormat=P","Fill=—","Direction=H","UseDPDF=Y")</f>
        <v>6.7400000000000002E-2</v>
      </c>
      <c r="S16" s="18">
        <f>_xll.BDH("TCS IN Equity","TOT_DEBT_TO_TOT_EQY","FY 2020","FY 2020","Currency=INR","Period=FY","BEST_FPERIOD_OVERRIDE=FY","FILING_STATUS=MR","EQY_CONSOLIDATED=Y","ACCOUNTING_STANDARD_OVERRIDE=MIXED","Sort=A","Dates=H","DateFormat=P","Fill=—","Direction=H","UseDPDF=Y")</f>
        <v>9.6472999999999995</v>
      </c>
      <c r="T16" s="18">
        <f>_xll.BDH("TCS IN Equity","TOT_DEBT_TO_TOT_EQY","FY 2021","FY 2021","Currency=INR","Period=FY","BEST_FPERIOD_OVERRIDE=FY","FILING_STATUS=MR","EQY_CONSOLIDATED=Y","ACCOUNTING_STANDARD_OVERRIDE=MIXED","Sort=A","Dates=H","DateFormat=P","Fill=—","Direction=H","UseDPDF=Y")</f>
        <v>8.7359000000000009</v>
      </c>
      <c r="U16" s="18">
        <f>_xll.BDH("TCS IN Equity","TOT_DEBT_TO_TOT_EQY","FY 2022","FY 2022","Currency=INR","Period=FY","BEST_FPERIOD_OVERRIDE=FY","FILING_STATUS=MR","EQY_CONSOLIDATED=Y","ACCOUNTING_STANDARD_OVERRIDE=MIXED","Sort=A","Dates=H","DateFormat=P","Fill=—","Direction=H","UseDPDF=Y")</f>
        <v>8.7015999999999991</v>
      </c>
      <c r="V16" s="18">
        <f>_xll.BDH("TCS IN Equity","TOT_DEBT_TO_TOT_EQY","FY 2023","FY 2023","Currency=INR","Period=FY","BEST_FPERIOD_OVERRIDE=FY","FILING_STATUS=MR","EQY_CONSOLIDATED=Y","ACCOUNTING_STANDARD_OVERRIDE=MIXED","Sort=A","Dates=H","DateFormat=P","Fill=—","Direction=H","UseDPDF=Y")</f>
        <v>8.2379999999999995</v>
      </c>
    </row>
    <row r="17" spans="1:22" x14ac:dyDescent="0.25">
      <c r="A17" s="3" t="s">
        <v>97</v>
      </c>
      <c r="B17" s="3" t="s">
        <v>98</v>
      </c>
      <c r="C17" s="18">
        <f>_xll.BDH("TCS IN Equity","TOT_DEBT_TO_TOT_CAP","FY 2004","FY 2004","Currency=INR","Period=FY","BEST_FPERIOD_OVERRIDE=FY","FILING_STATUS=MR","EQY_CONSOLIDATED=Y","ACCOUNTING_STANDARD_OVERRIDE=MIXED","Sort=A","Dates=H","DateFormat=P","Fill=—","Direction=H","UseDPDF=Y")</f>
        <v>26.831</v>
      </c>
      <c r="D17" s="18">
        <f>_xll.BDH("TCS IN Equity","TOT_DEBT_TO_TOT_CAP","FY 2005","FY 2005","Currency=INR","Period=FY","BEST_FPERIOD_OVERRIDE=FY","FILING_STATUS=MR","EQY_CONSOLIDATED=Y","ACCOUNTING_STANDARD_OVERRIDE=MIXED","Sort=A","Dates=H","DateFormat=P","Fill=—","Direction=H","UseDPDF=Y")</f>
        <v>5.3845000000000001</v>
      </c>
      <c r="E17" s="18">
        <f>_xll.BDH("TCS IN Equity","TOT_DEBT_TO_TOT_CAP","FY 2006","FY 2006","Currency=INR","Period=FY","BEST_FPERIOD_OVERRIDE=FY","FILING_STATUS=MR","EQY_CONSOLIDATED=Y","ACCOUNTING_STANDARD_OVERRIDE=MIXED","Sort=A","Dates=H","DateFormat=P","Fill=—","Direction=H","UseDPDF=Y")</f>
        <v>0.92600000000000005</v>
      </c>
      <c r="F17" s="18">
        <f>_xll.BDH("TCS IN Equity","TOT_DEBT_TO_TOT_CAP","FY 2007","FY 2007","Currency=INR","Period=FY","BEST_FPERIOD_OVERRIDE=FY","FILING_STATUS=MR","EQY_CONSOLIDATED=Y","ACCOUNTING_STANDARD_OVERRIDE=MIXED","Sort=A","Dates=H","DateFormat=P","Fill=—","Direction=H","UseDPDF=Y")</f>
        <v>5.2958999999999996</v>
      </c>
      <c r="G17" s="18">
        <f>_xll.BDH("TCS IN Equity","TOT_DEBT_TO_TOT_CAP","FY 2008","FY 2008","Currency=INR","Period=FY","BEST_FPERIOD_OVERRIDE=FY","FILING_STATUS=MR","EQY_CONSOLIDATED=Y","ACCOUNTING_STANDARD_OVERRIDE=MIXED","Sort=A","Dates=H","DateFormat=P","Fill=—","Direction=H","UseDPDF=Y")</f>
        <v>3.6755</v>
      </c>
      <c r="H17" s="18">
        <f>_xll.BDH("TCS IN Equity","TOT_DEBT_TO_TOT_CAP","FY 2009","FY 2009","Currency=INR","Period=FY","BEST_FPERIOD_OVERRIDE=FY","FILING_STATUS=MR","EQY_CONSOLIDATED=Y","ACCOUNTING_STANDARD_OVERRIDE=MIXED","Sort=A","Dates=H","DateFormat=P","Fill=—","Direction=H","UseDPDF=Y")</f>
        <v>3.4089999999999998</v>
      </c>
      <c r="I17" s="18">
        <f>_xll.BDH("TCS IN Equity","TOT_DEBT_TO_TOT_CAP","FY 2010","FY 2010","Currency=INR","Period=FY","BEST_FPERIOD_OVERRIDE=FY","FILING_STATUS=MR","EQY_CONSOLIDATED=Y","ACCOUNTING_STANDARD_OVERRIDE=MIXED","Sort=A","Dates=H","DateFormat=P","Fill=—","Direction=H","UseDPDF=Y")</f>
        <v>0.5454</v>
      </c>
      <c r="J17" s="18">
        <f>_xll.BDH("TCS IN Equity","TOT_DEBT_TO_TOT_CAP","FY 2011","FY 2011","Currency=INR","Period=FY","BEST_FPERIOD_OVERRIDE=FY","FILING_STATUS=MR","EQY_CONSOLIDATED=Y","ACCOUNTING_STANDARD_OVERRIDE=MIXED","Sort=A","Dates=H","DateFormat=P","Fill=—","Direction=H","UseDPDF=Y")</f>
        <v>0.29870000000000002</v>
      </c>
      <c r="K17" s="18">
        <f>_xll.BDH("TCS IN Equity","TOT_DEBT_TO_TOT_CAP","FY 2012","FY 2012","Currency=INR","Period=FY","BEST_FPERIOD_OVERRIDE=FY","FILING_STATUS=MR","EQY_CONSOLIDATED=Y","ACCOUNTING_STANDARD_OVERRIDE=MIXED","Sort=A","Dates=H","DateFormat=P","Fill=—","Direction=H","UseDPDF=Y")</f>
        <v>0.41810000000000003</v>
      </c>
      <c r="L17" s="18">
        <f>_xll.BDH("TCS IN Equity","TOT_DEBT_TO_TOT_CAP","FY 2013","FY 2013","Currency=INR","Period=FY","BEST_FPERIOD_OVERRIDE=FY","FILING_STATUS=MR","EQY_CONSOLIDATED=Y","ACCOUNTING_STANDARD_OVERRIDE=MIXED","Sort=A","Dates=H","DateFormat=P","Fill=—","Direction=H","UseDPDF=Y")</f>
        <v>0.58689999999999998</v>
      </c>
      <c r="M17" s="18">
        <f>_xll.BDH("TCS IN Equity","TOT_DEBT_TO_TOT_CAP","FY 2014","FY 2014","Currency=INR","Period=FY","BEST_FPERIOD_OVERRIDE=FY","FILING_STATUS=MR","EQY_CONSOLIDATED=Y","ACCOUNTING_STANDARD_OVERRIDE=MIXED","Sort=A","Dates=H","DateFormat=P","Fill=—","Direction=H","UseDPDF=Y")</f>
        <v>0.52710000000000001</v>
      </c>
      <c r="N17" s="18">
        <f>_xll.BDH("TCS IN Equity","TOT_DEBT_TO_TOT_CAP","FY 2015","FY 2015","Currency=INR","Period=FY","BEST_FPERIOD_OVERRIDE=FY","FILING_STATUS=MR","EQY_CONSOLIDATED=Y","ACCOUNTING_STANDARD_OVERRIDE=MIXED","Sort=A","Dates=H","DateFormat=P","Fill=—","Direction=H","UseDPDF=Y")</f>
        <v>0.68630000000000002</v>
      </c>
      <c r="O17" s="18">
        <f>_xll.BDH("TCS IN Equity","TOT_DEBT_TO_TOT_CAP","FY 2016","FY 2016","Currency=INR","Period=FY","BEST_FPERIOD_OVERRIDE=FY","FILING_STATUS=MR","EQY_CONSOLIDATED=Y","ACCOUNTING_STANDARD_OVERRIDE=MIXED","Sort=A","Dates=H","DateFormat=P","Fill=—","Direction=H","UseDPDF=Y")</f>
        <v>0.33200000000000002</v>
      </c>
      <c r="P17" s="18">
        <f>_xll.BDH("TCS IN Equity","TOT_DEBT_TO_TOT_CAP","FY 2017","FY 2017","Currency=INR","Period=FY","BEST_FPERIOD_OVERRIDE=FY","FILING_STATUS=MR","EQY_CONSOLIDATED=Y","ACCOUNTING_STANDARD_OVERRIDE=MIXED","Sort=A","Dates=H","DateFormat=P","Fill=—","Direction=H","UseDPDF=Y")</f>
        <v>0.32479999999999998</v>
      </c>
      <c r="Q17" s="18">
        <f>_xll.BDH("TCS IN Equity","TOT_DEBT_TO_TOT_CAP","FY 2018","FY 2018","Currency=INR","Period=FY","BEST_FPERIOD_OVERRIDE=FY","FILING_STATUS=MR","EQY_CONSOLIDATED=Y","ACCOUNTING_STANDARD_OVERRIDE=MIXED","Sort=A","Dates=H","DateFormat=P","Fill=—","Direction=H","UseDPDF=Y")</f>
        <v>0.28100000000000003</v>
      </c>
      <c r="R17" s="18">
        <f>_xll.BDH("TCS IN Equity","TOT_DEBT_TO_TOT_CAP","FY 2019","FY 2019","Currency=INR","Period=FY","BEST_FPERIOD_OVERRIDE=FY","FILING_STATUS=MR","EQY_CONSOLIDATED=Y","ACCOUNTING_STANDARD_OVERRIDE=MIXED","Sort=A","Dates=H","DateFormat=P","Fill=—","Direction=H","UseDPDF=Y")</f>
        <v>6.7299999999999999E-2</v>
      </c>
      <c r="S17" s="18">
        <f>_xll.BDH("TCS IN Equity","TOT_DEBT_TO_TOT_CAP","FY 2020","FY 2020","Currency=INR","Period=FY","BEST_FPERIOD_OVERRIDE=FY","FILING_STATUS=MR","EQY_CONSOLIDATED=Y","ACCOUNTING_STANDARD_OVERRIDE=MIXED","Sort=A","Dates=H","DateFormat=P","Fill=—","Direction=H","UseDPDF=Y")</f>
        <v>8.7985000000000007</v>
      </c>
      <c r="T17" s="18">
        <f>_xll.BDH("TCS IN Equity","TOT_DEBT_TO_TOT_CAP","FY 2021","FY 2021","Currency=INR","Period=FY","BEST_FPERIOD_OVERRIDE=FY","FILING_STATUS=MR","EQY_CONSOLIDATED=Y","ACCOUNTING_STANDARD_OVERRIDE=MIXED","Sort=A","Dates=H","DateFormat=P","Fill=—","Direction=H","UseDPDF=Y")</f>
        <v>8.0340000000000007</v>
      </c>
      <c r="U17" s="18">
        <f>_xll.BDH("TCS IN Equity","TOT_DEBT_TO_TOT_CAP","FY 2022","FY 2022","Currency=INR","Period=FY","BEST_FPERIOD_OVERRIDE=FY","FILING_STATUS=MR","EQY_CONSOLIDATED=Y","ACCOUNTING_STANDARD_OVERRIDE=MIXED","Sort=A","Dates=H","DateFormat=P","Fill=—","Direction=H","UseDPDF=Y")</f>
        <v>8.0050000000000008</v>
      </c>
      <c r="V17" s="18">
        <f>_xll.BDH("TCS IN Equity","TOT_DEBT_TO_TOT_CAP","FY 2023","FY 2023","Currency=INR","Period=FY","BEST_FPERIOD_OVERRIDE=FY","FILING_STATUS=MR","EQY_CONSOLIDATED=Y","ACCOUNTING_STANDARD_OVERRIDE=MIXED","Sort=A","Dates=H","DateFormat=P","Fill=—","Direction=H","UseDPDF=Y")</f>
        <v>7.6109999999999998</v>
      </c>
    </row>
    <row r="18" spans="1:22" x14ac:dyDescent="0.25">
      <c r="A18" s="3" t="s">
        <v>99</v>
      </c>
      <c r="B18" s="3" t="s">
        <v>100</v>
      </c>
      <c r="C18" s="18">
        <f>_xll.BDH("TCS IN Equity","TOT_DEBT_TO_TOT_ASSET","FY 2004","FY 2004","Currency=INR","Period=FY","BEST_FPERIOD_OVERRIDE=FY","FILING_STATUS=MR","EQY_CONSOLIDATED=Y","ACCOUNTING_STANDARD_OVERRIDE=MIXED","Sort=A","Dates=H","DateFormat=P","Fill=—","Direction=H","UseDPDF=Y")</f>
        <v>20.2044</v>
      </c>
      <c r="D18" s="18">
        <f>_xll.BDH("TCS IN Equity","TOT_DEBT_TO_TOT_ASSET","FY 2005","FY 2005","Currency=INR","Period=FY","BEST_FPERIOD_OVERRIDE=FY","FILING_STATUS=MR","EQY_CONSOLIDATED=Y","ACCOUNTING_STANDARD_OVERRIDE=MIXED","Sort=A","Dates=H","DateFormat=P","Fill=—","Direction=H","UseDPDF=Y")</f>
        <v>3.8376999999999999</v>
      </c>
      <c r="E18" s="18">
        <f>_xll.BDH("TCS IN Equity","TOT_DEBT_TO_TOT_ASSET","FY 2006","FY 2006","Currency=INR","Period=FY","BEST_FPERIOD_OVERRIDE=FY","FILING_STATUS=MR","EQY_CONSOLIDATED=Y","ACCOUNTING_STANDARD_OVERRIDE=MIXED","Sort=A","Dates=H","DateFormat=P","Fill=—","Direction=H","UseDPDF=Y")</f>
        <v>0.70250000000000001</v>
      </c>
      <c r="F18" s="18">
        <f>_xll.BDH("TCS IN Equity","TOT_DEBT_TO_TOT_ASSET","FY 2007","FY 2007","Currency=INR","Period=FY","BEST_FPERIOD_OVERRIDE=FY","FILING_STATUS=MR","EQY_CONSOLIDATED=Y","ACCOUNTING_STANDARD_OVERRIDE=MIXED","Sort=A","Dates=H","DateFormat=P","Fill=—","Direction=H","UseDPDF=Y")</f>
        <v>3.843</v>
      </c>
      <c r="G18" s="18">
        <f>_xll.BDH("TCS IN Equity","TOT_DEBT_TO_TOT_ASSET","FY 2008","FY 2008","Currency=INR","Period=FY","BEST_FPERIOD_OVERRIDE=FY","FILING_STATUS=MR","EQY_CONSOLIDATED=Y","ACCOUNTING_STANDARD_OVERRIDE=MIXED","Sort=A","Dates=H","DateFormat=P","Fill=—","Direction=H","UseDPDF=Y")</f>
        <v>2.7181999999999999</v>
      </c>
      <c r="H18" s="18">
        <f>_xll.BDH("TCS IN Equity","TOT_DEBT_TO_TOT_ASSET","FY 2009","FY 2009","Currency=INR","Period=FY","BEST_FPERIOD_OVERRIDE=FY","FILING_STATUS=MR","EQY_CONSOLIDATED=Y","ACCOUNTING_STANDARD_OVERRIDE=MIXED","Sort=A","Dates=H","DateFormat=P","Fill=—","Direction=H","UseDPDF=Y")</f>
        <v>2.4908999999999999</v>
      </c>
      <c r="I18" s="18">
        <f>_xll.BDH("TCS IN Equity","TOT_DEBT_TO_TOT_ASSET","FY 2010","FY 2010","Currency=INR","Period=FY","BEST_FPERIOD_OVERRIDE=FY","FILING_STATUS=MR","EQY_CONSOLIDATED=Y","ACCOUNTING_STANDARD_OVERRIDE=MIXED","Sort=A","Dates=H","DateFormat=P","Fill=—","Direction=H","UseDPDF=Y")</f>
        <v>0.37690000000000001</v>
      </c>
      <c r="J18" s="18">
        <f>_xll.BDH("TCS IN Equity","TOT_DEBT_TO_TOT_ASSET","FY 2011","FY 2011","Currency=INR","Period=FY","BEST_FPERIOD_OVERRIDE=FY","FILING_STATUS=MR","EQY_CONSOLIDATED=Y","ACCOUNTING_STANDARD_OVERRIDE=MIXED","Sort=A","Dates=H","DateFormat=P","Fill=—","Direction=H","UseDPDF=Y")</f>
        <v>0.22889999999999999</v>
      </c>
      <c r="K18" s="18">
        <f>_xll.BDH("TCS IN Equity","TOT_DEBT_TO_TOT_ASSET","FY 2012","FY 2012","Currency=INR","Period=FY","BEST_FPERIOD_OVERRIDE=FY","FILING_STATUS=MR","EQY_CONSOLIDATED=Y","ACCOUNTING_STANDARD_OVERRIDE=MIXED","Sort=A","Dates=H","DateFormat=P","Fill=—","Direction=H","UseDPDF=Y")</f>
        <v>0.30620000000000003</v>
      </c>
      <c r="L18" s="18">
        <f>_xll.BDH("TCS IN Equity","TOT_DEBT_TO_TOT_ASSET","FY 2013","FY 2013","Currency=INR","Period=FY","BEST_FPERIOD_OVERRIDE=FY","FILING_STATUS=MR","EQY_CONSOLIDATED=Y","ACCOUNTING_STANDARD_OVERRIDE=MIXED","Sort=A","Dates=H","DateFormat=P","Fill=—","Direction=H","UseDPDF=Y")</f>
        <v>0.44519999999999998</v>
      </c>
      <c r="M18" s="18">
        <f>_xll.BDH("TCS IN Equity","TOT_DEBT_TO_TOT_ASSET","FY 2014","FY 2014","Currency=INR","Period=FY","BEST_FPERIOD_OVERRIDE=FY","FILING_STATUS=MR","EQY_CONSOLIDATED=Y","ACCOUNTING_STANDARD_OVERRIDE=MIXED","Sort=A","Dates=H","DateFormat=P","Fill=—","Direction=H","UseDPDF=Y")</f>
        <v>0.43080000000000002</v>
      </c>
      <c r="N18" s="18">
        <f>_xll.BDH("TCS IN Equity","TOT_DEBT_TO_TOT_ASSET","FY 2015","FY 2015","Currency=INR","Period=FY","BEST_FPERIOD_OVERRIDE=FY","FILING_STATUS=MR","EQY_CONSOLIDATED=Y","ACCOUNTING_STANDARD_OVERRIDE=MIXED","Sort=A","Dates=H","DateFormat=P","Fill=—","Direction=H","UseDPDF=Y")</f>
        <v>0.48559999999999998</v>
      </c>
      <c r="O18" s="18">
        <f>_xll.BDH("TCS IN Equity","TOT_DEBT_TO_TOT_ASSET","FY 2016","FY 2016","Currency=INR","Period=FY","BEST_FPERIOD_OVERRIDE=FY","FILING_STATUS=MR","EQY_CONSOLIDATED=Y","ACCOUNTING_STANDARD_OVERRIDE=MIXED","Sort=A","Dates=H","DateFormat=P","Fill=—","Direction=H","UseDPDF=Y")</f>
        <v>0.26860000000000001</v>
      </c>
      <c r="P18" s="18">
        <f>_xll.BDH("TCS IN Equity","TOT_DEBT_TO_TOT_ASSET","FY 2017","FY 2017","Currency=INR","Period=FY","BEST_FPERIOD_OVERRIDE=FY","FILING_STATUS=MR","EQY_CONSOLIDATED=Y","ACCOUNTING_STANDARD_OVERRIDE=MIXED","Sort=A","Dates=H","DateFormat=P","Fill=—","Direction=H","UseDPDF=Y")</f>
        <v>0.27429999999999999</v>
      </c>
      <c r="Q18" s="18">
        <f>_xll.BDH("TCS IN Equity","TOT_DEBT_TO_TOT_ASSET","FY 2018","FY 2018","Currency=INR","Period=FY","BEST_FPERIOD_OVERRIDE=FY","FILING_STATUS=MR","EQY_CONSOLIDATED=Y","ACCOUNTING_STANDARD_OVERRIDE=MIXED","Sort=A","Dates=H","DateFormat=P","Fill=—","Direction=H","UseDPDF=Y")</f>
        <v>0.2278</v>
      </c>
      <c r="R18" s="18">
        <f>_xll.BDH("TCS IN Equity","TOT_DEBT_TO_TOT_ASSET","FY 2019","FY 2019","Currency=INR","Period=FY","BEST_FPERIOD_OVERRIDE=FY","FILING_STATUS=MR","EQY_CONSOLIDATED=Y","ACCOUNTING_STANDARD_OVERRIDE=MIXED","Sort=A","Dates=H","DateFormat=P","Fill=—","Direction=H","UseDPDF=Y")</f>
        <v>5.2999999999999999E-2</v>
      </c>
      <c r="S18" s="18">
        <f>_xll.BDH("TCS IN Equity","TOT_DEBT_TO_TOT_ASSET","FY 2020","FY 2020","Currency=INR","Period=FY","BEST_FPERIOD_OVERRIDE=FY","FILING_STATUS=MR","EQY_CONSOLIDATED=Y","ACCOUNTING_STANDARD_OVERRIDE=MIXED","Sort=A","Dates=H","DateFormat=P","Fill=—","Direction=H","UseDPDF=Y")</f>
        <v>6.7626999999999997</v>
      </c>
      <c r="T18" s="18">
        <f>_xll.BDH("TCS IN Equity","TOT_DEBT_TO_TOT_ASSET","FY 2021","FY 2021","Currency=INR","Period=FY","BEST_FPERIOD_OVERRIDE=FY","FILING_STATUS=MR","EQY_CONSOLIDATED=Y","ACCOUNTING_STANDARD_OVERRIDE=MIXED","Sort=A","Dates=H","DateFormat=P","Fill=—","Direction=H","UseDPDF=Y")</f>
        <v>5.8662000000000001</v>
      </c>
      <c r="U18" s="18">
        <f>_xll.BDH("TCS IN Equity","TOT_DEBT_TO_TOT_ASSET","FY 2022","FY 2022","Currency=INR","Period=FY","BEST_FPERIOD_OVERRIDE=FY","FILING_STATUS=MR","EQY_CONSOLIDATED=Y","ACCOUNTING_STANDARD_OVERRIDE=MIXED","Sort=A","Dates=H","DateFormat=P","Fill=—","Direction=H","UseDPDF=Y")</f>
        <v>5.5244999999999997</v>
      </c>
      <c r="V18" s="18">
        <f>_xll.BDH("TCS IN Equity","TOT_DEBT_TO_TOT_ASSET","FY 2023","FY 2023","Currency=INR","Period=FY","BEST_FPERIOD_OVERRIDE=FY","FILING_STATUS=MR","EQY_CONSOLIDATED=Y","ACCOUNTING_STANDARD_OVERRIDE=MIXED","Sort=A","Dates=H","DateFormat=P","Fill=—","Direction=H","UseDPDF=Y")</f>
        <v>5.2740999999999998</v>
      </c>
    </row>
    <row r="19" spans="1:22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3" t="s">
        <v>101</v>
      </c>
      <c r="B20" s="3" t="s">
        <v>102</v>
      </c>
      <c r="C20" s="18">
        <f>_xll.BDH("TCS IN Equity","CASH_FLOW_TO_TOT_LIAB","FY 2004","FY 2004","Currency=INR","Period=FY","BEST_FPERIOD_OVERRIDE=FY","FILING_STATUS=MR","EQY_CONSOLIDATED=Y","ACCOUNTING_STANDARD_OVERRIDE=MIXED","Sort=A","Dates=H","DateFormat=P","Fill=—","Direction=H","UseDPDF=Y")</f>
        <v>96.569500000000005</v>
      </c>
      <c r="D20" s="18">
        <f>_xll.BDH("TCS IN Equity","CASH_FLOW_TO_TOT_LIAB","FY 2005","FY 2005","Currency=INR","Period=FY","BEST_FPERIOD_OVERRIDE=FY","FILING_STATUS=MR","EQY_CONSOLIDATED=Y","ACCOUNTING_STANDARD_OVERRIDE=MIXED","Sort=A","Dates=H","DateFormat=P","Fill=—","Direction=H","UseDPDF=Y")</f>
        <v>121.6156</v>
      </c>
      <c r="E20" s="18">
        <f>_xll.BDH("TCS IN Equity","CASH_FLOW_TO_TOT_LIAB","FY 2006","FY 2006","Currency=INR","Period=FY","BEST_FPERIOD_OVERRIDE=FY","FILING_STATUS=MR","EQY_CONSOLIDATED=Y","ACCOUNTING_STANDARD_OVERRIDE=MIXED","Sort=A","Dates=H","DateFormat=P","Fill=—","Direction=H","UseDPDF=Y")</f>
        <v>127.0176</v>
      </c>
      <c r="F20" s="18">
        <f>_xll.BDH("TCS IN Equity","CASH_FLOW_TO_TOT_LIAB","FY 2007","FY 2007","Currency=INR","Period=FY","BEST_FPERIOD_OVERRIDE=FY","FILING_STATUS=MR","EQY_CONSOLIDATED=Y","ACCOUNTING_STANDARD_OVERRIDE=MIXED","Sort=A","Dates=H","DateFormat=P","Fill=—","Direction=H","UseDPDF=Y")</f>
        <v>84.781000000000006</v>
      </c>
      <c r="G20" s="18">
        <f>_xll.BDH("TCS IN Equity","CASH_FLOW_TO_TOT_LIAB","FY 2008","FY 2008","Currency=INR","Period=FY","BEST_FPERIOD_OVERRIDE=FY","FILING_STATUS=MR","EQY_CONSOLIDATED=Y","ACCOUNTING_STANDARD_OVERRIDE=MIXED","Sort=A","Dates=H","DateFormat=P","Fill=—","Direction=H","UseDPDF=Y")</f>
        <v>77.801100000000005</v>
      </c>
      <c r="H20" s="18">
        <f>_xll.BDH("TCS IN Equity","CASH_FLOW_TO_TOT_LIAB","FY 2009","FY 2009","Currency=INR","Period=FY","BEST_FPERIOD_OVERRIDE=FY","FILING_STATUS=MR","EQY_CONSOLIDATED=Y","ACCOUNTING_STANDARD_OVERRIDE=MIXED","Sort=A","Dates=H","DateFormat=P","Fill=—","Direction=H","UseDPDF=Y")</f>
        <v>83.874099999999999</v>
      </c>
      <c r="I20" s="18">
        <f>_xll.BDH("TCS IN Equity","CASH_FLOW_TO_TOT_LIAB","FY 2010","FY 2010","Currency=INR","Period=FY","BEST_FPERIOD_OVERRIDE=FY","FILING_STATUS=MR","EQY_CONSOLIDATED=Y","ACCOUNTING_STANDARD_OVERRIDE=MIXED","Sort=A","Dates=H","DateFormat=P","Fill=—","Direction=H","UseDPDF=Y")</f>
        <v>87.508300000000006</v>
      </c>
      <c r="J20" s="18">
        <f>_xll.BDH("TCS IN Equity","CASH_FLOW_TO_TOT_LIAB","FY 2011","FY 2011","Currency=INR","Period=FY","BEST_FPERIOD_OVERRIDE=FY","FILING_STATUS=MR","EQY_CONSOLIDATED=Y","ACCOUNTING_STANDARD_OVERRIDE=MIXED","Sort=A","Dates=H","DateFormat=P","Fill=—","Direction=H","UseDPDF=Y")</f>
        <v>90.730999999999995</v>
      </c>
      <c r="K20" s="18">
        <f>_xll.BDH("TCS IN Equity","CASH_FLOW_TO_TOT_LIAB","FY 2012","FY 2012","Currency=INR","Period=FY","BEST_FPERIOD_OVERRIDE=FY","FILING_STATUS=MR","EQY_CONSOLIDATED=Y","ACCOUNTING_STANDARD_OVERRIDE=MIXED","Sort=A","Dates=H","DateFormat=P","Fill=—","Direction=H","UseDPDF=Y")</f>
        <v>65.941699999999997</v>
      </c>
      <c r="L20" s="18">
        <f>_xll.BDH("TCS IN Equity","CASH_FLOW_TO_TOT_LIAB","FY 2013","FY 2013","Currency=INR","Period=FY","BEST_FPERIOD_OVERRIDE=FY","FILING_STATUS=MR","EQY_CONSOLIDATED=Y","ACCOUNTING_STANDARD_OVERRIDE=MIXED","Sort=A","Dates=H","DateFormat=P","Fill=—","Direction=H","UseDPDF=Y")</f>
        <v>96.456299999999999</v>
      </c>
      <c r="M20" s="18">
        <f>_xll.BDH("TCS IN Equity","CASH_FLOW_TO_TOT_LIAB","FY 2014","FY 2014","Currency=INR","Period=FY","BEST_FPERIOD_OVERRIDE=FY","FILING_STATUS=MR","EQY_CONSOLIDATED=Y","ACCOUNTING_STANDARD_OVERRIDE=MIXED","Sort=A","Dates=H","DateFormat=P","Fill=—","Direction=H","UseDPDF=Y")</f>
        <v>123.54940000000001</v>
      </c>
      <c r="N20" s="18">
        <f>_xll.BDH("TCS IN Equity","CASH_FLOW_TO_TOT_LIAB","FY 2015","FY 2015","Currency=INR","Period=FY","BEST_FPERIOD_OVERRIDE=FY","FILING_STATUS=MR","EQY_CONSOLIDATED=Y","ACCOUNTING_STANDARD_OVERRIDE=MIXED","Sort=A","Dates=H","DateFormat=P","Fill=—","Direction=H","UseDPDF=Y")</f>
        <v>97.12</v>
      </c>
      <c r="O20" s="18">
        <f>_xll.BDH("TCS IN Equity","CASH_FLOW_TO_TOT_LIAB","FY 2016","FY 2016","Currency=INR","Period=FY","BEST_FPERIOD_OVERRIDE=FY","FILING_STATUS=MR","EQY_CONSOLIDATED=Y","ACCOUNTING_STANDARD_OVERRIDE=MIXED","Sort=A","Dates=H","DateFormat=P","Fill=—","Direction=H","UseDPDF=Y")</f>
        <v>118.3768</v>
      </c>
      <c r="P20" s="18">
        <f>_xll.BDH("TCS IN Equity","CASH_FLOW_TO_TOT_LIAB","FY 2017","FY 2017","Currency=INR","Period=FY","BEST_FPERIOD_OVERRIDE=FY","FILING_STATUS=MR","EQY_CONSOLIDATED=Y","ACCOUNTING_STANDARD_OVERRIDE=MIXED","Sort=A","Dates=H","DateFormat=P","Fill=—","Direction=H","UseDPDF=Y")</f>
        <v>165.589</v>
      </c>
      <c r="Q20" s="18">
        <f>_xll.BDH("TCS IN Equity","CASH_FLOW_TO_TOT_LIAB","FY 2018","FY 2018","Currency=INR","Period=FY","BEST_FPERIOD_OVERRIDE=FY","FILING_STATUS=MR","EQY_CONSOLIDATED=Y","ACCOUNTING_STANDARD_OVERRIDE=MIXED","Sort=A","Dates=H","DateFormat=P","Fill=—","Direction=H","UseDPDF=Y")</f>
        <v>135.6352</v>
      </c>
      <c r="R20" s="18">
        <f>_xll.BDH("TCS IN Equity","CASH_FLOW_TO_TOT_LIAB","FY 2019","FY 2019","Currency=INR","Period=FY","BEST_FPERIOD_OVERRIDE=FY","FILING_STATUS=MR","EQY_CONSOLIDATED=Y","ACCOUNTING_STANDARD_OVERRIDE=MIXED","Sort=A","Dates=H","DateFormat=P","Fill=—","Direction=H","UseDPDF=Y")</f>
        <v>126.4455</v>
      </c>
      <c r="S20" s="18">
        <f>_xll.BDH("TCS IN Equity","CASH_FLOW_TO_TOT_LIAB","FY 2020","FY 2020","Currency=INR","Period=FY","BEST_FPERIOD_OVERRIDE=FY","FILING_STATUS=MR","EQY_CONSOLIDATED=Y","ACCOUNTING_STANDARD_OVERRIDE=MIXED","Sort=A","Dates=H","DateFormat=P","Fill=—","Direction=H","UseDPDF=Y")</f>
        <v>97.322299999999998</v>
      </c>
      <c r="T20" s="18">
        <f>_xll.BDH("TCS IN Equity","CASH_FLOW_TO_TOT_LIAB","FY 2021","FY 2021","Currency=INR","Period=FY","BEST_FPERIOD_OVERRIDE=FY","FILING_STATUS=MR","EQY_CONSOLIDATED=Y","ACCOUNTING_STANDARD_OVERRIDE=MIXED","Sort=A","Dates=H","DateFormat=P","Fill=—","Direction=H","UseDPDF=Y")</f>
        <v>94.171999999999997</v>
      </c>
      <c r="U20" s="18">
        <f>_xll.BDH("TCS IN Equity","CASH_FLOW_TO_TOT_LIAB","FY 2022","FY 2022","Currency=INR","Period=FY","BEST_FPERIOD_OVERRIDE=FY","FILING_STATUS=MR","EQY_CONSOLIDATED=Y","ACCOUNTING_STANDARD_OVERRIDE=MIXED","Sort=A","Dates=H","DateFormat=P","Fill=—","Direction=H","UseDPDF=Y")</f>
        <v>81.206900000000005</v>
      </c>
      <c r="V20" s="18">
        <f>_xll.BDH("TCS IN Equity","CASH_FLOW_TO_TOT_LIAB","FY 2023","FY 2023","Currency=INR","Period=FY","BEST_FPERIOD_OVERRIDE=FY","FILING_STATUS=MR","EQY_CONSOLIDATED=Y","ACCOUNTING_STANDARD_OVERRIDE=MIXED","Sort=A","Dates=H","DateFormat=P","Fill=—","Direction=H","UseDPDF=Y")</f>
        <v>84.860299999999995</v>
      </c>
    </row>
    <row r="21" spans="1:22" x14ac:dyDescent="0.25">
      <c r="A21" s="3" t="s">
        <v>103</v>
      </c>
      <c r="B21" s="3" t="s">
        <v>104</v>
      </c>
      <c r="C21" s="18">
        <f>_xll.BDH("TCS IN Equity","CAP_EXPEND_RATIO","FY 2004","FY 2004","Currency=INR","Period=FY","BEST_FPERIOD_OVERRIDE=FY","FILING_STATUS=MR","EQY_CONSOLIDATED=Y","ACCOUNTING_STANDARD_OVERRIDE=MIXED","Sort=A","Dates=H","DateFormat=P","Fill=—","Direction=H","UseDPDF=Y")</f>
        <v>5.7476000000000003</v>
      </c>
      <c r="D21" s="18">
        <f>_xll.BDH("TCS IN Equity","CAP_EXPEND_RATIO","FY 2005","FY 2005","Currency=INR","Period=FY","BEST_FPERIOD_OVERRIDE=FY","FILING_STATUS=MR","EQY_CONSOLIDATED=Y","ACCOUNTING_STANDARD_OVERRIDE=MIXED","Sort=A","Dates=H","DateFormat=P","Fill=—","Direction=H","UseDPDF=Y")</f>
        <v>5.6963999999999997</v>
      </c>
      <c r="E21" s="18">
        <f>_xll.BDH("TCS IN Equity","CAP_EXPEND_RATIO","FY 2006","FY 2006","Currency=INR","Period=FY","BEST_FPERIOD_OVERRIDE=FY","FILING_STATUS=MR","EQY_CONSOLIDATED=Y","ACCOUNTING_STANDARD_OVERRIDE=MIXED","Sort=A","Dates=H","DateFormat=P","Fill=—","Direction=H","UseDPDF=Y")</f>
        <v>3.8241999999999998</v>
      </c>
      <c r="F21" s="18">
        <f>_xll.BDH("TCS IN Equity","CAP_EXPEND_RATIO","FY 2007","FY 2007","Currency=INR","Period=FY","BEST_FPERIOD_OVERRIDE=FY","FILING_STATUS=MR","EQY_CONSOLIDATED=Y","ACCOUNTING_STANDARD_OVERRIDE=MIXED","Sort=A","Dates=H","DateFormat=P","Fill=—","Direction=H","UseDPDF=Y")</f>
        <v>2.8003999999999998</v>
      </c>
      <c r="G21" s="18">
        <f>_xll.BDH("TCS IN Equity","CAP_EXPEND_RATIO","FY 2008","FY 2008","Currency=INR","Period=FY","BEST_FPERIOD_OVERRIDE=FY","FILING_STATUS=MR","EQY_CONSOLIDATED=Y","ACCOUNTING_STANDARD_OVERRIDE=MIXED","Sort=A","Dates=H","DateFormat=P","Fill=—","Direction=H","UseDPDF=Y")</f>
        <v>3.0928</v>
      </c>
      <c r="H21" s="18">
        <f>_xll.BDH("TCS IN Equity","CAP_EXPEND_RATIO","FY 2009","FY 2009","Currency=INR","Period=FY","BEST_FPERIOD_OVERRIDE=FY","FILING_STATUS=MR","EQY_CONSOLIDATED=Y","ACCOUNTING_STANDARD_OVERRIDE=MIXED","Sort=A","Dates=H","DateFormat=P","Fill=—","Direction=H","UseDPDF=Y")</f>
        <v>4.8689999999999998</v>
      </c>
      <c r="I21" s="18">
        <f>_xll.BDH("TCS IN Equity","CAP_EXPEND_RATIO","FY 2010","FY 2010","Currency=INR","Period=FY","BEST_FPERIOD_OVERRIDE=FY","FILING_STATUS=MR","EQY_CONSOLIDATED=Y","ACCOUNTING_STANDARD_OVERRIDE=MIXED","Sort=A","Dates=H","DateFormat=P","Fill=—","Direction=H","UseDPDF=Y")</f>
        <v>7.1744000000000003</v>
      </c>
      <c r="J21" s="18">
        <f>_xll.BDH("TCS IN Equity","CAP_EXPEND_RATIO","FY 2011","FY 2011","Currency=INR","Period=FY","BEST_FPERIOD_OVERRIDE=FY","FILING_STATUS=MR","EQY_CONSOLIDATED=Y","ACCOUNTING_STANDARD_OVERRIDE=MIXED","Sort=A","Dates=H","DateFormat=P","Fill=—","Direction=H","UseDPDF=Y")</f>
        <v>3.8336999999999999</v>
      </c>
      <c r="K21" s="18">
        <f>_xll.BDH("TCS IN Equity","CAP_EXPEND_RATIO","FY 2012","FY 2012","Currency=INR","Period=FY","BEST_FPERIOD_OVERRIDE=FY","FILING_STATUS=MR","EQY_CONSOLIDATED=Y","ACCOUNTING_STANDARD_OVERRIDE=MIXED","Sort=A","Dates=H","DateFormat=P","Fill=—","Direction=H","UseDPDF=Y")</f>
        <v>3.6772999999999998</v>
      </c>
      <c r="L21" s="18">
        <f>_xll.BDH("TCS IN Equity","CAP_EXPEND_RATIO","FY 2013","FY 2013","Currency=INR","Period=FY","BEST_FPERIOD_OVERRIDE=FY","FILING_STATUS=MR","EQY_CONSOLIDATED=Y","ACCOUNTING_STANDARD_OVERRIDE=MIXED","Sort=A","Dates=H","DateFormat=P","Fill=—","Direction=H","UseDPDF=Y")</f>
        <v>4.6902999999999997</v>
      </c>
      <c r="M21" s="18">
        <f>_xll.BDH("TCS IN Equity","CAP_EXPEND_RATIO","FY 2014","FY 2014","Currency=INR","Period=FY","BEST_FPERIOD_OVERRIDE=FY","FILING_STATUS=MR","EQY_CONSOLIDATED=Y","ACCOUNTING_STANDARD_OVERRIDE=MIXED","Sort=A","Dates=H","DateFormat=P","Fill=—","Direction=H","UseDPDF=Y")</f>
        <v>5.1784999999999997</v>
      </c>
      <c r="N21" s="18">
        <f>_xll.BDH("TCS IN Equity","CAP_EXPEND_RATIO","FY 2015","FY 2015","Currency=INR","Period=FY","BEST_FPERIOD_OVERRIDE=FY","FILING_STATUS=MR","EQY_CONSOLIDATED=Y","ACCOUNTING_STANDARD_OVERRIDE=MIXED","Sort=A","Dates=H","DateFormat=P","Fill=—","Direction=H","UseDPDF=Y")</f>
        <v>7.2112999999999996</v>
      </c>
      <c r="O21" s="18">
        <f>_xll.BDH("TCS IN Equity","CAP_EXPEND_RATIO","FY 2016","FY 2016","Currency=INR","Period=FY","BEST_FPERIOD_OVERRIDE=FY","FILING_STATUS=MR","EQY_CONSOLIDATED=Y","ACCOUNTING_STANDARD_OVERRIDE=MIXED","Sort=A","Dates=H","DateFormat=P","Fill=—","Direction=H","UseDPDF=Y")</f>
        <v>10.526400000000001</v>
      </c>
      <c r="P21" s="18">
        <f>_xll.BDH("TCS IN Equity","CAP_EXPEND_RATIO","FY 2017","FY 2017","Currency=INR","Period=FY","BEST_FPERIOD_OVERRIDE=FY","FILING_STATUS=MR","EQY_CONSOLIDATED=Y","ACCOUNTING_STANDARD_OVERRIDE=MIXED","Sort=A","Dates=H","DateFormat=P","Fill=—","Direction=H","UseDPDF=Y")</f>
        <v>13.879799999999999</v>
      </c>
      <c r="Q21" s="18">
        <f>_xll.BDH("TCS IN Equity","CAP_EXPEND_RATIO","FY 2018","FY 2018","Currency=INR","Period=FY","BEST_FPERIOD_OVERRIDE=FY","FILING_STATUS=MR","EQY_CONSOLIDATED=Y","ACCOUNTING_STANDARD_OVERRIDE=MIXED","Sort=A","Dates=H","DateFormat=P","Fill=—","Direction=H","UseDPDF=Y")</f>
        <v>15.1267</v>
      </c>
      <c r="R21" s="18">
        <f>_xll.BDH("TCS IN Equity","CAP_EXPEND_RATIO","FY 2019","FY 2019","Currency=INR","Period=FY","BEST_FPERIOD_OVERRIDE=FY","FILING_STATUS=MR","EQY_CONSOLIDATED=Y","ACCOUNTING_STANDARD_OVERRIDE=MIXED","Sort=A","Dates=H","DateFormat=P","Fill=—","Direction=H","UseDPDF=Y")</f>
        <v>15.4247</v>
      </c>
      <c r="S21" s="18">
        <f>_xll.BDH("TCS IN Equity","CAP_EXPEND_RATIO","FY 2020","FY 2020","Currency=INR","Period=FY","BEST_FPERIOD_OVERRIDE=FY","FILING_STATUS=MR","EQY_CONSOLIDATED=Y","ACCOUNTING_STANDARD_OVERRIDE=MIXED","Sort=A","Dates=H","DateFormat=P","Fill=—","Direction=H","UseDPDF=Y")</f>
        <v>11.508699999999999</v>
      </c>
      <c r="T21" s="18">
        <f>_xll.BDH("TCS IN Equity","CAP_EXPEND_RATIO","FY 2021","FY 2021","Currency=INR","Period=FY","BEST_FPERIOD_OVERRIDE=FY","FILING_STATUS=MR","EQY_CONSOLIDATED=Y","ACCOUNTING_STANDARD_OVERRIDE=MIXED","Sort=A","Dates=H","DateFormat=P","Fill=—","Direction=H","UseDPDF=Y")</f>
        <v>14.577</v>
      </c>
      <c r="U21" s="18">
        <f>_xll.BDH("TCS IN Equity","CAP_EXPEND_RATIO","FY 2022","FY 2022","Currency=INR","Period=FY","BEST_FPERIOD_OVERRIDE=FY","FILING_STATUS=MR","EQY_CONSOLIDATED=Y","ACCOUNTING_STANDARD_OVERRIDE=MIXED","Sort=A","Dates=H","DateFormat=P","Fill=—","Direction=H","UseDPDF=Y")</f>
        <v>16.796600000000002</v>
      </c>
      <c r="V21" s="18">
        <f>_xll.BDH("TCS IN Equity","CAP_EXPEND_RATIO","FY 2023","FY 2023","Currency=INR","Period=FY","BEST_FPERIOD_OVERRIDE=FY","FILING_STATUS=MR","EQY_CONSOLIDATED=Y","ACCOUNTING_STANDARD_OVERRIDE=MIXED","Sort=A","Dates=H","DateFormat=P","Fill=—","Direction=H","UseDPDF=Y")</f>
        <v>16.213100000000001</v>
      </c>
    </row>
    <row r="22" spans="1:22" x14ac:dyDescent="0.25">
      <c r="A22" s="3" t="s">
        <v>105</v>
      </c>
      <c r="B22" s="3" t="s">
        <v>106</v>
      </c>
      <c r="C22" s="18" t="str">
        <f>_xll.BDH("TCS IN Equity","ALTMAN_Z_SCORE","FY 2004","FY 2004","Currency=INR","Period=FY","BEST_FPERIOD_OVERRIDE=FY","FILING_STATUS=MR","EQY_CONSOLIDATED=Y","ACCOUNTING_STANDARD_OVERRIDE=MIXED","Sort=A","Dates=H","DateFormat=P","Fill=—","Direction=H","UseDPDF=Y")</f>
        <v>—</v>
      </c>
      <c r="D22" s="18">
        <f>_xll.BDH("TCS IN Equity","ALTMAN_Z_SCORE","FY 2005","FY 2005","Currency=INR","Period=FY","BEST_FPERIOD_OVERRIDE=FY","FILING_STATUS=MR","EQY_CONSOLIDATED=Y","ACCOUNTING_STANDARD_OVERRIDE=MIXED","Sort=A","Dates=H","DateFormat=P","Fill=—","Direction=H","UseDPDF=Y")</f>
        <v>28.5989</v>
      </c>
      <c r="E22" s="18">
        <f>_xll.BDH("TCS IN Equity","ALTMAN_Z_SCORE","FY 2006","FY 2006","Currency=INR","Period=FY","BEST_FPERIOD_OVERRIDE=FY","FILING_STATUS=MR","EQY_CONSOLIDATED=Y","ACCOUNTING_STANDARD_OVERRIDE=MIXED","Sort=A","Dates=H","DateFormat=P","Fill=—","Direction=H","UseDPDF=Y")</f>
        <v>32.892400000000002</v>
      </c>
      <c r="F22" s="18">
        <f>_xll.BDH("TCS IN Equity","ALTMAN_Z_SCORE","FY 2007","FY 2007","Currency=INR","Period=FY","BEST_FPERIOD_OVERRIDE=FY","FILING_STATUS=MR","EQY_CONSOLIDATED=Y","ACCOUNTING_STANDARD_OVERRIDE=MIXED","Sort=A","Dates=H","DateFormat=P","Fill=—","Direction=H","UseDPDF=Y")</f>
        <v>21.782499999999999</v>
      </c>
      <c r="G22" s="18">
        <f>_xll.BDH("TCS IN Equity","ALTMAN_Z_SCORE","FY 2008","FY 2008","Currency=INR","Period=FY","BEST_FPERIOD_OVERRIDE=FY","FILING_STATUS=MR","EQY_CONSOLIDATED=Y","ACCOUNTING_STANDARD_OVERRIDE=MIXED","Sort=A","Dates=H","DateFormat=P","Fill=—","Direction=H","UseDPDF=Y")</f>
        <v>13.303800000000001</v>
      </c>
      <c r="H22" s="18">
        <f>_xll.BDH("TCS IN Equity","ALTMAN_Z_SCORE","FY 2009","FY 2009","Currency=INR","Period=FY","BEST_FPERIOD_OVERRIDE=FY","FILING_STATUS=MR","EQY_CONSOLIDATED=Y","ACCOUNTING_STANDARD_OVERRIDE=MIXED","Sort=A","Dates=H","DateFormat=P","Fill=—","Direction=H","UseDPDF=Y")</f>
        <v>8.7667000000000002</v>
      </c>
      <c r="I22" s="18">
        <f>_xll.BDH("TCS IN Equity","ALTMAN_Z_SCORE","FY 2010","FY 2010","Currency=INR","Period=FY","BEST_FPERIOD_OVERRIDE=FY","FILING_STATUS=MR","EQY_CONSOLIDATED=Y","ACCOUNTING_STANDARD_OVERRIDE=MIXED","Sort=A","Dates=H","DateFormat=P","Fill=—","Direction=H","UseDPDF=Y")</f>
        <v>14.355399999999999</v>
      </c>
      <c r="J22" s="18">
        <f>_xll.BDH("TCS IN Equity","ALTMAN_Z_SCORE","FY 2011","FY 2011","Currency=INR","Period=FY","BEST_FPERIOD_OVERRIDE=FY","FILING_STATUS=MR","EQY_CONSOLIDATED=Y","ACCOUNTING_STANDARD_OVERRIDE=MIXED","Sort=A","Dates=H","DateFormat=P","Fill=—","Direction=H","UseDPDF=Y")</f>
        <v>21.7758</v>
      </c>
      <c r="K22" s="18">
        <f>_xll.BDH("TCS IN Equity","ALTMAN_Z_SCORE","FY 2012","FY 2012","Currency=INR","Period=FY","BEST_FPERIOD_OVERRIDE=FY","FILING_STATUS=MR","EQY_CONSOLIDATED=Y","ACCOUNTING_STANDARD_OVERRIDE=MIXED","Sort=A","Dates=H","DateFormat=P","Fill=—","Direction=H","UseDPDF=Y")</f>
        <v>15.990500000000001</v>
      </c>
      <c r="L22" s="18">
        <f>_xll.BDH("TCS IN Equity","ALTMAN_Z_SCORE","FY 2013","FY 2013","Currency=INR","Period=FY","BEST_FPERIOD_OVERRIDE=FY","FILING_STATUS=MR","EQY_CONSOLIDATED=Y","ACCOUNTING_STANDARD_OVERRIDE=MIXED","Sort=A","Dates=H","DateFormat=P","Fill=—","Direction=H","UseDPDF=Y")</f>
        <v>18.233499999999999</v>
      </c>
      <c r="M22" s="18">
        <f>_xll.BDH("TCS IN Equity","ALTMAN_Z_SCORE","FY 2014","FY 2014","Currency=INR","Period=FY","BEST_FPERIOD_OVERRIDE=FY","FILING_STATUS=MR","EQY_CONSOLIDATED=Y","ACCOUNTING_STANDARD_OVERRIDE=MIXED","Sort=A","Dates=H","DateFormat=P","Fill=—","Direction=H","UseDPDF=Y")</f>
        <v>23.639900000000001</v>
      </c>
      <c r="N22" s="18">
        <f>_xll.BDH("TCS IN Equity","ALTMAN_Z_SCORE","FY 2015","FY 2015","Currency=INR","Period=FY","BEST_FPERIOD_OVERRIDE=FY","FILING_STATUS=MR","EQY_CONSOLIDATED=Y","ACCOUNTING_STANDARD_OVERRIDE=MIXED","Sort=A","Dates=H","DateFormat=P","Fill=—","Direction=H","UseDPDF=Y")</f>
        <v>17.326699999999999</v>
      </c>
      <c r="O22" s="18">
        <f>_xll.BDH("TCS IN Equity","ALTMAN_Z_SCORE","FY 2016","FY 2016","Currency=INR","Period=FY","BEST_FPERIOD_OVERRIDE=FY","FILING_STATUS=MR","EQY_CONSOLIDATED=Y","ACCOUNTING_STANDARD_OVERRIDE=MIXED","Sort=A","Dates=H","DateFormat=P","Fill=—","Direction=H","UseDPDF=Y")</f>
        <v>20.9193</v>
      </c>
      <c r="P22" s="18">
        <f>_xll.BDH("TCS IN Equity","ALTMAN_Z_SCORE","FY 2017","FY 2017","Currency=INR","Period=FY","BEST_FPERIOD_OVERRIDE=FY","FILING_STATUS=MR","EQY_CONSOLIDATED=Y","ACCOUNTING_STANDARD_OVERRIDE=MIXED","Sort=A","Dates=H","DateFormat=P","Fill=—","Direction=H","UseDPDF=Y")</f>
        <v>21.2912</v>
      </c>
      <c r="Q22" s="18">
        <f>_xll.BDH("TCS IN Equity","ALTMAN_Z_SCORE","FY 2018","FY 2018","Currency=INR","Period=FY","BEST_FPERIOD_OVERRIDE=FY","FILING_STATUS=MR","EQY_CONSOLIDATED=Y","ACCOUNTING_STANDARD_OVERRIDE=MIXED","Sort=A","Dates=H","DateFormat=P","Fill=—","Direction=H","UseDPDF=Y")</f>
        <v>19.7562</v>
      </c>
      <c r="R22" s="18">
        <f>_xll.BDH("TCS IN Equity","ALTMAN_Z_SCORE","FY 2019","FY 2019","Currency=INR","Period=FY","BEST_FPERIOD_OVERRIDE=FY","FILING_STATUS=MR","EQY_CONSOLIDATED=Y","ACCOUNTING_STANDARD_OVERRIDE=MIXED","Sort=A","Dates=H","DateFormat=P","Fill=—","Direction=H","UseDPDF=Y")</f>
        <v>22.224699999999999</v>
      </c>
      <c r="S22" s="18">
        <f>_xll.BDH("TCS IN Equity","ALTMAN_Z_SCORE","FY 2020","FY 2020","Currency=INR","Period=FY","BEST_FPERIOD_OVERRIDE=FY","FILING_STATUS=MR","EQY_CONSOLIDATED=Y","ACCOUNTING_STANDARD_OVERRIDE=MIXED","Sort=A","Dates=H","DateFormat=P","Fill=—","Direction=H","UseDPDF=Y")</f>
        <v>15.333600000000001</v>
      </c>
      <c r="T22" s="18">
        <f>_xll.BDH("TCS IN Equity","ALTMAN_Z_SCORE","FY 2021","FY 2021","Currency=INR","Period=FY","BEST_FPERIOD_OVERRIDE=FY","FILING_STATUS=MR","EQY_CONSOLIDATED=Y","ACCOUNTING_STANDARD_OVERRIDE=MIXED","Sort=A","Dates=H","DateFormat=P","Fill=—","Direction=H","UseDPDF=Y")</f>
        <v>20.0061</v>
      </c>
      <c r="U22" s="18">
        <f>_xll.BDH("TCS IN Equity","ALTMAN_Z_SCORE","FY 2022","FY 2022","Currency=INR","Period=FY","BEST_FPERIOD_OVERRIDE=FY","FILING_STATUS=MR","EQY_CONSOLIDATED=Y","ACCOUNTING_STANDARD_OVERRIDE=MIXED","Sort=A","Dates=H","DateFormat=P","Fill=—","Direction=H","UseDPDF=Y")</f>
        <v>19.790099999999999</v>
      </c>
      <c r="V22" s="18">
        <f>_xll.BDH("TCS IN Equity","ALTMAN_Z_SCORE","FY 2023","FY 2023","Currency=INR","Period=FY","BEST_FPERIOD_OVERRIDE=FY","FILING_STATUS=MR","EQY_CONSOLIDATED=Y","ACCOUNTING_STANDARD_OVERRIDE=MIXED","Sort=A","Dates=H","DateFormat=P","Fill=—","Direction=H","UseDPDF=Y")</f>
        <v>17.630099999999999</v>
      </c>
    </row>
    <row r="23" spans="1:22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3" t="s">
        <v>107</v>
      </c>
      <c r="B24" s="3" t="s">
        <v>108</v>
      </c>
      <c r="C24" s="2" t="str">
        <f>_xll.BDH("TCS IN Equity","BS_TOTAL_LINE_OF_CREDIT","FY 2004","FY 2004","Currency=INR","Period=FY","BEST_FPERIOD_OVERRIDE=FY","FILING_STATUS=MR","EQY_CONSOLIDATED=Y","ACCOUNTING_STANDARD_OVERRIDE=MIXED","SCALING_FORMAT=MLN","Sort=A","Dates=H","DateFormat=P","Fill=—","Direction=H","UseDPDF=Y")</f>
        <v>—</v>
      </c>
      <c r="D24" s="2" t="str">
        <f>_xll.BDH("TCS IN Equity","BS_TOTAL_LINE_OF_CREDIT","FY 2005","FY 2005","Currency=INR","Period=FY","BEST_FPERIOD_OVERRIDE=FY","FILING_STATUS=MR","EQY_CONSOLIDATED=Y","ACCOUNTING_STANDARD_OVERRIDE=MIXED","SCALING_FORMAT=MLN","Sort=A","Dates=H","DateFormat=P","Fill=—","Direction=H","UseDPDF=Y")</f>
        <v>—</v>
      </c>
      <c r="E24" s="2" t="str">
        <f>_xll.BDH("TCS IN Equity","BS_TOTAL_LINE_OF_CREDIT","FY 2006","FY 2006","Currency=INR","Period=FY","BEST_FPERIOD_OVERRIDE=FY","FILING_STATUS=MR","EQY_CONSOLIDATED=Y","ACCOUNTING_STANDARD_OVERRIDE=MIXED","SCALING_FORMAT=MLN","Sort=A","Dates=H","DateFormat=P","Fill=—","Direction=H","UseDPDF=Y")</f>
        <v>—</v>
      </c>
      <c r="F24" s="2" t="str">
        <f>_xll.BDH("TCS IN Equity","BS_TOTAL_LINE_OF_CREDIT","FY 2007","FY 2007","Currency=INR","Period=FY","BEST_FPERIOD_OVERRIDE=FY","FILING_STATUS=MR","EQY_CONSOLIDATED=Y","ACCOUNTING_STANDARD_OVERRIDE=MIXED","SCALING_FORMAT=MLN","Sort=A","Dates=H","DateFormat=P","Fill=—","Direction=H","UseDPDF=Y")</f>
        <v>—</v>
      </c>
      <c r="G24" s="2" t="str">
        <f>_xll.BDH("TCS IN Equity","BS_TOTAL_LINE_OF_CREDIT","FY 2008","FY 2008","Currency=INR","Period=FY","BEST_FPERIOD_OVERRIDE=FY","FILING_STATUS=MR","EQY_CONSOLIDATED=Y","ACCOUNTING_STANDARD_OVERRIDE=MIXED","SCALING_FORMAT=MLN","Sort=A","Dates=H","DateFormat=P","Fill=—","Direction=H","UseDPDF=Y")</f>
        <v>—</v>
      </c>
      <c r="H24" s="2" t="str">
        <f>_xll.BDH("TCS IN Equity","BS_TOTAL_LINE_OF_CREDIT","FY 2009","FY 2009","Currency=INR","Period=FY","BEST_FPERIOD_OVERRIDE=FY","FILING_STATUS=MR","EQY_CONSOLIDATED=Y","ACCOUNTING_STANDARD_OVERRIDE=MIXED","SCALING_FORMAT=MLN","Sort=A","Dates=H","DateFormat=P","Fill=—","Direction=H","UseDPDF=Y")</f>
        <v>—</v>
      </c>
      <c r="I24" s="2">
        <f>_xll.BDH("TCS IN Equity","BS_TOTAL_LINE_OF_CREDIT","FY 2010","FY 2010","Currency=INR","Period=FY","BEST_FPERIOD_OVERRIDE=FY","FILING_STATUS=MR","EQY_CONSOLIDATED=Y","ACCOUNTING_STANDARD_OVERRIDE=MIXED","SCALING_FORMAT=MLN","Sort=A","Dates=H","DateFormat=P","Fill=—","Direction=H","UseDPDF=Y")</f>
        <v>0</v>
      </c>
      <c r="J24" s="2">
        <f>_xll.BDH("TCS IN Equity","BS_TOTAL_LINE_OF_CREDIT","FY 2011","FY 2011","Currency=INR","Period=FY","BEST_FPERIOD_OVERRIDE=FY","FILING_STATUS=MR","EQY_CONSOLIDATED=Y","ACCOUNTING_STANDARD_OVERRIDE=MIXED","SCALING_FORMAT=MLN","Sort=A","Dates=H","DateFormat=P","Fill=—","Direction=H","UseDPDF=Y")</f>
        <v>0</v>
      </c>
      <c r="K24" s="2">
        <f>_xll.BDH("TCS IN Equity","BS_TOTAL_LINE_OF_CREDIT","FY 2012","FY 2012","Currency=INR","Period=FY","BEST_FPERIOD_OVERRIDE=FY","FILING_STATUS=MR","EQY_CONSOLIDATED=Y","ACCOUNTING_STANDARD_OVERRIDE=MIXED","SCALING_FORMAT=MLN","Sort=A","Dates=H","DateFormat=P","Fill=—","Direction=H","UseDPDF=Y")</f>
        <v>0</v>
      </c>
      <c r="L24" s="2">
        <f>_xll.BDH("TCS IN Equity","BS_TOTAL_LINE_OF_CREDIT","FY 2013","FY 2013","Currency=INR","Period=FY","BEST_FPERIOD_OVERRIDE=FY","FILING_STATUS=MR","EQY_CONSOLIDATED=Y","ACCOUNTING_STANDARD_OVERRIDE=MIXED","SCALING_FORMAT=MLN","Sort=A","Dates=H","DateFormat=P","Fill=—","Direction=H","UseDPDF=Y")</f>
        <v>0</v>
      </c>
      <c r="M24" s="2" t="str">
        <f>_xll.BDH("TCS IN Equity","BS_TOTAL_LINE_OF_CREDIT","FY 2014","FY 2014","Currency=INR","Period=FY","BEST_FPERIOD_OVERRIDE=FY","FILING_STATUS=MR","EQY_CONSOLIDATED=Y","ACCOUNTING_STANDARD_OVERRIDE=MIXED","SCALING_FORMAT=MLN","Sort=A","Dates=H","DateFormat=P","Fill=—","Direction=H","UseDPDF=Y")</f>
        <v>—</v>
      </c>
      <c r="N24" s="2" t="str">
        <f>_xll.BDH("TCS IN Equity","BS_TOTAL_LINE_OF_CREDIT","FY 2015","FY 2015","Currency=INR","Period=FY","BEST_FPERIOD_OVERRIDE=FY","FILING_STATUS=MR","EQY_CONSOLIDATED=Y","ACCOUNTING_STANDARD_OVERRIDE=MIXED","SCALING_FORMAT=MLN","Sort=A","Dates=H","DateFormat=P","Fill=—","Direction=H","UseDPDF=Y")</f>
        <v>—</v>
      </c>
      <c r="O24" s="2" t="str">
        <f>_xll.BDH("TCS IN Equity","BS_TOTAL_LINE_OF_CREDIT","FY 2016","FY 2016","Currency=INR","Period=FY","BEST_FPERIOD_OVERRIDE=FY","FILING_STATUS=MR","EQY_CONSOLIDATED=Y","ACCOUNTING_STANDARD_OVERRIDE=MIXED","SCALING_FORMAT=MLN","Sort=A","Dates=H","DateFormat=P","Fill=—","Direction=H","UseDPDF=Y")</f>
        <v>—</v>
      </c>
      <c r="P24" s="2" t="str">
        <f>_xll.BDH("TCS IN Equity","BS_TOTAL_LINE_OF_CREDIT","FY 2017","FY 2017","Currency=INR","Period=FY","BEST_FPERIOD_OVERRIDE=FY","FILING_STATUS=MR","EQY_CONSOLIDATED=Y","ACCOUNTING_STANDARD_OVERRIDE=MIXED","SCALING_FORMAT=MLN","Sort=A","Dates=H","DateFormat=P","Fill=—","Direction=H","UseDPDF=Y")</f>
        <v>—</v>
      </c>
      <c r="Q24" s="2" t="str">
        <f>_xll.BDH("TCS IN Equity","BS_TOTAL_LINE_OF_CREDIT","FY 2018","FY 2018","Currency=INR","Period=FY","BEST_FPERIOD_OVERRIDE=FY","FILING_STATUS=MR","EQY_CONSOLIDATED=Y","ACCOUNTING_STANDARD_OVERRIDE=MIXED","SCALING_FORMAT=MLN","Sort=A","Dates=H","DateFormat=P","Fill=—","Direction=H","UseDPDF=Y")</f>
        <v>—</v>
      </c>
      <c r="R24" s="2" t="str">
        <f>_xll.BDH("TCS IN Equity","BS_TOTAL_LINE_OF_CREDIT","FY 2019","FY 2019","Currency=INR","Period=FY","BEST_FPERIOD_OVERRIDE=FY","FILING_STATUS=MR","EQY_CONSOLIDATED=Y","ACCOUNTING_STANDARD_OVERRIDE=MIXED","SCALING_FORMAT=MLN","Sort=A","Dates=H","DateFormat=P","Fill=—","Direction=H","UseDPDF=Y")</f>
        <v>—</v>
      </c>
      <c r="S24" s="2" t="str">
        <f>_xll.BDH("TCS IN Equity","BS_TOTAL_LINE_OF_CREDIT","FY 2020","FY 2020","Currency=INR","Period=FY","BEST_FPERIOD_OVERRIDE=FY","FILING_STATUS=MR","EQY_CONSOLIDATED=Y","ACCOUNTING_STANDARD_OVERRIDE=MIXED","SCALING_FORMAT=MLN","Sort=A","Dates=H","DateFormat=P","Fill=—","Direction=H","UseDPDF=Y")</f>
        <v>—</v>
      </c>
      <c r="T24" s="2" t="str">
        <f>_xll.BDH("TCS IN Equity","BS_TOTAL_LINE_OF_CREDIT","FY 2021","FY 2021","Currency=INR","Period=FY","BEST_FPERIOD_OVERRIDE=FY","FILING_STATUS=MR","EQY_CONSOLIDATED=Y","ACCOUNTING_STANDARD_OVERRIDE=MIXED","SCALING_FORMAT=MLN","Sort=A","Dates=H","DateFormat=P","Fill=—","Direction=H","UseDPDF=Y")</f>
        <v>—</v>
      </c>
      <c r="U24" s="2" t="str">
        <f>_xll.BDH("TCS IN Equity","BS_TOTAL_LINE_OF_CREDIT","FY 2022","FY 2022","Currency=INR","Period=FY","BEST_FPERIOD_OVERRIDE=FY","FILING_STATUS=MR","EQY_CONSOLIDATED=Y","ACCOUNTING_STANDARD_OVERRIDE=MIXED","SCALING_FORMAT=MLN","Sort=A","Dates=H","DateFormat=P","Fill=—","Direction=H","UseDPDF=Y")</f>
        <v>—</v>
      </c>
      <c r="V24" s="2" t="str">
        <f>_xll.BDH("TCS IN Equity","BS_TOTAL_LINE_OF_CREDIT","FY 2023","FY 2023","Currency=INR","Period=FY","BEST_FPERIOD_OVERRIDE=FY","FILING_STATUS=MR","EQY_CONSOLIDATED=Y","ACCOUNTING_STANDARD_OVERRIDE=MIXED","SCALING_FORMAT=MLN","Sort=A","Dates=H","DateFormat=P","Fill=—","Direction=H","UseDPDF=Y")</f>
        <v>—</v>
      </c>
    </row>
    <row r="25" spans="1:22" x14ac:dyDescent="0.25">
      <c r="A25" s="3" t="s">
        <v>109</v>
      </c>
      <c r="B25" s="3" t="s">
        <v>110</v>
      </c>
      <c r="C25" s="2" t="str">
        <f>_xll.BDH("TCS IN Equity","BS_TOTAL_AVAIL_LINE_OF_CREDIT","FY 2004","FY 2004","Currency=INR","Period=FY","BEST_FPERIOD_OVERRIDE=FY","FILING_STATUS=MR","EQY_CONSOLIDATED=Y","ACCOUNTING_STANDARD_OVERRIDE=MIXED","SCALING_FORMAT=MLN","Sort=A","Dates=H","DateFormat=P","Fill=—","Direction=H","UseDPDF=Y")</f>
        <v>—</v>
      </c>
      <c r="D25" s="2" t="str">
        <f>_xll.BDH("TCS IN Equity","BS_TOTAL_AVAIL_LINE_OF_CREDIT","FY 2005","FY 2005","Currency=INR","Period=FY","BEST_FPERIOD_OVERRIDE=FY","FILING_STATUS=MR","EQY_CONSOLIDATED=Y","ACCOUNTING_STANDARD_OVERRIDE=MIXED","SCALING_FORMAT=MLN","Sort=A","Dates=H","DateFormat=P","Fill=—","Direction=H","UseDPDF=Y")</f>
        <v>—</v>
      </c>
      <c r="E25" s="2" t="str">
        <f>_xll.BDH("TCS IN Equity","BS_TOTAL_AVAIL_LINE_OF_CREDIT","FY 2006","FY 2006","Currency=INR","Period=FY","BEST_FPERIOD_OVERRIDE=FY","FILING_STATUS=MR","EQY_CONSOLIDATED=Y","ACCOUNTING_STANDARD_OVERRIDE=MIXED","SCALING_FORMAT=MLN","Sort=A","Dates=H","DateFormat=P","Fill=—","Direction=H","UseDPDF=Y")</f>
        <v>—</v>
      </c>
      <c r="F25" s="2" t="str">
        <f>_xll.BDH("TCS IN Equity","BS_TOTAL_AVAIL_LINE_OF_CREDIT","FY 2007","FY 2007","Currency=INR","Period=FY","BEST_FPERIOD_OVERRIDE=FY","FILING_STATUS=MR","EQY_CONSOLIDATED=Y","ACCOUNTING_STANDARD_OVERRIDE=MIXED","SCALING_FORMAT=MLN","Sort=A","Dates=H","DateFormat=P","Fill=—","Direction=H","UseDPDF=Y")</f>
        <v>—</v>
      </c>
      <c r="G25" s="2" t="str">
        <f>_xll.BDH("TCS IN Equity","BS_TOTAL_AVAIL_LINE_OF_CREDIT","FY 2008","FY 2008","Currency=INR","Period=FY","BEST_FPERIOD_OVERRIDE=FY","FILING_STATUS=MR","EQY_CONSOLIDATED=Y","ACCOUNTING_STANDARD_OVERRIDE=MIXED","SCALING_FORMAT=MLN","Sort=A","Dates=H","DateFormat=P","Fill=—","Direction=H","UseDPDF=Y")</f>
        <v>—</v>
      </c>
      <c r="H25" s="2" t="str">
        <f>_xll.BDH("TCS IN Equity","BS_TOTAL_AVAIL_LINE_OF_CREDIT","FY 2009","FY 2009","Currency=INR","Period=FY","BEST_FPERIOD_OVERRIDE=FY","FILING_STATUS=MR","EQY_CONSOLIDATED=Y","ACCOUNTING_STANDARD_OVERRIDE=MIXED","SCALING_FORMAT=MLN","Sort=A","Dates=H","DateFormat=P","Fill=—","Direction=H","UseDPDF=Y")</f>
        <v>—</v>
      </c>
      <c r="I25" s="2">
        <f>_xll.BDH("TCS IN Equity","BS_TOTAL_AVAIL_LINE_OF_CREDIT","FY 2010","FY 2010","Currency=INR","Period=FY","BEST_FPERIOD_OVERRIDE=FY","FILING_STATUS=MR","EQY_CONSOLIDATED=Y","ACCOUNTING_STANDARD_OVERRIDE=MIXED","SCALING_FORMAT=MLN","Sort=A","Dates=H","DateFormat=P","Fill=—","Direction=H","UseDPDF=Y")</f>
        <v>0</v>
      </c>
      <c r="J25" s="2">
        <f>_xll.BDH("TCS IN Equity","BS_TOTAL_AVAIL_LINE_OF_CREDIT","FY 2011","FY 2011","Currency=INR","Period=FY","BEST_FPERIOD_OVERRIDE=FY","FILING_STATUS=MR","EQY_CONSOLIDATED=Y","ACCOUNTING_STANDARD_OVERRIDE=MIXED","SCALING_FORMAT=MLN","Sort=A","Dates=H","DateFormat=P","Fill=—","Direction=H","UseDPDF=Y")</f>
        <v>0</v>
      </c>
      <c r="K25" s="2">
        <f>_xll.BDH("TCS IN Equity","BS_TOTAL_AVAIL_LINE_OF_CREDIT","FY 2012","FY 2012","Currency=INR","Period=FY","BEST_FPERIOD_OVERRIDE=FY","FILING_STATUS=MR","EQY_CONSOLIDATED=Y","ACCOUNTING_STANDARD_OVERRIDE=MIXED","SCALING_FORMAT=MLN","Sort=A","Dates=H","DateFormat=P","Fill=—","Direction=H","UseDPDF=Y")</f>
        <v>0</v>
      </c>
      <c r="L25" s="2">
        <f>_xll.BDH("TCS IN Equity","BS_TOTAL_AVAIL_LINE_OF_CREDIT","FY 2013","FY 2013","Currency=INR","Period=FY","BEST_FPERIOD_OVERRIDE=FY","FILING_STATUS=MR","EQY_CONSOLIDATED=Y","ACCOUNTING_STANDARD_OVERRIDE=MIXED","SCALING_FORMAT=MLN","Sort=A","Dates=H","DateFormat=P","Fill=—","Direction=H","UseDPDF=Y")</f>
        <v>0</v>
      </c>
      <c r="M25" s="2" t="str">
        <f>_xll.BDH("TCS IN Equity","BS_TOTAL_AVAIL_LINE_OF_CREDIT","FY 2014","FY 2014","Currency=INR","Period=FY","BEST_FPERIOD_OVERRIDE=FY","FILING_STATUS=MR","EQY_CONSOLIDATED=Y","ACCOUNTING_STANDARD_OVERRIDE=MIXED","SCALING_FORMAT=MLN","Sort=A","Dates=H","DateFormat=P","Fill=—","Direction=H","UseDPDF=Y")</f>
        <v>—</v>
      </c>
      <c r="N25" s="2" t="str">
        <f>_xll.BDH("TCS IN Equity","BS_TOTAL_AVAIL_LINE_OF_CREDIT","FY 2015","FY 2015","Currency=INR","Period=FY","BEST_FPERIOD_OVERRIDE=FY","FILING_STATUS=MR","EQY_CONSOLIDATED=Y","ACCOUNTING_STANDARD_OVERRIDE=MIXED","SCALING_FORMAT=MLN","Sort=A","Dates=H","DateFormat=P","Fill=—","Direction=H","UseDPDF=Y")</f>
        <v>—</v>
      </c>
      <c r="O25" s="2" t="str">
        <f>_xll.BDH("TCS IN Equity","BS_TOTAL_AVAIL_LINE_OF_CREDIT","FY 2016","FY 2016","Currency=INR","Period=FY","BEST_FPERIOD_OVERRIDE=FY","FILING_STATUS=MR","EQY_CONSOLIDATED=Y","ACCOUNTING_STANDARD_OVERRIDE=MIXED","SCALING_FORMAT=MLN","Sort=A","Dates=H","DateFormat=P","Fill=—","Direction=H","UseDPDF=Y")</f>
        <v>—</v>
      </c>
      <c r="P25" s="2" t="str">
        <f>_xll.BDH("TCS IN Equity","BS_TOTAL_AVAIL_LINE_OF_CREDIT","FY 2017","FY 2017","Currency=INR","Period=FY","BEST_FPERIOD_OVERRIDE=FY","FILING_STATUS=MR","EQY_CONSOLIDATED=Y","ACCOUNTING_STANDARD_OVERRIDE=MIXED","SCALING_FORMAT=MLN","Sort=A","Dates=H","DateFormat=P","Fill=—","Direction=H","UseDPDF=Y")</f>
        <v>—</v>
      </c>
      <c r="Q25" s="2" t="str">
        <f>_xll.BDH("TCS IN Equity","BS_TOTAL_AVAIL_LINE_OF_CREDIT","FY 2018","FY 2018","Currency=INR","Period=FY","BEST_FPERIOD_OVERRIDE=FY","FILING_STATUS=MR","EQY_CONSOLIDATED=Y","ACCOUNTING_STANDARD_OVERRIDE=MIXED","SCALING_FORMAT=MLN","Sort=A","Dates=H","DateFormat=P","Fill=—","Direction=H","UseDPDF=Y")</f>
        <v>—</v>
      </c>
      <c r="R25" s="2" t="str">
        <f>_xll.BDH("TCS IN Equity","BS_TOTAL_AVAIL_LINE_OF_CREDIT","FY 2019","FY 2019","Currency=INR","Period=FY","BEST_FPERIOD_OVERRIDE=FY","FILING_STATUS=MR","EQY_CONSOLIDATED=Y","ACCOUNTING_STANDARD_OVERRIDE=MIXED","SCALING_FORMAT=MLN","Sort=A","Dates=H","DateFormat=P","Fill=—","Direction=H","UseDPDF=Y")</f>
        <v>—</v>
      </c>
      <c r="S25" s="2" t="str">
        <f>_xll.BDH("TCS IN Equity","BS_TOTAL_AVAIL_LINE_OF_CREDIT","FY 2020","FY 2020","Currency=INR","Period=FY","BEST_FPERIOD_OVERRIDE=FY","FILING_STATUS=MR","EQY_CONSOLIDATED=Y","ACCOUNTING_STANDARD_OVERRIDE=MIXED","SCALING_FORMAT=MLN","Sort=A","Dates=H","DateFormat=P","Fill=—","Direction=H","UseDPDF=Y")</f>
        <v>—</v>
      </c>
      <c r="T25" s="2" t="str">
        <f>_xll.BDH("TCS IN Equity","BS_TOTAL_AVAIL_LINE_OF_CREDIT","FY 2021","FY 2021","Currency=INR","Period=FY","BEST_FPERIOD_OVERRIDE=FY","FILING_STATUS=MR","EQY_CONSOLIDATED=Y","ACCOUNTING_STANDARD_OVERRIDE=MIXED","SCALING_FORMAT=MLN","Sort=A","Dates=H","DateFormat=P","Fill=—","Direction=H","UseDPDF=Y")</f>
        <v>—</v>
      </c>
      <c r="U25" s="2" t="str">
        <f>_xll.BDH("TCS IN Equity","BS_TOTAL_AVAIL_LINE_OF_CREDIT","FY 2022","FY 2022","Currency=INR","Period=FY","BEST_FPERIOD_OVERRIDE=FY","FILING_STATUS=MR","EQY_CONSOLIDATED=Y","ACCOUNTING_STANDARD_OVERRIDE=MIXED","SCALING_FORMAT=MLN","Sort=A","Dates=H","DateFormat=P","Fill=—","Direction=H","UseDPDF=Y")</f>
        <v>—</v>
      </c>
      <c r="V25" s="2" t="str">
        <f>_xll.BDH("TCS IN Equity","BS_TOTAL_AVAIL_LINE_OF_CREDIT","FY 2023","FY 2023","Currency=INR","Period=FY","BEST_FPERIOD_OVERRIDE=FY","FILING_STATUS=MR","EQY_CONSOLIDATED=Y","ACCOUNTING_STANDARD_OVERRIDE=MIXED","SCALING_FORMAT=MLN","Sort=A","Dates=H","DateFormat=P","Fill=—","Direction=H","UseDPDF=Y")</f>
        <v>—</v>
      </c>
    </row>
    <row r="26" spans="1:22" x14ac:dyDescent="0.25">
      <c r="A26" s="3" t="s">
        <v>111</v>
      </c>
      <c r="B26" s="3" t="s">
        <v>112</v>
      </c>
      <c r="C26" s="2" t="str">
        <f>_xll.BDH("TCS IN Equity","LINE_OF_CREDIT_UTILIZED_AMOUNT","FY 2004","FY 2004","Currency=INR","Period=FY","BEST_FPERIOD_OVERRIDE=FY","FILING_STATUS=MR","EQY_CONSOLIDATED=Y","ACCOUNTING_STANDARD_OVERRIDE=MIXED","SCALING_FORMAT=MLN","Sort=A","Dates=H","DateFormat=P","Fill=—","Direction=H","UseDPDF=Y")</f>
        <v>—</v>
      </c>
      <c r="D26" s="2" t="str">
        <f>_xll.BDH("TCS IN Equity","LINE_OF_CREDIT_UTILIZED_AMOUNT","FY 2005","FY 2005","Currency=INR","Period=FY","BEST_FPERIOD_OVERRIDE=FY","FILING_STATUS=MR","EQY_CONSOLIDATED=Y","ACCOUNTING_STANDARD_OVERRIDE=MIXED","SCALING_FORMAT=MLN","Sort=A","Dates=H","DateFormat=P","Fill=—","Direction=H","UseDPDF=Y")</f>
        <v>—</v>
      </c>
      <c r="E26" s="2" t="str">
        <f>_xll.BDH("TCS IN Equity","LINE_OF_CREDIT_UTILIZED_AMOUNT","FY 2006","FY 2006","Currency=INR","Period=FY","BEST_FPERIOD_OVERRIDE=FY","FILING_STATUS=MR","EQY_CONSOLIDATED=Y","ACCOUNTING_STANDARD_OVERRIDE=MIXED","SCALING_FORMAT=MLN","Sort=A","Dates=H","DateFormat=P","Fill=—","Direction=H","UseDPDF=Y")</f>
        <v>—</v>
      </c>
      <c r="F26" s="2" t="str">
        <f>_xll.BDH("TCS IN Equity","LINE_OF_CREDIT_UTILIZED_AMOUNT","FY 2007","FY 2007","Currency=INR","Period=FY","BEST_FPERIOD_OVERRIDE=FY","FILING_STATUS=MR","EQY_CONSOLIDATED=Y","ACCOUNTING_STANDARD_OVERRIDE=MIXED","SCALING_FORMAT=MLN","Sort=A","Dates=H","DateFormat=P","Fill=—","Direction=H","UseDPDF=Y")</f>
        <v>—</v>
      </c>
      <c r="G26" s="2" t="str">
        <f>_xll.BDH("TCS IN Equity","LINE_OF_CREDIT_UTILIZED_AMOUNT","FY 2008","FY 2008","Currency=INR","Period=FY","BEST_FPERIOD_OVERRIDE=FY","FILING_STATUS=MR","EQY_CONSOLIDATED=Y","ACCOUNTING_STANDARD_OVERRIDE=MIXED","SCALING_FORMAT=MLN","Sort=A","Dates=H","DateFormat=P","Fill=—","Direction=H","UseDPDF=Y")</f>
        <v>—</v>
      </c>
      <c r="H26" s="2" t="str">
        <f>_xll.BDH("TCS IN Equity","LINE_OF_CREDIT_UTILIZED_AMOUNT","FY 2009","FY 2009","Currency=INR","Period=FY","BEST_FPERIOD_OVERRIDE=FY","FILING_STATUS=MR","EQY_CONSOLIDATED=Y","ACCOUNTING_STANDARD_OVERRIDE=MIXED","SCALING_FORMAT=MLN","Sort=A","Dates=H","DateFormat=P","Fill=—","Direction=H","UseDPDF=Y")</f>
        <v>—</v>
      </c>
      <c r="I26" s="2">
        <f>_xll.BDH("TCS IN Equity","LINE_OF_CREDIT_UTILIZED_AMOUNT","FY 2010","FY 2010","Currency=INR","Period=FY","BEST_FPERIOD_OVERRIDE=FY","FILING_STATUS=MR","EQY_CONSOLIDATED=Y","ACCOUNTING_STANDARD_OVERRIDE=MIXED","SCALING_FORMAT=MLN","Sort=A","Dates=H","DateFormat=P","Fill=—","Direction=H","UseDPDF=Y")</f>
        <v>0</v>
      </c>
      <c r="J26" s="2">
        <f>_xll.BDH("TCS IN Equity","LINE_OF_CREDIT_UTILIZED_AMOUNT","FY 2011","FY 2011","Currency=INR","Period=FY","BEST_FPERIOD_OVERRIDE=FY","FILING_STATUS=MR","EQY_CONSOLIDATED=Y","ACCOUNTING_STANDARD_OVERRIDE=MIXED","SCALING_FORMAT=MLN","Sort=A","Dates=H","DateFormat=P","Fill=—","Direction=H","UseDPDF=Y")</f>
        <v>0</v>
      </c>
      <c r="K26" s="2">
        <f>_xll.BDH("TCS IN Equity","LINE_OF_CREDIT_UTILIZED_AMOUNT","FY 2012","FY 2012","Currency=INR","Period=FY","BEST_FPERIOD_OVERRIDE=FY","FILING_STATUS=MR","EQY_CONSOLIDATED=Y","ACCOUNTING_STANDARD_OVERRIDE=MIXED","SCALING_FORMAT=MLN","Sort=A","Dates=H","DateFormat=P","Fill=—","Direction=H","UseDPDF=Y")</f>
        <v>0</v>
      </c>
      <c r="L26" s="2">
        <f>_xll.BDH("TCS IN Equity","LINE_OF_CREDIT_UTILIZED_AMOUNT","FY 2013","FY 2013","Currency=INR","Period=FY","BEST_FPERIOD_OVERRIDE=FY","FILING_STATUS=MR","EQY_CONSOLIDATED=Y","ACCOUNTING_STANDARD_OVERRIDE=MIXED","SCALING_FORMAT=MLN","Sort=A","Dates=H","DateFormat=P","Fill=—","Direction=H","UseDPDF=Y")</f>
        <v>0</v>
      </c>
      <c r="M26" s="2" t="str">
        <f>_xll.BDH("TCS IN Equity","LINE_OF_CREDIT_UTILIZED_AMOUNT","FY 2014","FY 2014","Currency=INR","Period=FY","BEST_FPERIOD_OVERRIDE=FY","FILING_STATUS=MR","EQY_CONSOLIDATED=Y","ACCOUNTING_STANDARD_OVERRIDE=MIXED","SCALING_FORMAT=MLN","Sort=A","Dates=H","DateFormat=P","Fill=—","Direction=H","UseDPDF=Y")</f>
        <v>—</v>
      </c>
      <c r="N26" s="2" t="str">
        <f>_xll.BDH("TCS IN Equity","LINE_OF_CREDIT_UTILIZED_AMOUNT","FY 2015","FY 2015","Currency=INR","Period=FY","BEST_FPERIOD_OVERRIDE=FY","FILING_STATUS=MR","EQY_CONSOLIDATED=Y","ACCOUNTING_STANDARD_OVERRIDE=MIXED","SCALING_FORMAT=MLN","Sort=A","Dates=H","DateFormat=P","Fill=—","Direction=H","UseDPDF=Y")</f>
        <v>—</v>
      </c>
      <c r="O26" s="2" t="str">
        <f>_xll.BDH("TCS IN Equity","LINE_OF_CREDIT_UTILIZED_AMOUNT","FY 2016","FY 2016","Currency=INR","Period=FY","BEST_FPERIOD_OVERRIDE=FY","FILING_STATUS=MR","EQY_CONSOLIDATED=Y","ACCOUNTING_STANDARD_OVERRIDE=MIXED","SCALING_FORMAT=MLN","Sort=A","Dates=H","DateFormat=P","Fill=—","Direction=H","UseDPDF=Y")</f>
        <v>—</v>
      </c>
      <c r="P26" s="2" t="str">
        <f>_xll.BDH("TCS IN Equity","LINE_OF_CREDIT_UTILIZED_AMOUNT","FY 2017","FY 2017","Currency=INR","Period=FY","BEST_FPERIOD_OVERRIDE=FY","FILING_STATUS=MR","EQY_CONSOLIDATED=Y","ACCOUNTING_STANDARD_OVERRIDE=MIXED","SCALING_FORMAT=MLN","Sort=A","Dates=H","DateFormat=P","Fill=—","Direction=H","UseDPDF=Y")</f>
        <v>—</v>
      </c>
      <c r="Q26" s="2" t="str">
        <f>_xll.BDH("TCS IN Equity","LINE_OF_CREDIT_UTILIZED_AMOUNT","FY 2018","FY 2018","Currency=INR","Period=FY","BEST_FPERIOD_OVERRIDE=FY","FILING_STATUS=MR","EQY_CONSOLIDATED=Y","ACCOUNTING_STANDARD_OVERRIDE=MIXED","SCALING_FORMAT=MLN","Sort=A","Dates=H","DateFormat=P","Fill=—","Direction=H","UseDPDF=Y")</f>
        <v>—</v>
      </c>
      <c r="R26" s="2" t="str">
        <f>_xll.BDH("TCS IN Equity","LINE_OF_CREDIT_UTILIZED_AMOUNT","FY 2019","FY 2019","Currency=INR","Period=FY","BEST_FPERIOD_OVERRIDE=FY","FILING_STATUS=MR","EQY_CONSOLIDATED=Y","ACCOUNTING_STANDARD_OVERRIDE=MIXED","SCALING_FORMAT=MLN","Sort=A","Dates=H","DateFormat=P","Fill=—","Direction=H","UseDPDF=Y")</f>
        <v>—</v>
      </c>
      <c r="S26" s="2" t="str">
        <f>_xll.BDH("TCS IN Equity","LINE_OF_CREDIT_UTILIZED_AMOUNT","FY 2020","FY 2020","Currency=INR","Period=FY","BEST_FPERIOD_OVERRIDE=FY","FILING_STATUS=MR","EQY_CONSOLIDATED=Y","ACCOUNTING_STANDARD_OVERRIDE=MIXED","SCALING_FORMAT=MLN","Sort=A","Dates=H","DateFormat=P","Fill=—","Direction=H","UseDPDF=Y")</f>
        <v>—</v>
      </c>
      <c r="T26" s="2" t="str">
        <f>_xll.BDH("TCS IN Equity","LINE_OF_CREDIT_UTILIZED_AMOUNT","FY 2021","FY 2021","Currency=INR","Period=FY","BEST_FPERIOD_OVERRIDE=FY","FILING_STATUS=MR","EQY_CONSOLIDATED=Y","ACCOUNTING_STANDARD_OVERRIDE=MIXED","SCALING_FORMAT=MLN","Sort=A","Dates=H","DateFormat=P","Fill=—","Direction=H","UseDPDF=Y")</f>
        <v>—</v>
      </c>
      <c r="U26" s="2" t="str">
        <f>_xll.BDH("TCS IN Equity","LINE_OF_CREDIT_UTILIZED_AMOUNT","FY 2022","FY 2022","Currency=INR","Period=FY","BEST_FPERIOD_OVERRIDE=FY","FILING_STATUS=MR","EQY_CONSOLIDATED=Y","ACCOUNTING_STANDARD_OVERRIDE=MIXED","SCALING_FORMAT=MLN","Sort=A","Dates=H","DateFormat=P","Fill=—","Direction=H","UseDPDF=Y")</f>
        <v>—</v>
      </c>
      <c r="V26" s="2" t="str">
        <f>_xll.BDH("TCS IN Equity","LINE_OF_CREDIT_UTILIZED_AMOUNT","FY 2023","FY 2023","Currency=INR","Period=FY","BEST_FPERIOD_OVERRIDE=FY","FILING_STATUS=MR","EQY_CONSOLIDATED=Y","ACCOUNTING_STANDARD_OVERRIDE=MIXED","SCALING_FORMAT=MLN","Sort=A","Dates=H","DateFormat=P","Fill=—","Direction=H","UseDPDF=Y")</f>
        <v>—</v>
      </c>
    </row>
    <row r="27" spans="1:22" x14ac:dyDescent="0.25">
      <c r="A27" s="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13" t="s">
        <v>77</v>
      </c>
      <c r="B28" s="13"/>
      <c r="C28" s="13" t="s"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4B29-AD72-4425-AA70-31354CA0F576}">
  <dimension ref="A1:V29"/>
  <sheetViews>
    <sheetView workbookViewId="0">
      <selection activeCell="D32" sqref="D32"/>
    </sheetView>
  </sheetViews>
  <sheetFormatPr defaultRowHeight="15" x14ac:dyDescent="0.25"/>
  <cols>
    <col min="1" max="1" width="35.140625" customWidth="1"/>
    <col min="2" max="2" width="0" hidden="1" customWidth="1"/>
    <col min="3" max="22" width="11.85546875" customWidth="1"/>
  </cols>
  <sheetData>
    <row r="1" spans="1:2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114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6" t="s">
        <v>3</v>
      </c>
      <c r="B4" s="6"/>
      <c r="C4" s="5" t="s">
        <v>4</v>
      </c>
      <c r="D4" s="5" t="s">
        <v>1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</row>
    <row r="5" spans="1:22" x14ac:dyDescent="0.25">
      <c r="A5" s="15" t="s">
        <v>23</v>
      </c>
      <c r="B5" s="15"/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4" t="s">
        <v>43</v>
      </c>
    </row>
    <row r="6" spans="1:22" x14ac:dyDescent="0.25">
      <c r="A6" s="3" t="s">
        <v>79</v>
      </c>
      <c r="B6" s="3" t="s">
        <v>80</v>
      </c>
      <c r="C6" s="18">
        <f>_xll.BDH("TATA IN Equity","CASH_RATIO","FY 2004","FY 2004","Currency=INR","Period=FY","BEST_FPERIOD_OVERRIDE=FY","FILING_STATUS=MR","EQY_CONSOLIDATED=Y","Sort=A","Dates=H","DateFormat=P","Fill=—","Direction=H","UseDPDF=Y")</f>
        <v>0.4294</v>
      </c>
      <c r="D6" s="18">
        <f>_xll.BDH("TATA IN Equity","CASH_RATIO","FY 2005","FY 2005","Currency=INR","Period=FY","BEST_FPERIOD_OVERRIDE=FY","FILING_STATUS=MR","EQY_CONSOLIDATED=Y","Sort=A","Dates=H","DateFormat=P","Fill=—","Direction=H","UseDPDF=Y")</f>
        <v>0.41</v>
      </c>
      <c r="E6" s="18">
        <f>_xll.BDH("TATA IN Equity","CASH_RATIO","FY 2006","FY 2006","Currency=INR","Period=FY","BEST_FPERIOD_OVERRIDE=FY","FILING_STATUS=MR","EQY_CONSOLIDATED=Y","Sort=A","Dates=H","DateFormat=P","Fill=—","Direction=H","UseDPDF=Y")</f>
        <v>0.61270000000000002</v>
      </c>
      <c r="F6" s="18">
        <f>_xll.BDH("TATA IN Equity","CASH_RATIO","FY 2007","FY 2007","Currency=INR","Period=FY","BEST_FPERIOD_OVERRIDE=FY","FILING_STATUS=MR","EQY_CONSOLIDATED=Y","Sort=A","Dates=H","DateFormat=P","Fill=—","Direction=H","UseDPDF=Y")</f>
        <v>1.8836999999999999</v>
      </c>
      <c r="G6" s="18">
        <f>_xll.BDH("TATA IN Equity","CASH_RATIO","FY 2008","FY 2008","Currency=INR","Period=FY","BEST_FPERIOD_OVERRIDE=FY","FILING_STATUS=MR","EQY_CONSOLIDATED=Y","Sort=A","Dates=H","DateFormat=P","Fill=—","Direction=H","UseDPDF=Y")</f>
        <v>0.15809999999999999</v>
      </c>
      <c r="H6" s="18">
        <f>_xll.BDH("TATA IN Equity","CASH_RATIO","FY 2009","FY 2009","Currency=INR","Period=FY","BEST_FPERIOD_OVERRIDE=FY","FILING_STATUS=MR","EQY_CONSOLIDATED=Y","Sort=A","Dates=H","DateFormat=P","Fill=—","Direction=H","UseDPDF=Y")</f>
        <v>0.314</v>
      </c>
      <c r="I6" s="18">
        <f>_xll.BDH("TATA IN Equity","CASH_RATIO","FY 2010","FY 2010","Currency=INR","Period=FY","BEST_FPERIOD_OVERRIDE=FY","FILING_STATUS=MR","EQY_CONSOLIDATED=Y","Sort=A","Dates=H","DateFormat=P","Fill=—","Direction=H","UseDPDF=Y")</f>
        <v>0.28989999999999999</v>
      </c>
      <c r="J6" s="18">
        <f>_xll.BDH("TATA IN Equity","CASH_RATIO","FY 2011","FY 2011","Currency=INR","Period=FY","BEST_FPERIOD_OVERRIDE=FY","FILING_STATUS=MR","EQY_CONSOLIDATED=Y","Sort=A","Dates=H","DateFormat=P","Fill=—","Direction=H","UseDPDF=Y")</f>
        <v>0.34489999999999998</v>
      </c>
      <c r="K6" s="18">
        <f>_xll.BDH("TATA IN Equity","CASH_RATIO","FY 2012","FY 2012","Currency=INR","Period=FY","BEST_FPERIOD_OVERRIDE=FY","FILING_STATUS=MR","EQY_CONSOLIDATED=Y","Sort=A","Dates=H","DateFormat=P","Fill=—","Direction=H","UseDPDF=Y")</f>
        <v>0.25690000000000002</v>
      </c>
      <c r="L6" s="18">
        <f>_xll.BDH("TATA IN Equity","CASH_RATIO","FY 2013","FY 2013","Currency=INR","Period=FY","BEST_FPERIOD_OVERRIDE=FY","FILING_STATUS=MR","EQY_CONSOLIDATED=Y","Sort=A","Dates=H","DateFormat=P","Fill=—","Direction=H","UseDPDF=Y")</f>
        <v>0.2026</v>
      </c>
      <c r="M6" s="18">
        <f>_xll.BDH("TATA IN Equity","CASH_RATIO","FY 2014","FY 2014","Currency=INR","Period=FY","BEST_FPERIOD_OVERRIDE=FY","FILING_STATUS=MR","EQY_CONSOLIDATED=Y","Sort=A","Dates=H","DateFormat=P","Fill=—","Direction=H","UseDPDF=Y")</f>
        <v>0.17580000000000001</v>
      </c>
      <c r="N6" s="18">
        <f>_xll.BDH("TATA IN Equity","CASH_RATIO","FY 2015","FY 2015","Currency=INR","Period=FY","BEST_FPERIOD_OVERRIDE=FY","FILING_STATUS=MR","EQY_CONSOLIDATED=Y","Sort=A","Dates=H","DateFormat=P","Fill=—","Direction=H","UseDPDF=Y")</f>
        <v>0.22020000000000001</v>
      </c>
      <c r="O6" s="18">
        <f>_xll.BDH("TATA IN Equity","CASH_RATIO","FY 2016","FY 2016","Currency=INR","Period=FY","BEST_FPERIOD_OVERRIDE=FY","FILING_STATUS=MR","EQY_CONSOLIDATED=Y","Sort=A","Dates=H","DateFormat=P","Fill=—","Direction=H","UseDPDF=Y")</f>
        <v>0.2263</v>
      </c>
      <c r="P6" s="18">
        <f>_xll.BDH("TATA IN Equity","CASH_RATIO","FY 2017","FY 2017","Currency=INR","Period=FY","BEST_FPERIOD_OVERRIDE=FY","FILING_STATUS=MR","EQY_CONSOLIDATED=Y","Sort=A","Dates=H","DateFormat=P","Fill=—","Direction=H","UseDPDF=Y")</f>
        <v>0.2104</v>
      </c>
      <c r="Q6" s="18">
        <f>_xll.BDH("TATA IN Equity","CASH_RATIO","FY 2018","FY 2018","Currency=INR","Period=FY","BEST_FPERIOD_OVERRIDE=FY","FILING_STATUS=MR","EQY_CONSOLIDATED=Y","Sort=A","Dates=H","DateFormat=P","Fill=—","Direction=H","UseDPDF=Y")</f>
        <v>0.41049999999999998</v>
      </c>
      <c r="R6" s="18">
        <f>_xll.BDH("TATA IN Equity","CASH_RATIO","FY 2019","FY 2019","Currency=INR","Period=FY","BEST_FPERIOD_OVERRIDE=FY","FILING_STATUS=MR","EQY_CONSOLIDATED=Y","Sort=A","Dates=H","DateFormat=P","Fill=—","Direction=H","UseDPDF=Y")</f>
        <v>9.6100000000000005E-2</v>
      </c>
      <c r="S6" s="18">
        <f>_xll.BDH("TATA IN Equity","CASH_RATIO","FY 2020","FY 2020","Currency=INR","Period=FY","BEST_FPERIOD_OVERRIDE=FY","FILING_STATUS=MR","EQY_CONSOLIDATED=Y","Sort=A","Dates=H","DateFormat=P","Fill=—","Direction=H","UseDPDF=Y")</f>
        <v>0.18629999999999999</v>
      </c>
      <c r="T6" s="18">
        <f>_xll.BDH("TATA IN Equity","CASH_RATIO","FY 2021","FY 2021","Currency=INR","Period=FY","BEST_FPERIOD_OVERRIDE=FY","FILING_STATUS=MR","EQY_CONSOLIDATED=Y","Sort=A","Dates=H","DateFormat=P","Fill=—","Direction=H","UseDPDF=Y")</f>
        <v>0.1835</v>
      </c>
      <c r="U6" s="18">
        <f>_xll.BDH("TATA IN Equity","CASH_RATIO","FY 2022","FY 2022","Currency=INR","Period=FY","BEST_FPERIOD_OVERRIDE=FY","FILING_STATUS=MR","EQY_CONSOLIDATED=Y","Sort=A","Dates=H","DateFormat=P","Fill=—","Direction=H","UseDPDF=Y")</f>
        <v>0.26960000000000001</v>
      </c>
      <c r="V6" s="18">
        <f>_xll.BDH("TATA IN Equity","CASH_RATIO","FY 2023","FY 2023","Currency=INR","Period=FY","BEST_FPERIOD_OVERRIDE=FY","FILING_STATUS=MR","EQY_CONSOLIDATED=Y","Sort=A","Dates=H","DateFormat=P","Fill=—","Direction=H","UseDPDF=Y")</f>
        <v>0.17460000000000001</v>
      </c>
    </row>
    <row r="7" spans="1:22" x14ac:dyDescent="0.25">
      <c r="A7" s="3" t="s">
        <v>81</v>
      </c>
      <c r="B7" s="3" t="s">
        <v>82</v>
      </c>
      <c r="C7" s="18">
        <f>_xll.BDH("TATA IN Equity","CUR_RATIO","FY 2004","FY 2004","Currency=INR","Period=FY","BEST_FPERIOD_OVERRIDE=FY","FILING_STATUS=MR","EQY_CONSOLIDATED=Y","Sort=A","Dates=H","DateFormat=P","Fill=—","Direction=H","UseDPDF=Y")</f>
        <v>1.3727</v>
      </c>
      <c r="D7" s="18">
        <f>_xll.BDH("TATA IN Equity","CUR_RATIO","FY 2005","FY 2005","Currency=INR","Period=FY","BEST_FPERIOD_OVERRIDE=FY","FILING_STATUS=MR","EQY_CONSOLIDATED=Y","Sort=A","Dates=H","DateFormat=P","Fill=—","Direction=H","UseDPDF=Y")</f>
        <v>1.35</v>
      </c>
      <c r="E7" s="18">
        <f>_xll.BDH("TATA IN Equity","CUR_RATIO","FY 2006","FY 2006","Currency=INR","Period=FY","BEST_FPERIOD_OVERRIDE=FY","FILING_STATUS=MR","EQY_CONSOLIDATED=Y","Sort=A","Dates=H","DateFormat=P","Fill=—","Direction=H","UseDPDF=Y")</f>
        <v>1.6963999999999999</v>
      </c>
      <c r="F7" s="18">
        <f>_xll.BDH("TATA IN Equity","CUR_RATIO","FY 2007","FY 2007","Currency=INR","Period=FY","BEST_FPERIOD_OVERRIDE=FY","FILING_STATUS=MR","EQY_CONSOLIDATED=Y","Sort=A","Dates=H","DateFormat=P","Fill=—","Direction=H","UseDPDF=Y")</f>
        <v>2.8527</v>
      </c>
      <c r="G7" s="18">
        <f>_xll.BDH("TATA IN Equity","CUR_RATIO","FY 2008","FY 2008","Currency=INR","Period=FY","BEST_FPERIOD_OVERRIDE=FY","FILING_STATUS=MR","EQY_CONSOLIDATED=Y","Sort=A","Dates=H","DateFormat=P","Fill=—","Direction=H","UseDPDF=Y")</f>
        <v>1.8728</v>
      </c>
      <c r="H7" s="18">
        <f>_xll.BDH("TATA IN Equity","CUR_RATIO","FY 2009","FY 2009","Currency=INR","Period=FY","BEST_FPERIOD_OVERRIDE=FY","FILING_STATUS=MR","EQY_CONSOLIDATED=Y","Sort=A","Dates=H","DateFormat=P","Fill=—","Direction=H","UseDPDF=Y")</f>
        <v>1.8838999999999999</v>
      </c>
      <c r="I7" s="18">
        <f>_xll.BDH("TATA IN Equity","CUR_RATIO","FY 2010","FY 2010","Currency=INR","Period=FY","BEST_FPERIOD_OVERRIDE=FY","FILING_STATUS=MR","EQY_CONSOLIDATED=Y","Sort=A","Dates=H","DateFormat=P","Fill=—","Direction=H","UseDPDF=Y")</f>
        <v>1.5181</v>
      </c>
      <c r="J7" s="18">
        <f>_xll.BDH("TATA IN Equity","CUR_RATIO","FY 2011","FY 2011","Currency=INR","Period=FY","BEST_FPERIOD_OVERRIDE=FY","FILING_STATUS=MR","EQY_CONSOLIDATED=Y","Sort=A","Dates=H","DateFormat=P","Fill=—","Direction=H","UseDPDF=Y")</f>
        <v>1.3896999999999999</v>
      </c>
      <c r="K7" s="18">
        <f>_xll.BDH("TATA IN Equity","CUR_RATIO","FY 2012","FY 2012","Currency=INR","Period=FY","BEST_FPERIOD_OVERRIDE=FY","FILING_STATUS=MR","EQY_CONSOLIDATED=Y","Sort=A","Dates=H","DateFormat=P","Fill=—","Direction=H","UseDPDF=Y")</f>
        <v>1.1963999999999999</v>
      </c>
      <c r="L7" s="18">
        <f>_xll.BDH("TATA IN Equity","CUR_RATIO","FY 2013","FY 2013","Currency=INR","Period=FY","BEST_FPERIOD_OVERRIDE=FY","FILING_STATUS=MR","EQY_CONSOLIDATED=Y","Sort=A","Dates=H","DateFormat=P","Fill=—","Direction=H","UseDPDF=Y")</f>
        <v>1.0370999999999999</v>
      </c>
      <c r="M7" s="18">
        <f>_xll.BDH("TATA IN Equity","CUR_RATIO","FY 2014","FY 2014","Currency=INR","Period=FY","BEST_FPERIOD_OVERRIDE=FY","FILING_STATUS=MR","EQY_CONSOLIDATED=Y","Sort=A","Dates=H","DateFormat=P","Fill=—","Direction=H","UseDPDF=Y")</f>
        <v>0.90429999999999999</v>
      </c>
      <c r="N7" s="18">
        <f>_xll.BDH("TATA IN Equity","CUR_RATIO","FY 2015","FY 2015","Currency=INR","Period=FY","BEST_FPERIOD_OVERRIDE=FY","FILING_STATUS=MR","EQY_CONSOLIDATED=Y","Sort=A","Dates=H","DateFormat=P","Fill=—","Direction=H","UseDPDF=Y")</f>
        <v>1.169</v>
      </c>
      <c r="O7" s="18">
        <f>_xll.BDH("TATA IN Equity","CUR_RATIO","FY 2016","FY 2016","Currency=INR","Period=FY","BEST_FPERIOD_OVERRIDE=FY","FILING_STATUS=MR","EQY_CONSOLIDATED=Y","Sort=A","Dates=H","DateFormat=P","Fill=—","Direction=H","UseDPDF=Y")</f>
        <v>0.95489999999999997</v>
      </c>
      <c r="P7" s="18">
        <f>_xll.BDH("TATA IN Equity","CUR_RATIO","FY 2017","FY 2017","Currency=INR","Period=FY","BEST_FPERIOD_OVERRIDE=FY","FILING_STATUS=MR","EQY_CONSOLIDATED=Y","Sort=A","Dates=H","DateFormat=P","Fill=—","Direction=H","UseDPDF=Y")</f>
        <v>1.0118</v>
      </c>
      <c r="Q7" s="18">
        <f>_xll.BDH("TATA IN Equity","CUR_RATIO","FY 2018","FY 2018","Currency=INR","Period=FY","BEST_FPERIOD_OVERRIDE=FY","FILING_STATUS=MR","EQY_CONSOLIDATED=Y","Sort=A","Dates=H","DateFormat=P","Fill=—","Direction=H","UseDPDF=Y")</f>
        <v>1.2195</v>
      </c>
      <c r="R7" s="18">
        <f>_xll.BDH("TATA IN Equity","CUR_RATIO","FY 2019","FY 2019","Currency=INR","Period=FY","BEST_FPERIOD_OVERRIDE=FY","FILING_STATUS=MR","EQY_CONSOLIDATED=Y","Sort=A","Dates=H","DateFormat=P","Fill=—","Direction=H","UseDPDF=Y")</f>
        <v>0.96650000000000003</v>
      </c>
      <c r="S7" s="18">
        <f>_xll.BDH("TATA IN Equity","CUR_RATIO","FY 2020","FY 2020","Currency=INR","Period=FY","BEST_FPERIOD_OVERRIDE=FY","FILING_STATUS=MR","EQY_CONSOLIDATED=Y","Sort=A","Dates=H","DateFormat=P","Fill=—","Direction=H","UseDPDF=Y")</f>
        <v>0.95250000000000001</v>
      </c>
      <c r="T7" s="18">
        <f>_xll.BDH("TATA IN Equity","CUR_RATIO","FY 2021","FY 2021","Currency=INR","Period=FY","BEST_FPERIOD_OVERRIDE=FY","FILING_STATUS=MR","EQY_CONSOLIDATED=Y","Sort=A","Dates=H","DateFormat=P","Fill=—","Direction=H","UseDPDF=Y")</f>
        <v>0.84960000000000002</v>
      </c>
      <c r="U7" s="18">
        <f>_xll.BDH("TATA IN Equity","CUR_RATIO","FY 2022","FY 2022","Currency=INR","Period=FY","BEST_FPERIOD_OVERRIDE=FY","FILING_STATUS=MR","EQY_CONSOLIDATED=Y","Sort=A","Dates=H","DateFormat=P","Fill=—","Direction=H","UseDPDF=Y")</f>
        <v>1.0217000000000001</v>
      </c>
      <c r="V7" s="18">
        <f>_xll.BDH("TATA IN Equity","CUR_RATIO","FY 2023","FY 2023","Currency=INR","Period=FY","BEST_FPERIOD_OVERRIDE=FY","FILING_STATUS=MR","EQY_CONSOLIDATED=Y","Sort=A","Dates=H","DateFormat=P","Fill=—","Direction=H","UseDPDF=Y")</f>
        <v>0.89070000000000005</v>
      </c>
    </row>
    <row r="8" spans="1:22" x14ac:dyDescent="0.25">
      <c r="A8" s="3" t="s">
        <v>83</v>
      </c>
      <c r="B8" s="3" t="s">
        <v>84</v>
      </c>
      <c r="C8" s="18">
        <f>_xll.BDH("TATA IN Equity","QUICK_RATIO","FY 2004","FY 2004","Currency=INR","Period=FY","BEST_FPERIOD_OVERRIDE=FY","FILING_STATUS=MR","EQY_CONSOLIDATED=Y","Sort=A","Dates=H","DateFormat=P","Fill=—","Direction=H","UseDPDF=Y")</f>
        <v>0.60370000000000001</v>
      </c>
      <c r="D8" s="18">
        <f>_xll.BDH("TATA IN Equity","QUICK_RATIO","FY 2005","FY 2005","Currency=INR","Period=FY","BEST_FPERIOD_OVERRIDE=FY","FILING_STATUS=MR","EQY_CONSOLIDATED=Y","Sort=A","Dates=H","DateFormat=P","Fill=—","Direction=H","UseDPDF=Y")</f>
        <v>0.68020000000000003</v>
      </c>
      <c r="E8" s="18">
        <f>_xll.BDH("TATA IN Equity","QUICK_RATIO","FY 2006","FY 2006","Currency=INR","Period=FY","BEST_FPERIOD_OVERRIDE=FY","FILING_STATUS=MR","EQY_CONSOLIDATED=Y","Sort=A","Dates=H","DateFormat=P","Fill=—","Direction=H","UseDPDF=Y")</f>
        <v>0.87009999999999998</v>
      </c>
      <c r="F8" s="18">
        <f>_xll.BDH("TATA IN Equity","QUICK_RATIO","FY 2007","FY 2007","Currency=INR","Period=FY","BEST_FPERIOD_OVERRIDE=FY","FILING_STATUS=MR","EQY_CONSOLIDATED=Y","Sort=A","Dates=H","DateFormat=P","Fill=—","Direction=H","UseDPDF=Y")</f>
        <v>2.1</v>
      </c>
      <c r="G8" s="18">
        <f>_xll.BDH("TATA IN Equity","QUICK_RATIO","FY 2008","FY 2008","Currency=INR","Period=FY","BEST_FPERIOD_OVERRIDE=FY","FILING_STATUS=MR","EQY_CONSOLIDATED=Y","Sort=A","Dates=H","DateFormat=P","Fill=—","Direction=H","UseDPDF=Y")</f>
        <v>0.7278</v>
      </c>
      <c r="H8" s="18">
        <f>_xll.BDH("TATA IN Equity","QUICK_RATIO","FY 2009","FY 2009","Currency=INR","Period=FY","BEST_FPERIOD_OVERRIDE=FY","FILING_STATUS=MR","EQY_CONSOLIDATED=Y","Sort=A","Dates=H","DateFormat=P","Fill=—","Direction=H","UseDPDF=Y")</f>
        <v>0.74270000000000003</v>
      </c>
      <c r="I8" s="18">
        <f>_xll.BDH("TATA IN Equity","QUICK_RATIO","FY 2010","FY 2010","Currency=INR","Period=FY","BEST_FPERIOD_OVERRIDE=FY","FILING_STATUS=MR","EQY_CONSOLIDATED=Y","Sort=A","Dates=H","DateFormat=P","Fill=—","Direction=H","UseDPDF=Y")</f>
        <v>0.6714</v>
      </c>
      <c r="J8" s="18">
        <f>_xll.BDH("TATA IN Equity","QUICK_RATIO","FY 2011","FY 2011","Currency=INR","Period=FY","BEST_FPERIOD_OVERRIDE=FY","FILING_STATUS=MR","EQY_CONSOLIDATED=Y","Sort=A","Dates=H","DateFormat=P","Fill=—","Direction=H","UseDPDF=Y")</f>
        <v>0.70930000000000004</v>
      </c>
      <c r="K8" s="18">
        <f>_xll.BDH("TATA IN Equity","QUICK_RATIO","FY 2012","FY 2012","Currency=INR","Period=FY","BEST_FPERIOD_OVERRIDE=FY","FILING_STATUS=MR","EQY_CONSOLIDATED=Y","Sort=A","Dates=H","DateFormat=P","Fill=—","Direction=H","UseDPDF=Y")</f>
        <v>0.57020000000000004</v>
      </c>
      <c r="L8" s="18">
        <f>_xll.BDH("TATA IN Equity","QUICK_RATIO","FY 2013","FY 2013","Currency=INR","Period=FY","BEST_FPERIOD_OVERRIDE=FY","FILING_STATUS=MR","EQY_CONSOLIDATED=Y","Sort=A","Dates=H","DateFormat=P","Fill=—","Direction=H","UseDPDF=Y")</f>
        <v>0.4703</v>
      </c>
      <c r="M8" s="18">
        <f>_xll.BDH("TATA IN Equity","QUICK_RATIO","FY 2014","FY 2014","Currency=INR","Period=FY","BEST_FPERIOD_OVERRIDE=FY","FILING_STATUS=MR","EQY_CONSOLIDATED=Y","Sort=A","Dates=H","DateFormat=P","Fill=—","Direction=H","UseDPDF=Y")</f>
        <v>0.4254</v>
      </c>
      <c r="N8" s="18">
        <f>_xll.BDH("TATA IN Equity","QUICK_RATIO","FY 2015","FY 2015","Currency=INR","Period=FY","BEST_FPERIOD_OVERRIDE=FY","FILING_STATUS=MR","EQY_CONSOLIDATED=Y","Sort=A","Dates=H","DateFormat=P","Fill=—","Direction=H","UseDPDF=Y")</f>
        <v>0.50980000000000003</v>
      </c>
      <c r="O8" s="18">
        <f>_xll.BDH("TATA IN Equity","QUICK_RATIO","FY 2016","FY 2016","Currency=INR","Period=FY","BEST_FPERIOD_OVERRIDE=FY","FILING_STATUS=MR","EQY_CONSOLIDATED=Y","Sort=A","Dates=H","DateFormat=P","Fill=—","Direction=H","UseDPDF=Y")</f>
        <v>0.47789999999999999</v>
      </c>
      <c r="P8" s="18">
        <f>_xll.BDH("TATA IN Equity","QUICK_RATIO","FY 2017","FY 2017","Currency=INR","Period=FY","BEST_FPERIOD_OVERRIDE=FY","FILING_STATUS=MR","EQY_CONSOLIDATED=Y","Sort=A","Dates=H","DateFormat=P","Fill=—","Direction=H","UseDPDF=Y")</f>
        <v>0.44059999999999999</v>
      </c>
      <c r="Q8" s="18">
        <f>_xll.BDH("TATA IN Equity","QUICK_RATIO","FY 2018","FY 2018","Currency=INR","Period=FY","BEST_FPERIOD_OVERRIDE=FY","FILING_STATUS=MR","EQY_CONSOLIDATED=Y","Sort=A","Dates=H","DateFormat=P","Fill=—","Direction=H","UseDPDF=Y")</f>
        <v>0.63349999999999995</v>
      </c>
      <c r="R8" s="18">
        <f>_xll.BDH("TATA IN Equity","QUICK_RATIO","FY 2019","FY 2019","Currency=INR","Period=FY","BEST_FPERIOD_OVERRIDE=FY","FILING_STATUS=MR","EQY_CONSOLIDATED=Y","Sort=A","Dates=H","DateFormat=P","Fill=—","Direction=H","UseDPDF=Y")</f>
        <v>0.28960000000000002</v>
      </c>
      <c r="S8" s="18">
        <f>_xll.BDH("TATA IN Equity","QUICK_RATIO","FY 2020","FY 2020","Currency=INR","Period=FY","BEST_FPERIOD_OVERRIDE=FY","FILING_STATUS=MR","EQY_CONSOLIDATED=Y","Sort=A","Dates=H","DateFormat=P","Fill=—","Direction=H","UseDPDF=Y")</f>
        <v>0.31419999999999998</v>
      </c>
      <c r="T8" s="18">
        <f>_xll.BDH("TATA IN Equity","QUICK_RATIO","FY 2021","FY 2021","Currency=INR","Period=FY","BEST_FPERIOD_OVERRIDE=FY","FILING_STATUS=MR","EQY_CONSOLIDATED=Y","Sort=A","Dates=H","DateFormat=P","Fill=—","Direction=H","UseDPDF=Y")</f>
        <v>0.31809999999999999</v>
      </c>
      <c r="U8" s="18">
        <f>_xll.BDH("TATA IN Equity","QUICK_RATIO","FY 2022","FY 2022","Currency=INR","Period=FY","BEST_FPERIOD_OVERRIDE=FY","FILING_STATUS=MR","EQY_CONSOLIDATED=Y","Sort=A","Dates=H","DateFormat=P","Fill=—","Direction=H","UseDPDF=Y")</f>
        <v>0.40479999999999999</v>
      </c>
      <c r="V8" s="18">
        <f>_xll.BDH("TATA IN Equity","QUICK_RATIO","FY 2023","FY 2023","Currency=INR","Period=FY","BEST_FPERIOD_OVERRIDE=FY","FILING_STATUS=MR","EQY_CONSOLIDATED=Y","Sort=A","Dates=H","DateFormat=P","Fill=—","Direction=H","UseDPDF=Y")</f>
        <v>0.25950000000000001</v>
      </c>
    </row>
    <row r="9" spans="1:22" x14ac:dyDescent="0.25">
      <c r="A9" s="3" t="s">
        <v>85</v>
      </c>
      <c r="B9" s="3" t="s">
        <v>86</v>
      </c>
      <c r="C9" s="18">
        <f>_xll.BDH("TATA IN Equity","CFO_TO_AVG_CURRENT_LIABILITIES","FY 2004","FY 2004","Currency=INR","Period=FY","BEST_FPERIOD_OVERRIDE=FY","FILING_STATUS=MR","EQY_CONSOLIDATED=Y","Sort=A","Dates=H","DateFormat=P","Fill=—","Direction=H","UseDPDF=Y")</f>
        <v>0.79930000000000001</v>
      </c>
      <c r="D9" s="18">
        <f>_xll.BDH("TATA IN Equity","CFO_TO_AVG_CURRENT_LIABILITIES","FY 2005","FY 2005","Currency=INR","Period=FY","BEST_FPERIOD_OVERRIDE=FY","FILING_STATUS=MR","EQY_CONSOLIDATED=Y","Sort=A","Dates=H","DateFormat=P","Fill=—","Direction=H","UseDPDF=Y")</f>
        <v>0.66569999999999996</v>
      </c>
      <c r="E9" s="18">
        <f>_xll.BDH("TATA IN Equity","CFO_TO_AVG_CURRENT_LIABILITIES","FY 2006","FY 2006","Currency=INR","Period=FY","BEST_FPERIOD_OVERRIDE=FY","FILING_STATUS=MR","EQY_CONSOLIDATED=Y","Sort=A","Dates=H","DateFormat=P","Fill=—","Direction=H","UseDPDF=Y")</f>
        <v>0.76790000000000003</v>
      </c>
      <c r="F9" s="18">
        <f>_xll.BDH("TATA IN Equity","CFO_TO_AVG_CURRENT_LIABILITIES","FY 2007","FY 2007","Currency=INR","Period=FY","BEST_FPERIOD_OVERRIDE=FY","FILING_STATUS=MR","EQY_CONSOLIDATED=Y","Sort=A","Dates=H","DateFormat=P","Fill=—","Direction=H","UseDPDF=Y")</f>
        <v>0.86370000000000002</v>
      </c>
      <c r="G9" s="18">
        <f>_xll.BDH("TATA IN Equity","CFO_TO_AVG_CURRENT_LIABILITIES","FY 2008","FY 2008","Currency=INR","Period=FY","BEST_FPERIOD_OVERRIDE=FY","FILING_STATUS=MR","EQY_CONSOLIDATED=Y","Sort=A","Dates=H","DateFormat=P","Fill=—","Direction=H","UseDPDF=Y")</f>
        <v>0.47749999999999998</v>
      </c>
      <c r="H9" s="18">
        <f>_xll.BDH("TATA IN Equity","CFO_TO_AVG_CURRENT_LIABILITIES","FY 2009","FY 2009","Currency=INR","Period=FY","BEST_FPERIOD_OVERRIDE=FY","FILING_STATUS=MR","EQY_CONSOLIDATED=Y","Sort=A","Dates=H","DateFormat=P","Fill=—","Direction=H","UseDPDF=Y")</f>
        <v>0.39939999999999998</v>
      </c>
      <c r="I9" s="18">
        <f>_xll.BDH("TATA IN Equity","CFO_TO_AVG_CURRENT_LIABILITIES","FY 2010","FY 2010","Currency=INR","Period=FY","BEST_FPERIOD_OVERRIDE=FY","FILING_STATUS=MR","EQY_CONSOLIDATED=Y","Sort=A","Dates=H","DateFormat=P","Fill=—","Direction=H","UseDPDF=Y")</f>
        <v>0.24890000000000001</v>
      </c>
      <c r="J9" s="18">
        <f>_xll.BDH("TATA IN Equity","CFO_TO_AVG_CURRENT_LIABILITIES","FY 2011","FY 2011","Currency=INR","Period=FY","BEST_FPERIOD_OVERRIDE=FY","FILING_STATUS=MR","EQY_CONSOLIDATED=Y","Sort=A","Dates=H","DateFormat=P","Fill=—","Direction=H","UseDPDF=Y")</f>
        <v>3.5700000000000003E-2</v>
      </c>
      <c r="K9" s="18">
        <f>_xll.BDH("TATA IN Equity","CFO_TO_AVG_CURRENT_LIABILITIES","FY 2012","FY 2012","Currency=INR","Period=FY","BEST_FPERIOD_OVERRIDE=FY","FILING_STATUS=MR","EQY_CONSOLIDATED=Y","Sort=A","Dates=H","DateFormat=P","Fill=—","Direction=H","UseDPDF=Y")</f>
        <v>0.19239999999999999</v>
      </c>
      <c r="L9" s="18">
        <f>_xll.BDH("TATA IN Equity","CFO_TO_AVG_CURRENT_LIABILITIES","FY 2013","FY 2013","Currency=INR","Period=FY","BEST_FPERIOD_OVERRIDE=FY","FILING_STATUS=MR","EQY_CONSOLIDATED=Y","Sort=A","Dates=H","DateFormat=P","Fill=—","Direction=H","UseDPDF=Y")</f>
        <v>0.22439999999999999</v>
      </c>
      <c r="M9" s="18">
        <f>_xll.BDH("TATA IN Equity","CFO_TO_AVG_CURRENT_LIABILITIES","FY 2014","FY 2014","Currency=INR","Period=FY","BEST_FPERIOD_OVERRIDE=FY","FILING_STATUS=MR","EQY_CONSOLIDATED=Y","Sort=A","Dates=H","DateFormat=P","Fill=—","Direction=H","UseDPDF=Y")</f>
        <v>0.16869999999999999</v>
      </c>
      <c r="N9" s="18">
        <f>_xll.BDH("TATA IN Equity","CFO_TO_AVG_CURRENT_LIABILITIES","FY 2015","FY 2015","Currency=INR","Period=FY","BEST_FPERIOD_OVERRIDE=FY","FILING_STATUS=MR","EQY_CONSOLIDATED=Y","Sort=A","Dates=H","DateFormat=P","Fill=—","Direction=H","UseDPDF=Y")</f>
        <v>0.12330000000000001</v>
      </c>
      <c r="O9" s="18">
        <f>_xll.BDH("TATA IN Equity","CFO_TO_AVG_CURRENT_LIABILITIES","FY 2016","FY 2016","Currency=INR","Period=FY","BEST_FPERIOD_OVERRIDE=FY","FILING_STATUS=MR","EQY_CONSOLIDATED=Y","Sort=A","Dates=H","DateFormat=P","Fill=—","Direction=H","UseDPDF=Y")</f>
        <v>0.1323</v>
      </c>
      <c r="P9" s="18">
        <f>_xll.BDH("TATA IN Equity","CFO_TO_AVG_CURRENT_LIABILITIES","FY 2017","FY 2017","Currency=INR","Period=FY","BEST_FPERIOD_OVERRIDE=FY","FILING_STATUS=MR","EQY_CONSOLIDATED=Y","Sort=A","Dates=H","DateFormat=P","Fill=—","Direction=H","UseDPDF=Y")</f>
        <v>0.1285</v>
      </c>
      <c r="Q9" s="18">
        <f>_xll.BDH("TATA IN Equity","CFO_TO_AVG_CURRENT_LIABILITIES","FY 2018","FY 2018","Currency=INR","Period=FY","BEST_FPERIOD_OVERRIDE=FY","FILING_STATUS=MR","EQY_CONSOLIDATED=Y","Sort=A","Dates=H","DateFormat=P","Fill=—","Direction=H","UseDPDF=Y")</f>
        <v>6.1199999999999997E-2</v>
      </c>
      <c r="R9" s="18">
        <f>_xll.BDH("TATA IN Equity","CFO_TO_AVG_CURRENT_LIABILITIES","FY 2019","FY 2019","Currency=INR","Period=FY","BEST_FPERIOD_OVERRIDE=FY","FILING_STATUS=MR","EQY_CONSOLIDATED=Y","Sort=A","Dates=H","DateFormat=P","Fill=—","Direction=H","UseDPDF=Y")</f>
        <v>0.32150000000000001</v>
      </c>
      <c r="S9" s="18">
        <f>_xll.BDH("TATA IN Equity","CFO_TO_AVG_CURRENT_LIABILITIES","FY 2020","FY 2020","Currency=INR","Period=FY","BEST_FPERIOD_OVERRIDE=FY","FILING_STATUS=MR","EQY_CONSOLIDATED=Y","Sort=A","Dates=H","DateFormat=P","Fill=—","Direction=H","UseDPDF=Y")</f>
        <v>0.21279999999999999</v>
      </c>
      <c r="T9" s="18">
        <f>_xll.BDH("TATA IN Equity","CFO_TO_AVG_CURRENT_LIABILITIES","FY 2021","FY 2021","Currency=INR","Period=FY","BEST_FPERIOD_OVERRIDE=FY","FILING_STATUS=MR","EQY_CONSOLIDATED=Y","Sort=A","Dates=H","DateFormat=P","Fill=—","Direction=H","UseDPDF=Y")</f>
        <v>0.57230000000000003</v>
      </c>
      <c r="U9" s="18">
        <f>_xll.BDH("TATA IN Equity","CFO_TO_AVG_CURRENT_LIABILITIES","FY 2022","FY 2022","Currency=INR","Period=FY","BEST_FPERIOD_OVERRIDE=FY","FILING_STATUS=MR","EQY_CONSOLIDATED=Y","Sort=A","Dates=H","DateFormat=P","Fill=—","Direction=H","UseDPDF=Y")</f>
        <v>0.49540000000000001</v>
      </c>
      <c r="V9" s="18">
        <f>_xll.BDH("TATA IN Equity","CFO_TO_AVG_CURRENT_LIABILITIES","FY 2023","FY 2023","Currency=INR","Period=FY","BEST_FPERIOD_OVERRIDE=FY","FILING_STATUS=MR","EQY_CONSOLIDATED=Y","Sort=A","Dates=H","DateFormat=P","Fill=—","Direction=H","UseDPDF=Y")</f>
        <v>0.17169999999999999</v>
      </c>
    </row>
    <row r="10" spans="1:22" x14ac:dyDescent="0.25">
      <c r="A10" s="3" t="s">
        <v>87</v>
      </c>
      <c r="B10" s="3" t="s">
        <v>88</v>
      </c>
      <c r="C10" s="18">
        <f>_xll.BDH("TATA IN Equity","COM_EQY_TO_TOT_ASSET","FY 2004","FY 2004","Currency=INR","Period=FY","BEST_FPERIOD_OVERRIDE=FY","FILING_STATUS=MR","EQY_CONSOLIDATED=Y","Sort=A","Dates=H","DateFormat=P","Fill=—","Direction=H","UseDPDF=Y")</f>
        <v>31.4665</v>
      </c>
      <c r="D10" s="18">
        <f>_xll.BDH("TATA IN Equity","COM_EQY_TO_TOT_ASSET","FY 2005","FY 2005","Currency=INR","Period=FY","BEST_FPERIOD_OVERRIDE=FY","FILING_STATUS=MR","EQY_CONSOLIDATED=Y","Sort=A","Dates=H","DateFormat=P","Fill=—","Direction=H","UseDPDF=Y")</f>
        <v>41.445099999999996</v>
      </c>
      <c r="E10" s="18">
        <f>_xll.BDH("TATA IN Equity","COM_EQY_TO_TOT_ASSET","FY 2006","FY 2006","Currency=INR","Period=FY","BEST_FPERIOD_OVERRIDE=FY","FILING_STATUS=MR","EQY_CONSOLIDATED=Y","Sort=A","Dates=H","DateFormat=P","Fill=—","Direction=H","UseDPDF=Y")</f>
        <v>50.045299999999997</v>
      </c>
      <c r="F10" s="18">
        <f>_xll.BDH("TATA IN Equity","COM_EQY_TO_TOT_ASSET","FY 2007","FY 2007","Currency=INR","Period=FY","BEST_FPERIOD_OVERRIDE=FY","FILING_STATUS=MR","EQY_CONSOLIDATED=Y","Sort=A","Dates=H","DateFormat=P","Fill=—","Direction=H","UseDPDF=Y")</f>
        <v>29.485199999999999</v>
      </c>
      <c r="G10" s="18">
        <f>_xll.BDH("TATA IN Equity","COM_EQY_TO_TOT_ASSET","FY 2008","FY 2008","Currency=INR","Period=FY","BEST_FPERIOD_OVERRIDE=FY","FILING_STATUS=MR","EQY_CONSOLIDATED=Y","Sort=A","Dates=H","DateFormat=P","Fill=—","Direction=H","UseDPDF=Y")</f>
        <v>22.982099999999999</v>
      </c>
      <c r="H10" s="18">
        <f>_xll.BDH("TATA IN Equity","COM_EQY_TO_TOT_ASSET","FY 2009","FY 2009","Currency=INR","Period=FY","BEST_FPERIOD_OVERRIDE=FY","FILING_STATUS=MR","EQY_CONSOLIDATED=Y","Sort=A","Dates=H","DateFormat=P","Fill=—","Direction=H","UseDPDF=Y")</f>
        <v>22.804600000000001</v>
      </c>
      <c r="I10" s="18">
        <f>_xll.BDH("TATA IN Equity","COM_EQY_TO_TOT_ASSET","FY 2010","FY 2010","Currency=INR","Period=FY","BEST_FPERIOD_OVERRIDE=FY","FILING_STATUS=MR","EQY_CONSOLIDATED=Y","Sort=A","Dates=H","DateFormat=P","Fill=—","Direction=H","UseDPDF=Y")</f>
        <v>20.798100000000002</v>
      </c>
      <c r="J10" s="18">
        <f>_xll.BDH("TATA IN Equity","COM_EQY_TO_TOT_ASSET","FY 2011","FY 2011","Currency=INR","Period=FY","BEST_FPERIOD_OVERRIDE=FY","FILING_STATUS=MR","EQY_CONSOLIDATED=Y","Sort=A","Dates=H","DateFormat=P","Fill=—","Direction=H","UseDPDF=Y")</f>
        <v>26.261600000000001</v>
      </c>
      <c r="K10" s="18">
        <f>_xll.BDH("TATA IN Equity","COM_EQY_TO_TOT_ASSET","FY 2012","FY 2012","Currency=INR","Period=FY","BEST_FPERIOD_OVERRIDE=FY","FILING_STATUS=MR","EQY_CONSOLIDATED=Y","Sort=A","Dates=H","DateFormat=P","Fill=—","Direction=H","UseDPDF=Y")</f>
        <v>29.031700000000001</v>
      </c>
      <c r="L10" s="18">
        <f>_xll.BDH("TATA IN Equity","COM_EQY_TO_TOT_ASSET","FY 2013","FY 2013","Currency=INR","Period=FY","BEST_FPERIOD_OVERRIDE=FY","FILING_STATUS=MR","EQY_CONSOLIDATED=Y","Sort=A","Dates=H","DateFormat=P","Fill=—","Direction=H","UseDPDF=Y")</f>
        <v>23.260200000000001</v>
      </c>
      <c r="M10" s="18">
        <f>_xll.BDH("TATA IN Equity","COM_EQY_TO_TOT_ASSET","FY 2014","FY 2014","Currency=INR","Period=FY","BEST_FPERIOD_OVERRIDE=FY","FILING_STATUS=MR","EQY_CONSOLIDATED=Y","Sort=A","Dates=H","DateFormat=P","Fill=—","Direction=H","UseDPDF=Y")</f>
        <v>23.613900000000001</v>
      </c>
      <c r="N10" s="18">
        <f>_xll.BDH("TATA IN Equity","COM_EQY_TO_TOT_ASSET","FY 2015","FY 2015","Currency=INR","Period=FY","BEST_FPERIOD_OVERRIDE=FY","FILING_STATUS=MR","EQY_CONSOLIDATED=Y","Sort=A","Dates=H","DateFormat=P","Fill=—","Direction=H","UseDPDF=Y")</f>
        <v>21.037299999999998</v>
      </c>
      <c r="O10" s="18">
        <f>_xll.BDH("TATA IN Equity","COM_EQY_TO_TOT_ASSET","FY 2016","FY 2016","Currency=INR","Period=FY","BEST_FPERIOD_OVERRIDE=FY","FILING_STATUS=MR","EQY_CONSOLIDATED=Y","Sort=A","Dates=H","DateFormat=P","Fill=—","Direction=H","UseDPDF=Y")</f>
        <v>24.636500000000002</v>
      </c>
      <c r="P10" s="18">
        <f>_xll.BDH("TATA IN Equity","COM_EQY_TO_TOT_ASSET","FY 2017","FY 2017","Currency=INR","Period=FY","BEST_FPERIOD_OVERRIDE=FY","FILING_STATUS=MR","EQY_CONSOLIDATED=Y","Sort=A","Dates=H","DateFormat=P","Fill=—","Direction=H","UseDPDF=Y")</f>
        <v>21.818899999999999</v>
      </c>
      <c r="Q10" s="18">
        <f>_xll.BDH("TATA IN Equity","COM_EQY_TO_TOT_ASSET","FY 2018","FY 2018","Currency=INR","Period=FY","BEST_FPERIOD_OVERRIDE=FY","FILING_STATUS=MR","EQY_CONSOLIDATED=Y","Sort=A","Dates=H","DateFormat=P","Fill=—","Direction=H","UseDPDF=Y")</f>
        <v>29.019500000000001</v>
      </c>
      <c r="R10" s="18">
        <f>_xll.BDH("TATA IN Equity","COM_EQY_TO_TOT_ASSET","FY 2019","FY 2019","Currency=INR","Period=FY","BEST_FPERIOD_OVERRIDE=FY","FILING_STATUS=MR","EQY_CONSOLIDATED=Y","Sort=A","Dates=H","DateFormat=P","Fill=—","Direction=H","UseDPDF=Y")</f>
        <v>29.5078</v>
      </c>
      <c r="S10" s="18">
        <f>_xll.BDH("TATA IN Equity","COM_EQY_TO_TOT_ASSET","FY 2020","FY 2020","Currency=INR","Period=FY","BEST_FPERIOD_OVERRIDE=FY","FILING_STATUS=MR","EQY_CONSOLIDATED=Y","Sort=A","Dates=H","DateFormat=P","Fill=—","Direction=H","UseDPDF=Y")</f>
        <v>29.3812</v>
      </c>
      <c r="T10" s="18">
        <f>_xll.BDH("TATA IN Equity","COM_EQY_TO_TOT_ASSET","FY 2021","FY 2021","Currency=INR","Period=FY","BEST_FPERIOD_OVERRIDE=FY","FILING_STATUS=MR","EQY_CONSOLIDATED=Y","Sort=A","Dates=H","DateFormat=P","Fill=—","Direction=H","UseDPDF=Y")</f>
        <v>30.241399999999999</v>
      </c>
      <c r="U10" s="18">
        <f>_xll.BDH("TATA IN Equity","COM_EQY_TO_TOT_ASSET","FY 2022","FY 2022","Currency=INR","Period=FY","BEST_FPERIOD_OVERRIDE=FY","FILING_STATUS=MR","EQY_CONSOLIDATED=Y","Sort=A","Dates=H","DateFormat=P","Fill=—","Direction=H","UseDPDF=Y")</f>
        <v>40.092799999999997</v>
      </c>
      <c r="V10" s="18">
        <f>_xll.BDH("TATA IN Equity","COM_EQY_TO_TOT_ASSET","FY 2023","FY 2023","Currency=INR","Period=FY","BEST_FPERIOD_OVERRIDE=FY","FILING_STATUS=MR","EQY_CONSOLIDATED=Y","Sort=A","Dates=H","DateFormat=P","Fill=—","Direction=H","UseDPDF=Y")</f>
        <v>35.789700000000003</v>
      </c>
    </row>
    <row r="11" spans="1:22" x14ac:dyDescent="0.25">
      <c r="A11" s="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3" t="s">
        <v>89</v>
      </c>
      <c r="B12" s="3" t="s">
        <v>90</v>
      </c>
      <c r="C12" s="18">
        <f>_xll.BDH("TATA IN Equity","LT_DEBT_TO_TOT_EQY","FY 2004","FY 2004","Currency=INR","Period=FY","BEST_FPERIOD_OVERRIDE=FY","FILING_STATUS=MR","EQY_CONSOLIDATED=Y","Sort=A","Dates=H","DateFormat=P","Fill=—","Direction=H","UseDPDF=Y")</f>
        <v>70.576599999999999</v>
      </c>
      <c r="D12" s="18">
        <f>_xll.BDH("TATA IN Equity","LT_DEBT_TO_TOT_EQY","FY 2005","FY 2005","Currency=INR","Period=FY","BEST_FPERIOD_OVERRIDE=FY","FILING_STATUS=MR","EQY_CONSOLIDATED=Y","Sort=A","Dates=H","DateFormat=P","Fill=—","Direction=H","UseDPDF=Y")</f>
        <v>40.2425</v>
      </c>
      <c r="E12" s="18">
        <f>_xll.BDH("TATA IN Equity","LT_DEBT_TO_TOT_EQY","FY 2006","FY 2006","Currency=INR","Period=FY","BEST_FPERIOD_OVERRIDE=FY","FILING_STATUS=MR","EQY_CONSOLIDATED=Y","Sort=A","Dates=H","DateFormat=P","Fill=—","Direction=H","UseDPDF=Y")</f>
        <v>28.921199999999999</v>
      </c>
      <c r="F12" s="18">
        <f>_xll.BDH("TATA IN Equity","LT_DEBT_TO_TOT_EQY","FY 2007","FY 2007","Currency=INR","Period=FY","BEST_FPERIOD_OVERRIDE=FY","FILING_STATUS=MR","EQY_CONSOLIDATED=Y","Sort=A","Dates=H","DateFormat=P","Fill=—","Direction=H","UseDPDF=Y")</f>
        <v>161.9598</v>
      </c>
      <c r="G12" s="18">
        <f>_xll.BDH("TATA IN Equity","LT_DEBT_TO_TOT_EQY","FY 2008","FY 2008","Currency=INR","Period=FY","BEST_FPERIOD_OVERRIDE=FY","FILING_STATUS=MR","EQY_CONSOLIDATED=Y","Sort=A","Dates=H","DateFormat=P","Fill=—","Direction=H","UseDPDF=Y")</f>
        <v>51.9923</v>
      </c>
      <c r="H12" s="18">
        <f>_xll.BDH("TATA IN Equity","LT_DEBT_TO_TOT_EQY","FY 2009","FY 2009","Currency=INR","Period=FY","BEST_FPERIOD_OVERRIDE=FY","FILING_STATUS=MR","EQY_CONSOLIDATED=Y","Sort=A","Dates=H","DateFormat=P","Fill=—","Direction=H","UseDPDF=Y")</f>
        <v>208.7294</v>
      </c>
      <c r="I12" s="18">
        <f>_xll.BDH("TATA IN Equity","LT_DEBT_TO_TOT_EQY","FY 2010","FY 2010","Currency=INR","Period=FY","BEST_FPERIOD_OVERRIDE=FY","FILING_STATUS=MR","EQY_CONSOLIDATED=Y","Sort=A","Dates=H","DateFormat=P","Fill=—","Direction=H","UseDPDF=Y")</f>
        <v>223.1249</v>
      </c>
      <c r="J12" s="18">
        <f>_xll.BDH("TATA IN Equity","LT_DEBT_TO_TOT_EQY","FY 2011","FY 2011","Currency=INR","Period=FY","BEST_FPERIOD_OVERRIDE=FY","FILING_STATUS=MR","EQY_CONSOLIDATED=Y","Sort=A","Dates=H","DateFormat=P","Fill=—","Direction=H","UseDPDF=Y")</f>
        <v>135.04339999999999</v>
      </c>
      <c r="K12" s="18">
        <f>_xll.BDH("TATA IN Equity","LT_DEBT_TO_TOT_EQY","FY 2012","FY 2012","Currency=INR","Period=FY","BEST_FPERIOD_OVERRIDE=FY","FILING_STATUS=MR","EQY_CONSOLIDATED=Y","Sort=A","Dates=H","DateFormat=P","Fill=—","Direction=H","UseDPDF=Y")</f>
        <v>103.40819999999999</v>
      </c>
      <c r="L12" s="18">
        <f>_xll.BDH("TATA IN Equity","LT_DEBT_TO_TOT_EQY","FY 2013","FY 2013","Currency=INR","Period=FY","BEST_FPERIOD_OVERRIDE=FY","FILING_STATUS=MR","EQY_CONSOLIDATED=Y","Sort=A","Dates=H","DateFormat=P","Fill=—","Direction=H","UseDPDF=Y")</f>
        <v>130.65799999999999</v>
      </c>
      <c r="M12" s="18">
        <f>_xll.BDH("TATA IN Equity","LT_DEBT_TO_TOT_EQY","FY 2014","FY 2014","Currency=INR","Period=FY","BEST_FPERIOD_OVERRIDE=FY","FILING_STATUS=MR","EQY_CONSOLIDATED=Y","Sort=A","Dates=H","DateFormat=P","Fill=—","Direction=H","UseDPDF=Y")</f>
        <v>123.8279</v>
      </c>
      <c r="N12" s="18">
        <f>_xll.BDH("TATA IN Equity","LT_DEBT_TO_TOT_EQY","FY 2015","FY 2015","Currency=INR","Period=FY","BEST_FPERIOD_OVERRIDE=FY","FILING_STATUS=MR","EQY_CONSOLIDATED=Y","Sort=A","Dates=H","DateFormat=P","Fill=—","Direction=H","UseDPDF=Y")</f>
        <v>186.5025</v>
      </c>
      <c r="O12" s="18">
        <f>_xll.BDH("TATA IN Equity","LT_DEBT_TO_TOT_EQY","FY 2016","FY 2016","Currency=INR","Period=FY","BEST_FPERIOD_OVERRIDE=FY","FILING_STATUS=MR","EQY_CONSOLIDATED=Y","Sort=A","Dates=H","DateFormat=P","Fill=—","Direction=H","UseDPDF=Y")</f>
        <v>145.7373</v>
      </c>
      <c r="P12" s="18">
        <f>_xll.BDH("TATA IN Equity","LT_DEBT_TO_TOT_EQY","FY 2017","FY 2017","Currency=INR","Period=FY","BEST_FPERIOD_OVERRIDE=FY","FILING_STATUS=MR","EQY_CONSOLIDATED=Y","Sort=A","Dates=H","DateFormat=P","Fill=—","Direction=H","UseDPDF=Y")</f>
        <v>162.40639999999999</v>
      </c>
      <c r="Q12" s="18">
        <f>_xll.BDH("TATA IN Equity","LT_DEBT_TO_TOT_EQY","FY 2018","FY 2018","Currency=INR","Period=FY","BEST_FPERIOD_OVERRIDE=FY","FILING_STATUS=MR","EQY_CONSOLIDATED=Y","Sort=A","Dates=H","DateFormat=P","Fill=—","Direction=H","UseDPDF=Y")</f>
        <v>117.7681</v>
      </c>
      <c r="R12" s="18">
        <f>_xll.BDH("TATA IN Equity","LT_DEBT_TO_TOT_EQY","FY 2019","FY 2019","Currency=INR","Period=FY","BEST_FPERIOD_OVERRIDE=FY","FILING_STATUS=MR","EQY_CONSOLIDATED=Y","Sort=A","Dates=H","DateFormat=P","Fill=—","Direction=H","UseDPDF=Y")</f>
        <v>112.6992</v>
      </c>
      <c r="S12" s="18">
        <f>_xll.BDH("TATA IN Equity","LT_DEBT_TO_TOT_EQY","FY 2020","FY 2020","Currency=INR","Period=FY","BEST_FPERIOD_OVERRIDE=FY","FILING_STATUS=MR","EQY_CONSOLIDATED=Y","Sort=A","Dates=H","DateFormat=P","Fill=—","Direction=H","UseDPDF=Y")</f>
        <v>123.5575</v>
      </c>
      <c r="T12" s="18">
        <f>_xll.BDH("TATA IN Equity","LT_DEBT_TO_TOT_EQY","FY 2021","FY 2021","Currency=INR","Period=FY","BEST_FPERIOD_OVERRIDE=FY","FILING_STATUS=MR","EQY_CONSOLIDATED=Y","Sort=A","Dates=H","DateFormat=P","Fill=—","Direction=H","UseDPDF=Y")</f>
        <v>93.420500000000004</v>
      </c>
      <c r="U12" s="18">
        <f>_xll.BDH("TATA IN Equity","LT_DEBT_TO_TOT_EQY","FY 2022","FY 2022","Currency=INR","Period=FY","BEST_FPERIOD_OVERRIDE=FY","FILING_STATUS=MR","EQY_CONSOLIDATED=Y","Sort=A","Dates=H","DateFormat=P","Fill=—","Direction=H","UseDPDF=Y")</f>
        <v>43.092399999999998</v>
      </c>
      <c r="V12" s="18">
        <f>_xll.BDH("TATA IN Equity","LT_DEBT_TO_TOT_EQY","FY 2023","FY 2023","Currency=INR","Period=FY","BEST_FPERIOD_OVERRIDE=FY","FILING_STATUS=MR","EQY_CONSOLIDATED=Y","Sort=A","Dates=H","DateFormat=P","Fill=—","Direction=H","UseDPDF=Y")</f>
        <v>54.44</v>
      </c>
    </row>
    <row r="13" spans="1:22" x14ac:dyDescent="0.25">
      <c r="A13" s="3" t="s">
        <v>91</v>
      </c>
      <c r="B13" s="3" t="s">
        <v>92</v>
      </c>
      <c r="C13" s="18">
        <f>_xll.BDH("TATA IN Equity","LT_DEBT_TO_TOT_CAP","FY 2004","FY 2004","Currency=INR","Period=FY","BEST_FPERIOD_OVERRIDE=FY","FILING_STATUS=MR","EQY_CONSOLIDATED=Y","Sort=A","Dates=H","DateFormat=P","Fill=—","Direction=H","UseDPDF=Y")</f>
        <v>40.528599999999997</v>
      </c>
      <c r="D13" s="18">
        <f>_xll.BDH("TATA IN Equity","LT_DEBT_TO_TOT_CAP","FY 2005","FY 2005","Currency=INR","Period=FY","BEST_FPERIOD_OVERRIDE=FY","FILING_STATUS=MR","EQY_CONSOLIDATED=Y","Sort=A","Dates=H","DateFormat=P","Fill=—","Direction=H","UseDPDF=Y")</f>
        <v>27.8262</v>
      </c>
      <c r="E13" s="18">
        <f>_xll.BDH("TATA IN Equity","LT_DEBT_TO_TOT_CAP","FY 2006","FY 2006","Currency=INR","Period=FY","BEST_FPERIOD_OVERRIDE=FY","FILING_STATUS=MR","EQY_CONSOLIDATED=Y","Sort=A","Dates=H","DateFormat=P","Fill=—","Direction=H","UseDPDF=Y")</f>
        <v>21.833600000000001</v>
      </c>
      <c r="F13" s="18">
        <f>_xll.BDH("TATA IN Equity","LT_DEBT_TO_TOT_CAP","FY 2007","FY 2007","Currency=INR","Period=FY","BEST_FPERIOD_OVERRIDE=FY","FILING_STATUS=MR","EQY_CONSOLIDATED=Y","Sort=A","Dates=H","DateFormat=P","Fill=—","Direction=H","UseDPDF=Y")</f>
        <v>61.400199999999998</v>
      </c>
      <c r="G13" s="18">
        <f>_xll.BDH("TATA IN Equity","LT_DEBT_TO_TOT_CAP","FY 2008","FY 2008","Currency=INR","Period=FY","BEST_FPERIOD_OVERRIDE=FY","FILING_STATUS=MR","EQY_CONSOLIDATED=Y","Sort=A","Dates=H","DateFormat=P","Fill=—","Direction=H","UseDPDF=Y")</f>
        <v>33.896000000000001</v>
      </c>
      <c r="H13" s="18">
        <f>_xll.BDH("TATA IN Equity","LT_DEBT_TO_TOT_CAP","FY 2009","FY 2009","Currency=INR","Period=FY","BEST_FPERIOD_OVERRIDE=FY","FILING_STATUS=MR","EQY_CONSOLIDATED=Y","Sort=A","Dates=H","DateFormat=P","Fill=—","Direction=H","UseDPDF=Y")</f>
        <v>67.495900000000006</v>
      </c>
      <c r="I13" s="18">
        <f>_xll.BDH("TATA IN Equity","LT_DEBT_TO_TOT_CAP","FY 2010","FY 2010","Currency=INR","Period=FY","BEST_FPERIOD_OVERRIDE=FY","FILING_STATUS=MR","EQY_CONSOLIDATED=Y","Sort=A","Dates=H","DateFormat=P","Fill=—","Direction=H","UseDPDF=Y")</f>
        <v>68.885599999999997</v>
      </c>
      <c r="J13" s="18">
        <f>_xll.BDH("TATA IN Equity","LT_DEBT_TO_TOT_CAP","FY 2011","FY 2011","Currency=INR","Period=FY","BEST_FPERIOD_OVERRIDE=FY","FILING_STATUS=MR","EQY_CONSOLIDATED=Y","Sort=A","Dates=H","DateFormat=P","Fill=—","Direction=H","UseDPDF=Y")</f>
        <v>50.695999999999998</v>
      </c>
      <c r="K13" s="18">
        <f>_xll.BDH("TATA IN Equity","LT_DEBT_TO_TOT_CAP","FY 2012","FY 2012","Currency=INR","Period=FY","BEST_FPERIOD_OVERRIDE=FY","FILING_STATUS=MR","EQY_CONSOLIDATED=Y","Sort=A","Dates=H","DateFormat=P","Fill=—","Direction=H","UseDPDF=Y")</f>
        <v>43.6477</v>
      </c>
      <c r="L13" s="18">
        <f>_xll.BDH("TATA IN Equity","LT_DEBT_TO_TOT_CAP","FY 2013","FY 2013","Currency=INR","Period=FY","BEST_FPERIOD_OVERRIDE=FY","FILING_STATUS=MR","EQY_CONSOLIDATED=Y","Sort=A","Dates=H","DateFormat=P","Fill=—","Direction=H","UseDPDF=Y")</f>
        <v>44.895600000000002</v>
      </c>
      <c r="M13" s="18">
        <f>_xll.BDH("TATA IN Equity","LT_DEBT_TO_TOT_CAP","FY 2014","FY 2014","Currency=INR","Period=FY","BEST_FPERIOD_OVERRIDE=FY","FILING_STATUS=MR","EQY_CONSOLIDATED=Y","Sort=A","Dates=H","DateFormat=P","Fill=—","Direction=H","UseDPDF=Y")</f>
        <v>42.265599999999999</v>
      </c>
      <c r="N13" s="18">
        <f>_xll.BDH("TATA IN Equity","LT_DEBT_TO_TOT_CAP","FY 2015","FY 2015","Currency=INR","Period=FY","BEST_FPERIOD_OVERRIDE=FY","FILING_STATUS=MR","EQY_CONSOLIDATED=Y","Sort=A","Dates=H","DateFormat=P","Fill=—","Direction=H","UseDPDF=Y")</f>
        <v>56.646299999999997</v>
      </c>
      <c r="O13" s="18">
        <f>_xll.BDH("TATA IN Equity","LT_DEBT_TO_TOT_CAP","FY 2016","FY 2016","Currency=INR","Period=FY","BEST_FPERIOD_OVERRIDE=FY","FILING_STATUS=MR","EQY_CONSOLIDATED=Y","Sort=A","Dates=H","DateFormat=P","Fill=—","Direction=H","UseDPDF=Y")</f>
        <v>51.282699999999998</v>
      </c>
      <c r="P13" s="18">
        <f>_xll.BDH("TATA IN Equity","LT_DEBT_TO_TOT_CAP","FY 2017","FY 2017","Currency=INR","Period=FY","BEST_FPERIOD_OVERRIDE=FY","FILING_STATUS=MR","EQY_CONSOLIDATED=Y","Sort=A","Dates=H","DateFormat=P","Fill=—","Direction=H","UseDPDF=Y")</f>
        <v>52.290599999999998</v>
      </c>
      <c r="Q13" s="18">
        <f>_xll.BDH("TATA IN Equity","LT_DEBT_TO_TOT_CAP","FY 2018","FY 2018","Currency=INR","Period=FY","BEST_FPERIOD_OVERRIDE=FY","FILING_STATUS=MR","EQY_CONSOLIDATED=Y","Sort=A","Dates=H","DateFormat=P","Fill=—","Direction=H","UseDPDF=Y")</f>
        <v>47.279699999999998</v>
      </c>
      <c r="R13" s="18">
        <f>_xll.BDH("TATA IN Equity","LT_DEBT_TO_TOT_CAP","FY 2019","FY 2019","Currency=INR","Period=FY","BEST_FPERIOD_OVERRIDE=FY","FILING_STATUS=MR","EQY_CONSOLIDATED=Y","Sort=A","Dates=H","DateFormat=P","Fill=—","Direction=H","UseDPDF=Y")</f>
        <v>46.682200000000002</v>
      </c>
      <c r="S13" s="18">
        <f>_xll.BDH("TATA IN Equity","LT_DEBT_TO_TOT_CAP","FY 2020","FY 2020","Currency=INR","Period=FY","BEST_FPERIOD_OVERRIDE=FY","FILING_STATUS=MR","EQY_CONSOLIDATED=Y","Sort=A","Dates=H","DateFormat=P","Fill=—","Direction=H","UseDPDF=Y")</f>
        <v>48.887999999999998</v>
      </c>
      <c r="T13" s="18">
        <f>_xll.BDH("TATA IN Equity","LT_DEBT_TO_TOT_CAP","FY 2021","FY 2021","Currency=INR","Period=FY","BEST_FPERIOD_OVERRIDE=FY","FILING_STATUS=MR","EQY_CONSOLIDATED=Y","Sort=A","Dates=H","DateFormat=P","Fill=—","Direction=H","UseDPDF=Y")</f>
        <v>45.105200000000004</v>
      </c>
      <c r="U13" s="18">
        <f>_xll.BDH("TATA IN Equity","LT_DEBT_TO_TOT_CAP","FY 2022","FY 2022","Currency=INR","Period=FY","BEST_FPERIOD_OVERRIDE=FY","FILING_STATUS=MR","EQY_CONSOLIDATED=Y","Sort=A","Dates=H","DateFormat=P","Fill=—","Direction=H","UseDPDF=Y")</f>
        <v>26.191500000000001</v>
      </c>
      <c r="V13" s="18">
        <f>_xll.BDH("TATA IN Equity","LT_DEBT_TO_TOT_CAP","FY 2023","FY 2023","Currency=INR","Period=FY","BEST_FPERIOD_OVERRIDE=FY","FILING_STATUS=MR","EQY_CONSOLIDATED=Y","Sort=A","Dates=H","DateFormat=P","Fill=—","Direction=H","UseDPDF=Y")</f>
        <v>30.124700000000001</v>
      </c>
    </row>
    <row r="14" spans="1:22" x14ac:dyDescent="0.25">
      <c r="A14" s="3" t="s">
        <v>93</v>
      </c>
      <c r="B14" s="3" t="s">
        <v>94</v>
      </c>
      <c r="C14" s="18">
        <f>_xll.BDH("TATA IN Equity","LT_DEBT_TO_TOT_ASSET","FY 2004","FY 2004","Currency=INR","Period=FY","BEST_FPERIOD_OVERRIDE=FY","FILING_STATUS=MR","EQY_CONSOLIDATED=Y","Sort=A","Dates=H","DateFormat=P","Fill=—","Direction=H","UseDPDF=Y")</f>
        <v>22.44</v>
      </c>
      <c r="D14" s="18">
        <f>_xll.BDH("TATA IN Equity","LT_DEBT_TO_TOT_ASSET","FY 2005","FY 2005","Currency=INR","Period=FY","BEST_FPERIOD_OVERRIDE=FY","FILING_STATUS=MR","EQY_CONSOLIDATED=Y","Sort=A","Dates=H","DateFormat=P","Fill=—","Direction=H","UseDPDF=Y")</f>
        <v>16.891100000000002</v>
      </c>
      <c r="E14" s="18">
        <f>_xll.BDH("TATA IN Equity","LT_DEBT_TO_TOT_ASSET","FY 2006","FY 2006","Currency=INR","Period=FY","BEST_FPERIOD_OVERRIDE=FY","FILING_STATUS=MR","EQY_CONSOLIDATED=Y","Sort=A","Dates=H","DateFormat=P","Fill=—","Direction=H","UseDPDF=Y")</f>
        <v>14.6477</v>
      </c>
      <c r="F14" s="18">
        <f>_xll.BDH("TATA IN Equity","LT_DEBT_TO_TOT_ASSET","FY 2007","FY 2007","Currency=INR","Period=FY","BEST_FPERIOD_OVERRIDE=FY","FILING_STATUS=MR","EQY_CONSOLIDATED=Y","Sort=A","Dates=H","DateFormat=P","Fill=—","Direction=H","UseDPDF=Y")</f>
        <v>49.708500000000001</v>
      </c>
      <c r="G14" s="18">
        <f>_xll.BDH("TATA IN Equity","LT_DEBT_TO_TOT_ASSET","FY 2008","FY 2008","Currency=INR","Period=FY","BEST_FPERIOD_OVERRIDE=FY","FILING_STATUS=MR","EQY_CONSOLIDATED=Y","Sort=A","Dates=H","DateFormat=P","Fill=—","Direction=H","UseDPDF=Y")</f>
        <v>14.5723</v>
      </c>
      <c r="H14" s="18">
        <f>_xll.BDH("TATA IN Equity","LT_DEBT_TO_TOT_ASSET","FY 2009","FY 2009","Currency=INR","Period=FY","BEST_FPERIOD_OVERRIDE=FY","FILING_STATUS=MR","EQY_CONSOLIDATED=Y","Sort=A","Dates=H","DateFormat=P","Fill=—","Direction=H","UseDPDF=Y")</f>
        <v>49.135800000000003</v>
      </c>
      <c r="I14" s="18">
        <f>_xll.BDH("TATA IN Equity","LT_DEBT_TO_TOT_ASSET","FY 2010","FY 2010","Currency=INR","Period=FY","BEST_FPERIOD_OVERRIDE=FY","FILING_STATUS=MR","EQY_CONSOLIDATED=Y","Sort=A","Dates=H","DateFormat=P","Fill=—","Direction=H","UseDPDF=Y")</f>
        <v>48.2027</v>
      </c>
      <c r="J14" s="18">
        <f>_xll.BDH("TATA IN Equity","LT_DEBT_TO_TOT_ASSET","FY 2011","FY 2011","Currency=INR","Period=FY","BEST_FPERIOD_OVERRIDE=FY","FILING_STATUS=MR","EQY_CONSOLIDATED=Y","Sort=A","Dates=H","DateFormat=P","Fill=—","Direction=H","UseDPDF=Y")</f>
        <v>36.350499999999997</v>
      </c>
      <c r="K14" s="18">
        <f>_xll.BDH("TATA IN Equity","LT_DEBT_TO_TOT_ASSET","FY 2012","FY 2012","Currency=INR","Period=FY","BEST_FPERIOD_OVERRIDE=FY","FILING_STATUS=MR","EQY_CONSOLIDATED=Y","Sort=A","Dates=H","DateFormat=P","Fill=—","Direction=H","UseDPDF=Y")</f>
        <v>30.805299999999999</v>
      </c>
      <c r="L14" s="18">
        <f>_xll.BDH("TATA IN Equity","LT_DEBT_TO_TOT_ASSET","FY 2013","FY 2013","Currency=INR","Period=FY","BEST_FPERIOD_OVERRIDE=FY","FILING_STATUS=MR","EQY_CONSOLIDATED=Y","Sort=A","Dates=H","DateFormat=P","Fill=—","Direction=H","UseDPDF=Y")</f>
        <v>31.8949</v>
      </c>
      <c r="M14" s="18">
        <f>_xll.BDH("TATA IN Equity","LT_DEBT_TO_TOT_ASSET","FY 2014","FY 2014","Currency=INR","Period=FY","BEST_FPERIOD_OVERRIDE=FY","FILING_STATUS=MR","EQY_CONSOLIDATED=Y","Sort=A","Dates=H","DateFormat=P","Fill=—","Direction=H","UseDPDF=Y")</f>
        <v>30.508700000000001</v>
      </c>
      <c r="N14" s="18">
        <f>_xll.BDH("TATA IN Equity","LT_DEBT_TO_TOT_ASSET","FY 2015","FY 2015","Currency=INR","Period=FY","BEST_FPERIOD_OVERRIDE=FY","FILING_STATUS=MR","EQY_CONSOLIDATED=Y","Sort=A","Dates=H","DateFormat=P","Fill=—","Direction=H","UseDPDF=Y")</f>
        <v>41.255400000000002</v>
      </c>
      <c r="O14" s="18">
        <f>_xll.BDH("TATA IN Equity","LT_DEBT_TO_TOT_ASSET","FY 2016","FY 2016","Currency=INR","Period=FY","BEST_FPERIOD_OVERRIDE=FY","FILING_STATUS=MR","EQY_CONSOLIDATED=Y","Sort=A","Dates=H","DateFormat=P","Fill=—","Direction=H","UseDPDF=Y")</f>
        <v>36.545699999999997</v>
      </c>
      <c r="P14" s="18">
        <f>_xll.BDH("TATA IN Equity","LT_DEBT_TO_TOT_ASSET","FY 2017","FY 2017","Currency=INR","Period=FY","BEST_FPERIOD_OVERRIDE=FY","FILING_STATUS=MR","EQY_CONSOLIDATED=Y","Sort=A","Dates=H","DateFormat=P","Fill=—","Direction=H","UseDPDF=Y")</f>
        <v>36.935899999999997</v>
      </c>
      <c r="Q14" s="18">
        <f>_xll.BDH("TATA IN Equity","LT_DEBT_TO_TOT_ASSET","FY 2018","FY 2018","Currency=INR","Period=FY","BEST_FPERIOD_OVERRIDE=FY","FILING_STATUS=MR","EQY_CONSOLIDATED=Y","Sort=A","Dates=H","DateFormat=P","Fill=—","Direction=H","UseDPDF=Y")</f>
        <v>34.701500000000003</v>
      </c>
      <c r="R14" s="18">
        <f>_xll.BDH("TATA IN Equity","LT_DEBT_TO_TOT_ASSET","FY 2019","FY 2019","Currency=INR","Period=FY","BEST_FPERIOD_OVERRIDE=FY","FILING_STATUS=MR","EQY_CONSOLIDATED=Y","Sort=A","Dates=H","DateFormat=P","Fill=—","Direction=H","UseDPDF=Y")</f>
        <v>34.395899999999997</v>
      </c>
      <c r="S14" s="18">
        <f>_xll.BDH("TATA IN Equity","LT_DEBT_TO_TOT_ASSET","FY 2020","FY 2020","Currency=INR","Period=FY","BEST_FPERIOD_OVERRIDE=FY","FILING_STATUS=MR","EQY_CONSOLIDATED=Y","Sort=A","Dates=H","DateFormat=P","Fill=—","Direction=H","UseDPDF=Y")</f>
        <v>37.578899999999997</v>
      </c>
      <c r="T14" s="18">
        <f>_xll.BDH("TATA IN Equity","LT_DEBT_TO_TOT_ASSET","FY 2021","FY 2021","Currency=INR","Period=FY","BEST_FPERIOD_OVERRIDE=FY","FILING_STATUS=MR","EQY_CONSOLIDATED=Y","Sort=A","Dates=H","DateFormat=P","Fill=—","Direction=H","UseDPDF=Y")</f>
        <v>29.495999999999999</v>
      </c>
      <c r="U14" s="18">
        <f>_xll.BDH("TATA IN Equity","LT_DEBT_TO_TOT_ASSET","FY 2022","FY 2022","Currency=INR","Period=FY","BEST_FPERIOD_OVERRIDE=FY","FILING_STATUS=MR","EQY_CONSOLIDATED=Y","Sort=A","Dates=H","DateFormat=P","Fill=—","Direction=H","UseDPDF=Y")</f>
        <v>17.677800000000001</v>
      </c>
      <c r="V14" s="18">
        <f>_xll.BDH("TATA IN Equity","LT_DEBT_TO_TOT_ASSET","FY 2023","FY 2023","Currency=INR","Period=FY","BEST_FPERIOD_OVERRIDE=FY","FILING_STATUS=MR","EQY_CONSOLIDATED=Y","Sort=A","Dates=H","DateFormat=P","Fill=—","Direction=H","UseDPDF=Y")</f>
        <v>19.8795</v>
      </c>
    </row>
    <row r="15" spans="1:22" x14ac:dyDescent="0.25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5">
      <c r="A16" s="3" t="s">
        <v>95</v>
      </c>
      <c r="B16" s="3" t="s">
        <v>96</v>
      </c>
      <c r="C16" s="18">
        <f>_xll.BDH("TATA IN Equity","TOT_DEBT_TO_TOT_EQY","FY 2004","FY 2004","Currency=INR","Period=FY","BEST_FPERIOD_OVERRIDE=FY","FILING_STATUS=MR","EQY_CONSOLIDATED=Y","Sort=A","Dates=H","DateFormat=P","Fill=—","Direction=H","UseDPDF=Y")</f>
        <v>74.140199999999993</v>
      </c>
      <c r="D16" s="18">
        <f>_xll.BDH("TATA IN Equity","TOT_DEBT_TO_TOT_EQY","FY 2005","FY 2005","Currency=INR","Period=FY","BEST_FPERIOD_OVERRIDE=FY","FILING_STATUS=MR","EQY_CONSOLIDATED=Y","Sort=A","Dates=H","DateFormat=P","Fill=—","Direction=H","UseDPDF=Y")</f>
        <v>44.620800000000003</v>
      </c>
      <c r="E16" s="18">
        <f>_xll.BDH("TATA IN Equity","TOT_DEBT_TO_TOT_EQY","FY 2006","FY 2006","Currency=INR","Period=FY","BEST_FPERIOD_OVERRIDE=FY","FILING_STATUS=MR","EQY_CONSOLIDATED=Y","Sort=A","Dates=H","DateFormat=P","Fill=—","Direction=H","UseDPDF=Y")</f>
        <v>32.462200000000003</v>
      </c>
      <c r="F16" s="18">
        <f>_xll.BDH("TATA IN Equity","TOT_DEBT_TO_TOT_EQY","FY 2007","FY 2007","Currency=INR","Period=FY","BEST_FPERIOD_OVERRIDE=FY","FILING_STATUS=MR","EQY_CONSOLIDATED=Y","Sort=A","Dates=H","DateFormat=P","Fill=—","Direction=H","UseDPDF=Y")</f>
        <v>163.77719999999999</v>
      </c>
      <c r="G16" s="18">
        <f>_xll.BDH("TATA IN Equity","TOT_DEBT_TO_TOT_EQY","FY 2008","FY 2008","Currency=INR","Period=FY","BEST_FPERIOD_OVERRIDE=FY","FILING_STATUS=MR","EQY_CONSOLIDATED=Y","Sort=A","Dates=H","DateFormat=P","Fill=—","Direction=H","UseDPDF=Y")</f>
        <v>53.387599999999999</v>
      </c>
      <c r="H16" s="18">
        <f>_xll.BDH("TATA IN Equity","TOT_DEBT_TO_TOT_EQY","FY 2009","FY 2009","Currency=INR","Period=FY","BEST_FPERIOD_OVERRIDE=FY","FILING_STATUS=MR","EQY_CONSOLIDATED=Y","Sort=A","Dates=H","DateFormat=P","Fill=—","Direction=H","UseDPDF=Y")</f>
        <v>209.2475</v>
      </c>
      <c r="I16" s="18">
        <f>_xll.BDH("TATA IN Equity","TOT_DEBT_TO_TOT_EQY","FY 2010","FY 2010","Currency=INR","Period=FY","BEST_FPERIOD_OVERRIDE=FY","FILING_STATUS=MR","EQY_CONSOLIDATED=Y","Sort=A","Dates=H","DateFormat=P","Fill=—","Direction=H","UseDPDF=Y")</f>
        <v>223.90639999999999</v>
      </c>
      <c r="J16" s="18">
        <f>_xll.BDH("TATA IN Equity","TOT_DEBT_TO_TOT_EQY","FY 2011","FY 2011","Currency=INR","Period=FY","BEST_FPERIOD_OVERRIDE=FY","FILING_STATUS=MR","EQY_CONSOLIDATED=Y","Sort=A","Dates=H","DateFormat=P","Fill=—","Direction=H","UseDPDF=Y")</f>
        <v>166.37880000000001</v>
      </c>
      <c r="K16" s="18">
        <f>_xll.BDH("TATA IN Equity","TOT_DEBT_TO_TOT_EQY","FY 2012","FY 2012","Currency=INR","Period=FY","BEST_FPERIOD_OVERRIDE=FY","FILING_STATUS=MR","EQY_CONSOLIDATED=Y","Sort=A","Dates=H","DateFormat=P","Fill=—","Direction=H","UseDPDF=Y")</f>
        <v>136.91550000000001</v>
      </c>
      <c r="L16" s="18">
        <f>_xll.BDH("TATA IN Equity","TOT_DEBT_TO_TOT_EQY","FY 2013","FY 2013","Currency=INR","Period=FY","BEST_FPERIOD_OVERRIDE=FY","FILING_STATUS=MR","EQY_CONSOLIDATED=Y","Sort=A","Dates=H","DateFormat=P","Fill=—","Direction=H","UseDPDF=Y")</f>
        <v>191.02610000000001</v>
      </c>
      <c r="M16" s="18">
        <f>_xll.BDH("TATA IN Equity","TOT_DEBT_TO_TOT_EQY","FY 2014","FY 2014","Currency=INR","Period=FY","BEST_FPERIOD_OVERRIDE=FY","FILING_STATUS=MR","EQY_CONSOLIDATED=Y","Sort=A","Dates=H","DateFormat=P","Fill=—","Direction=H","UseDPDF=Y")</f>
        <v>192.9753</v>
      </c>
      <c r="N16" s="18">
        <f>_xll.BDH("TATA IN Equity","TOT_DEBT_TO_TOT_EQY","FY 2015","FY 2015","Currency=INR","Period=FY","BEST_FPERIOD_OVERRIDE=FY","FILING_STATUS=MR","EQY_CONSOLIDATED=Y","Sort=A","Dates=H","DateFormat=P","Fill=—","Direction=H","UseDPDF=Y")</f>
        <v>229.24029999999999</v>
      </c>
      <c r="O16" s="18">
        <f>_xll.BDH("TATA IN Equity","TOT_DEBT_TO_TOT_EQY","FY 2016","FY 2016","Currency=INR","Period=FY","BEST_FPERIOD_OVERRIDE=FY","FILING_STATUS=MR","EQY_CONSOLIDATED=Y","Sort=A","Dates=H","DateFormat=P","Fill=—","Direction=H","UseDPDF=Y")</f>
        <v>184.18450000000001</v>
      </c>
      <c r="P16" s="18">
        <f>_xll.BDH("TATA IN Equity","TOT_DEBT_TO_TOT_EQY","FY 2017","FY 2017","Currency=INR","Period=FY","BEST_FPERIOD_OVERRIDE=FY","FILING_STATUS=MR","EQY_CONSOLIDATED=Y","Sort=A","Dates=H","DateFormat=P","Fill=—","Direction=H","UseDPDF=Y")</f>
        <v>210.58430000000001</v>
      </c>
      <c r="Q16" s="18">
        <f>_xll.BDH("TATA IN Equity","TOT_DEBT_TO_TOT_EQY","FY 2018","FY 2018","Currency=INR","Period=FY","BEST_FPERIOD_OVERRIDE=FY","FILING_STATUS=MR","EQY_CONSOLIDATED=Y","Sort=A","Dates=H","DateFormat=P","Fill=—","Direction=H","UseDPDF=Y")</f>
        <v>149.08799999999999</v>
      </c>
      <c r="R16" s="18">
        <f>_xll.BDH("TATA IN Equity","TOT_DEBT_TO_TOT_EQY","FY 2019","FY 2019","Currency=INR","Period=FY","BEST_FPERIOD_OVERRIDE=FY","FILING_STATUS=MR","EQY_CONSOLIDATED=Y","Sort=A","Dates=H","DateFormat=P","Fill=—","Direction=H","UseDPDF=Y")</f>
        <v>141.41800000000001</v>
      </c>
      <c r="S16" s="18">
        <f>_xll.BDH("TATA IN Equity","TOT_DEBT_TO_TOT_EQY","FY 2020","FY 2020","Currency=INR","Period=FY","BEST_FPERIOD_OVERRIDE=FY","FILING_STATUS=MR","EQY_CONSOLIDATED=Y","Sort=A","Dates=H","DateFormat=P","Fill=—","Direction=H","UseDPDF=Y")</f>
        <v>152.73599999999999</v>
      </c>
      <c r="T16" s="18">
        <f>_xll.BDH("TATA IN Equity","TOT_DEBT_TO_TOT_EQY","FY 2021","FY 2021","Currency=INR","Period=FY","BEST_FPERIOD_OVERRIDE=FY","FILING_STATUS=MR","EQY_CONSOLIDATED=Y","Sort=A","Dates=H","DateFormat=P","Fill=—","Direction=H","UseDPDF=Y")</f>
        <v>107.1168</v>
      </c>
      <c r="U16" s="18">
        <f>_xll.BDH("TATA IN Equity","TOT_DEBT_TO_TOT_EQY","FY 2022","FY 2022","Currency=INR","Period=FY","BEST_FPERIOD_OVERRIDE=FY","FILING_STATUS=MR","EQY_CONSOLIDATED=Y","Sort=A","Dates=H","DateFormat=P","Fill=—","Direction=H","UseDPDF=Y")</f>
        <v>64.528000000000006</v>
      </c>
      <c r="V16" s="18">
        <f>_xll.BDH("TATA IN Equity","TOT_DEBT_TO_TOT_EQY","FY 2023","FY 2023","Currency=INR","Period=FY","BEST_FPERIOD_OVERRIDE=FY","FILING_STATUS=MR","EQY_CONSOLIDATED=Y","Sort=A","Dates=H","DateFormat=P","Fill=—","Direction=H","UseDPDF=Y")</f>
        <v>80.715800000000002</v>
      </c>
    </row>
    <row r="17" spans="1:22" x14ac:dyDescent="0.25">
      <c r="A17" s="3" t="s">
        <v>97</v>
      </c>
      <c r="B17" s="3" t="s">
        <v>98</v>
      </c>
      <c r="C17" s="18">
        <f>_xll.BDH("TATA IN Equity","TOT_DEBT_TO_TOT_CAP","FY 2004","FY 2004","Currency=INR","Period=FY","BEST_FPERIOD_OVERRIDE=FY","FILING_STATUS=MR","EQY_CONSOLIDATED=Y","Sort=A","Dates=H","DateFormat=P","Fill=—","Direction=H","UseDPDF=Y")</f>
        <v>42.575000000000003</v>
      </c>
      <c r="D17" s="18">
        <f>_xll.BDH("TATA IN Equity","TOT_DEBT_TO_TOT_CAP","FY 2005","FY 2005","Currency=INR","Period=FY","BEST_FPERIOD_OVERRIDE=FY","FILING_STATUS=MR","EQY_CONSOLIDATED=Y","Sort=A","Dates=H","DateFormat=P","Fill=—","Direction=H","UseDPDF=Y")</f>
        <v>30.8537</v>
      </c>
      <c r="E17" s="18">
        <f>_xll.BDH("TATA IN Equity","TOT_DEBT_TO_TOT_CAP","FY 2006","FY 2006","Currency=INR","Period=FY","BEST_FPERIOD_OVERRIDE=FY","FILING_STATUS=MR","EQY_CONSOLIDATED=Y","Sort=A","Dates=H","DateFormat=P","Fill=—","Direction=H","UseDPDF=Y")</f>
        <v>24.506699999999999</v>
      </c>
      <c r="F17" s="18">
        <f>_xll.BDH("TATA IN Equity","TOT_DEBT_TO_TOT_CAP","FY 2007","FY 2007","Currency=INR","Period=FY","BEST_FPERIOD_OVERRIDE=FY","FILING_STATUS=MR","EQY_CONSOLIDATED=Y","Sort=A","Dates=H","DateFormat=P","Fill=—","Direction=H","UseDPDF=Y")</f>
        <v>62.089199999999998</v>
      </c>
      <c r="G17" s="18">
        <f>_xll.BDH("TATA IN Equity","TOT_DEBT_TO_TOT_CAP","FY 2008","FY 2008","Currency=INR","Period=FY","BEST_FPERIOD_OVERRIDE=FY","FILING_STATUS=MR","EQY_CONSOLIDATED=Y","Sort=A","Dates=H","DateFormat=P","Fill=—","Direction=H","UseDPDF=Y")</f>
        <v>34.805700000000002</v>
      </c>
      <c r="H17" s="18">
        <f>_xll.BDH("TATA IN Equity","TOT_DEBT_TO_TOT_CAP","FY 2009","FY 2009","Currency=INR","Period=FY","BEST_FPERIOD_OVERRIDE=FY","FILING_STATUS=MR","EQY_CONSOLIDATED=Y","Sort=A","Dates=H","DateFormat=P","Fill=—","Direction=H","UseDPDF=Y")</f>
        <v>67.663399999999996</v>
      </c>
      <c r="I17" s="18">
        <f>_xll.BDH("TATA IN Equity","TOT_DEBT_TO_TOT_CAP","FY 2010","FY 2010","Currency=INR","Period=FY","BEST_FPERIOD_OVERRIDE=FY","FILING_STATUS=MR","EQY_CONSOLIDATED=Y","Sort=A","Dates=H","DateFormat=P","Fill=—","Direction=H","UseDPDF=Y")</f>
        <v>69.126900000000006</v>
      </c>
      <c r="J17" s="18">
        <f>_xll.BDH("TATA IN Equity","TOT_DEBT_TO_TOT_CAP","FY 2011","FY 2011","Currency=INR","Period=FY","BEST_FPERIOD_OVERRIDE=FY","FILING_STATUS=MR","EQY_CONSOLIDATED=Y","Sort=A","Dates=H","DateFormat=P","Fill=—","Direction=H","UseDPDF=Y")</f>
        <v>62.459499999999998</v>
      </c>
      <c r="K17" s="18">
        <f>_xll.BDH("TATA IN Equity","TOT_DEBT_TO_TOT_CAP","FY 2012","FY 2012","Currency=INR","Period=FY","BEST_FPERIOD_OVERRIDE=FY","FILING_STATUS=MR","EQY_CONSOLIDATED=Y","Sort=A","Dates=H","DateFormat=P","Fill=—","Direction=H","UseDPDF=Y")</f>
        <v>57.790900000000001</v>
      </c>
      <c r="L17" s="18">
        <f>_xll.BDH("TATA IN Equity","TOT_DEBT_TO_TOT_CAP","FY 2013","FY 2013","Currency=INR","Period=FY","BEST_FPERIOD_OVERRIDE=FY","FILING_STATUS=MR","EQY_CONSOLIDATED=Y","Sort=A","Dates=H","DateFormat=P","Fill=—","Direction=H","UseDPDF=Y")</f>
        <v>65.638800000000003</v>
      </c>
      <c r="M17" s="18">
        <f>_xll.BDH("TATA IN Equity","TOT_DEBT_TO_TOT_CAP","FY 2014","FY 2014","Currency=INR","Period=FY","BEST_FPERIOD_OVERRIDE=FY","FILING_STATUS=MR","EQY_CONSOLIDATED=Y","Sort=A","Dates=H","DateFormat=P","Fill=—","Direction=H","UseDPDF=Y")</f>
        <v>65.867400000000004</v>
      </c>
      <c r="N17" s="18">
        <f>_xll.BDH("TATA IN Equity","TOT_DEBT_TO_TOT_CAP","FY 2015","FY 2015","Currency=INR","Period=FY","BEST_FPERIOD_OVERRIDE=FY","FILING_STATUS=MR","EQY_CONSOLIDATED=Y","Sort=A","Dates=H","DateFormat=P","Fill=—","Direction=H","UseDPDF=Y")</f>
        <v>69.626999999999995</v>
      </c>
      <c r="O17" s="18">
        <f>_xll.BDH("TATA IN Equity","TOT_DEBT_TO_TOT_CAP","FY 2016","FY 2016","Currency=INR","Period=FY","BEST_FPERIOD_OVERRIDE=FY","FILING_STATUS=MR","EQY_CONSOLIDATED=Y","Sort=A","Dates=H","DateFormat=P","Fill=—","Direction=H","UseDPDF=Y")</f>
        <v>64.811599999999999</v>
      </c>
      <c r="P17" s="18">
        <f>_xll.BDH("TATA IN Equity","TOT_DEBT_TO_TOT_CAP","FY 2017","FY 2017","Currency=INR","Period=FY","BEST_FPERIOD_OVERRIDE=FY","FILING_STATUS=MR","EQY_CONSOLIDATED=Y","Sort=A","Dates=H","DateFormat=P","Fill=—","Direction=H","UseDPDF=Y")</f>
        <v>67.802599999999998</v>
      </c>
      <c r="Q17" s="18">
        <f>_xll.BDH("TATA IN Equity","TOT_DEBT_TO_TOT_CAP","FY 2018","FY 2018","Currency=INR","Period=FY","BEST_FPERIOD_OVERRIDE=FY","FILING_STATUS=MR","EQY_CONSOLIDATED=Y","Sort=A","Dates=H","DateFormat=P","Fill=—","Direction=H","UseDPDF=Y")</f>
        <v>59.8536</v>
      </c>
      <c r="R17" s="18">
        <f>_xll.BDH("TATA IN Equity","TOT_DEBT_TO_TOT_CAP","FY 2019","FY 2019","Currency=INR","Period=FY","BEST_FPERIOD_OVERRIDE=FY","FILING_STATUS=MR","EQY_CONSOLIDATED=Y","Sort=A","Dates=H","DateFormat=P","Fill=—","Direction=H","UseDPDF=Y")</f>
        <v>58.578099999999999</v>
      </c>
      <c r="S17" s="18">
        <f>_xll.BDH("TATA IN Equity","TOT_DEBT_TO_TOT_CAP","FY 2020","FY 2020","Currency=INR","Period=FY","BEST_FPERIOD_OVERRIDE=FY","FILING_STATUS=MR","EQY_CONSOLIDATED=Y","Sort=A","Dates=H","DateFormat=P","Fill=—","Direction=H","UseDPDF=Y")</f>
        <v>60.433</v>
      </c>
      <c r="T17" s="18">
        <f>_xll.BDH("TATA IN Equity","TOT_DEBT_TO_TOT_CAP","FY 2021","FY 2021","Currency=INR","Period=FY","BEST_FPERIOD_OVERRIDE=FY","FILING_STATUS=MR","EQY_CONSOLIDATED=Y","Sort=A","Dates=H","DateFormat=P","Fill=—","Direction=H","UseDPDF=Y")</f>
        <v>51.7181</v>
      </c>
      <c r="U17" s="18">
        <f>_xll.BDH("TATA IN Equity","TOT_DEBT_TO_TOT_CAP","FY 2022","FY 2022","Currency=INR","Period=FY","BEST_FPERIOD_OVERRIDE=FY","FILING_STATUS=MR","EQY_CONSOLIDATED=Y","Sort=A","Dates=H","DateFormat=P","Fill=—","Direction=H","UseDPDF=Y")</f>
        <v>39.220100000000002</v>
      </c>
      <c r="V17" s="18">
        <f>_xll.BDH("TATA IN Equity","TOT_DEBT_TO_TOT_CAP","FY 2023","FY 2023","Currency=INR","Period=FY","BEST_FPERIOD_OVERRIDE=FY","FILING_STATUS=MR","EQY_CONSOLIDATED=Y","Sort=A","Dates=H","DateFormat=P","Fill=—","Direction=H","UseDPDF=Y")</f>
        <v>44.664499999999997</v>
      </c>
    </row>
    <row r="18" spans="1:22" x14ac:dyDescent="0.25">
      <c r="A18" s="3" t="s">
        <v>99</v>
      </c>
      <c r="B18" s="3" t="s">
        <v>100</v>
      </c>
      <c r="C18" s="18">
        <f>_xll.BDH("TATA IN Equity","TOT_DEBT_TO_TOT_ASSET","FY 2004","FY 2004","Currency=INR","Period=FY","BEST_FPERIOD_OVERRIDE=FY","FILING_STATUS=MR","EQY_CONSOLIDATED=Y","Sort=A","Dates=H","DateFormat=P","Fill=—","Direction=H","UseDPDF=Y")</f>
        <v>23.5731</v>
      </c>
      <c r="D18" s="18">
        <f>_xll.BDH("TATA IN Equity","TOT_DEBT_TO_TOT_ASSET","FY 2005","FY 2005","Currency=INR","Period=FY","BEST_FPERIOD_OVERRIDE=FY","FILING_STATUS=MR","EQY_CONSOLIDATED=Y","Sort=A","Dates=H","DateFormat=P","Fill=—","Direction=H","UseDPDF=Y")</f>
        <v>18.728899999999999</v>
      </c>
      <c r="E18" s="18">
        <f>_xll.BDH("TATA IN Equity","TOT_DEBT_TO_TOT_ASSET","FY 2006","FY 2006","Currency=INR","Period=FY","BEST_FPERIOD_OVERRIDE=FY","FILING_STATUS=MR","EQY_CONSOLIDATED=Y","Sort=A","Dates=H","DateFormat=P","Fill=—","Direction=H","UseDPDF=Y")</f>
        <v>16.440999999999999</v>
      </c>
      <c r="F18" s="18">
        <f>_xll.BDH("TATA IN Equity","TOT_DEBT_TO_TOT_ASSET","FY 2007","FY 2007","Currency=INR","Period=FY","BEST_FPERIOD_OVERRIDE=FY","FILING_STATUS=MR","EQY_CONSOLIDATED=Y","Sort=A","Dates=H","DateFormat=P","Fill=—","Direction=H","UseDPDF=Y")</f>
        <v>50.266300000000001</v>
      </c>
      <c r="G18" s="18">
        <f>_xll.BDH("TATA IN Equity","TOT_DEBT_TO_TOT_ASSET","FY 2008","FY 2008","Currency=INR","Period=FY","BEST_FPERIOD_OVERRIDE=FY","FILING_STATUS=MR","EQY_CONSOLIDATED=Y","Sort=A","Dates=H","DateFormat=P","Fill=—","Direction=H","UseDPDF=Y")</f>
        <v>14.9634</v>
      </c>
      <c r="H18" s="18">
        <f>_xll.BDH("TATA IN Equity","TOT_DEBT_TO_TOT_ASSET","FY 2009","FY 2009","Currency=INR","Period=FY","BEST_FPERIOD_OVERRIDE=FY","FILING_STATUS=MR","EQY_CONSOLIDATED=Y","Sort=A","Dates=H","DateFormat=P","Fill=—","Direction=H","UseDPDF=Y")</f>
        <v>49.257800000000003</v>
      </c>
      <c r="I18" s="18">
        <f>_xll.BDH("TATA IN Equity","TOT_DEBT_TO_TOT_ASSET","FY 2010","FY 2010","Currency=INR","Period=FY","BEST_FPERIOD_OVERRIDE=FY","FILING_STATUS=MR","EQY_CONSOLIDATED=Y","Sort=A","Dates=H","DateFormat=P","Fill=—","Direction=H","UseDPDF=Y")</f>
        <v>48.371600000000001</v>
      </c>
      <c r="J18" s="18">
        <f>_xll.BDH("TATA IN Equity","TOT_DEBT_TO_TOT_ASSET","FY 2011","FY 2011","Currency=INR","Period=FY","BEST_FPERIOD_OVERRIDE=FY","FILING_STATUS=MR","EQY_CONSOLIDATED=Y","Sort=A","Dates=H","DateFormat=P","Fill=—","Direction=H","UseDPDF=Y")</f>
        <v>44.785299999999999</v>
      </c>
      <c r="K18" s="18">
        <f>_xll.BDH("TATA IN Equity","TOT_DEBT_TO_TOT_ASSET","FY 2012","FY 2012","Currency=INR","Period=FY","BEST_FPERIOD_OVERRIDE=FY","FILING_STATUS=MR","EQY_CONSOLIDATED=Y","Sort=A","Dates=H","DateFormat=P","Fill=—","Direction=H","UseDPDF=Y")</f>
        <v>40.787100000000002</v>
      </c>
      <c r="L18" s="18">
        <f>_xll.BDH("TATA IN Equity","TOT_DEBT_TO_TOT_ASSET","FY 2013","FY 2013","Currency=INR","Period=FY","BEST_FPERIOD_OVERRIDE=FY","FILING_STATUS=MR","EQY_CONSOLIDATED=Y","Sort=A","Dates=H","DateFormat=P","Fill=—","Direction=H","UseDPDF=Y")</f>
        <v>46.631300000000003</v>
      </c>
      <c r="M18" s="18">
        <f>_xll.BDH("TATA IN Equity","TOT_DEBT_TO_TOT_ASSET","FY 2014","FY 2014","Currency=INR","Period=FY","BEST_FPERIOD_OVERRIDE=FY","FILING_STATUS=MR","EQY_CONSOLIDATED=Y","Sort=A","Dates=H","DateFormat=P","Fill=—","Direction=H","UseDPDF=Y")</f>
        <v>47.545200000000001</v>
      </c>
      <c r="N18" s="18">
        <f>_xll.BDH("TATA IN Equity","TOT_DEBT_TO_TOT_ASSET","FY 2015","FY 2015","Currency=INR","Period=FY","BEST_FPERIOD_OVERRIDE=FY","FILING_STATUS=MR","EQY_CONSOLIDATED=Y","Sort=A","Dates=H","DateFormat=P","Fill=—","Direction=H","UseDPDF=Y")</f>
        <v>50.709200000000003</v>
      </c>
      <c r="O18" s="18">
        <f>_xll.BDH("TATA IN Equity","TOT_DEBT_TO_TOT_ASSET","FY 2016","FY 2016","Currency=INR","Period=FY","BEST_FPERIOD_OVERRIDE=FY","FILING_STATUS=MR","EQY_CONSOLIDATED=Y","Sort=A","Dates=H","DateFormat=P","Fill=—","Direction=H","UseDPDF=Y")</f>
        <v>46.186799999999998</v>
      </c>
      <c r="P18" s="18">
        <f>_xll.BDH("TATA IN Equity","TOT_DEBT_TO_TOT_ASSET","FY 2017","FY 2017","Currency=INR","Period=FY","BEST_FPERIOD_OVERRIDE=FY","FILING_STATUS=MR","EQY_CONSOLIDATED=Y","Sort=A","Dates=H","DateFormat=P","Fill=—","Direction=H","UseDPDF=Y")</f>
        <v>47.893000000000001</v>
      </c>
      <c r="Q18" s="18">
        <f>_xll.BDH("TATA IN Equity","TOT_DEBT_TO_TOT_ASSET","FY 2018","FY 2018","Currency=INR","Period=FY","BEST_FPERIOD_OVERRIDE=FY","FILING_STATUS=MR","EQY_CONSOLIDATED=Y","Sort=A","Dates=H","DateFormat=P","Fill=—","Direction=H","UseDPDF=Y")</f>
        <v>43.930199999999999</v>
      </c>
      <c r="R18" s="18">
        <f>_xll.BDH("TATA IN Equity","TOT_DEBT_TO_TOT_ASSET","FY 2019","FY 2019","Currency=INR","Period=FY","BEST_FPERIOD_OVERRIDE=FY","FILING_STATUS=MR","EQY_CONSOLIDATED=Y","Sort=A","Dates=H","DateFormat=P","Fill=—","Direction=H","UseDPDF=Y")</f>
        <v>43.160899999999998</v>
      </c>
      <c r="S18" s="18">
        <f>_xll.BDH("TATA IN Equity","TOT_DEBT_TO_TOT_ASSET","FY 2020","FY 2020","Currency=INR","Period=FY","BEST_FPERIOD_OVERRIDE=FY","FILING_STATUS=MR","EQY_CONSOLIDATED=Y","Sort=A","Dates=H","DateFormat=P","Fill=—","Direction=H","UseDPDF=Y")</f>
        <v>46.453299999999999</v>
      </c>
      <c r="T18" s="18">
        <f>_xll.BDH("TATA IN Equity","TOT_DEBT_TO_TOT_ASSET","FY 2021","FY 2021","Currency=INR","Period=FY","BEST_FPERIOD_OVERRIDE=FY","FILING_STATUS=MR","EQY_CONSOLIDATED=Y","Sort=A","Dates=H","DateFormat=P","Fill=—","Direction=H","UseDPDF=Y")</f>
        <v>33.820300000000003</v>
      </c>
      <c r="U18" s="18">
        <f>_xll.BDH("TATA IN Equity","TOT_DEBT_TO_TOT_ASSET","FY 2022","FY 2022","Currency=INR","Period=FY","BEST_FPERIOD_OVERRIDE=FY","FILING_STATUS=MR","EQY_CONSOLIDATED=Y","Sort=A","Dates=H","DateFormat=P","Fill=—","Direction=H","UseDPDF=Y")</f>
        <v>26.471399999999999</v>
      </c>
      <c r="V18" s="18">
        <f>_xll.BDH("TATA IN Equity","TOT_DEBT_TO_TOT_ASSET","FY 2023","FY 2023","Currency=INR","Period=FY","BEST_FPERIOD_OVERRIDE=FY","FILING_STATUS=MR","EQY_CONSOLIDATED=Y","Sort=A","Dates=H","DateFormat=P","Fill=—","Direction=H","UseDPDF=Y")</f>
        <v>29.474499999999999</v>
      </c>
    </row>
    <row r="19" spans="1:22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3" t="s">
        <v>101</v>
      </c>
      <c r="B20" s="3" t="s">
        <v>102</v>
      </c>
      <c r="C20" s="18">
        <f>_xll.BDH("TATA IN Equity","CASH_FLOW_TO_TOT_LIAB","FY 2004","FY 2004","Currency=INR","Period=FY","BEST_FPERIOD_OVERRIDE=FY","FILING_STATUS=MR","EQY_CONSOLIDATED=Y","Sort=A","Dates=H","DateFormat=P","Fill=—","Direction=H","UseDPDF=Y")</f>
        <v>29.438300000000002</v>
      </c>
      <c r="D20" s="18">
        <f>_xll.BDH("TATA IN Equity","CASH_FLOW_TO_TOT_LIAB","FY 2005","FY 2005","Currency=INR","Period=FY","BEST_FPERIOD_OVERRIDE=FY","FILING_STATUS=MR","EQY_CONSOLIDATED=Y","Sort=A","Dates=H","DateFormat=P","Fill=—","Direction=H","UseDPDF=Y")</f>
        <v>29.9358</v>
      </c>
      <c r="E20" s="18">
        <f>_xll.BDH("TATA IN Equity","CASH_FLOW_TO_TOT_LIAB","FY 2006","FY 2006","Currency=INR","Period=FY","BEST_FPERIOD_OVERRIDE=FY","FILING_STATUS=MR","EQY_CONSOLIDATED=Y","Sort=A","Dates=H","DateFormat=P","Fill=—","Direction=H","UseDPDF=Y")</f>
        <v>36.486600000000003</v>
      </c>
      <c r="F20" s="18">
        <f>_xll.BDH("TATA IN Equity","CASH_FLOW_TO_TOT_LIAB","FY 2007","FY 2007","Currency=INR","Period=FY","BEST_FPERIOD_OVERRIDE=FY","FILING_STATUS=MR","EQY_CONSOLIDATED=Y","Sort=A","Dates=H","DateFormat=P","Fill=—","Direction=H","UseDPDF=Y")</f>
        <v>15.7461</v>
      </c>
      <c r="G20" s="18">
        <f>_xll.BDH("TATA IN Equity","CASH_FLOW_TO_TOT_LIAB","FY 2008","FY 2008","Currency=INR","Period=FY","BEST_FPERIOD_OVERRIDE=FY","FILING_STATUS=MR","EQY_CONSOLIDATED=Y","Sort=A","Dates=H","DateFormat=P","Fill=—","Direction=H","UseDPDF=Y")</f>
        <v>10.7812</v>
      </c>
      <c r="H20" s="18">
        <f>_xll.BDH("TATA IN Equity","CASH_FLOW_TO_TOT_LIAB","FY 2009","FY 2009","Currency=INR","Period=FY","BEST_FPERIOD_OVERRIDE=FY","FILING_STATUS=MR","EQY_CONSOLIDATED=Y","Sort=A","Dates=H","DateFormat=P","Fill=—","Direction=H","UseDPDF=Y")</f>
        <v>13.5771</v>
      </c>
      <c r="I20" s="18">
        <f>_xll.BDH("TATA IN Equity","CASH_FLOW_TO_TOT_LIAB","FY 2010","FY 2010","Currency=INR","Period=FY","BEST_FPERIOD_OVERRIDE=FY","FILING_STATUS=MR","EQY_CONSOLIDATED=Y","Sort=A","Dates=H","DateFormat=P","Fill=—","Direction=H","UseDPDF=Y")</f>
        <v>8.7584</v>
      </c>
      <c r="J20" s="18">
        <f>_xll.BDH("TATA IN Equity","CASH_FLOW_TO_TOT_LIAB","FY 2011","FY 2011","Currency=INR","Period=FY","BEST_FPERIOD_OVERRIDE=FY","FILING_STATUS=MR","EQY_CONSOLIDATED=Y","Sort=A","Dates=H","DateFormat=P","Fill=—","Direction=H","UseDPDF=Y")</f>
        <v>1.2783</v>
      </c>
      <c r="K20" s="18">
        <f>_xll.BDH("TATA IN Equity","CASH_FLOW_TO_TOT_LIAB","FY 2012","FY 2012","Currency=INR","Period=FY","BEST_FPERIOD_OVERRIDE=FY","FILING_STATUS=MR","EQY_CONSOLIDATED=Y","Sort=A","Dates=H","DateFormat=P","Fill=—","Direction=H","UseDPDF=Y")</f>
        <v>8.2233000000000001</v>
      </c>
      <c r="L20" s="18">
        <f>_xll.BDH("TATA IN Equity","CASH_FLOW_TO_TOT_LIAB","FY 2013","FY 2013","Currency=INR","Period=FY","BEST_FPERIOD_OVERRIDE=FY","FILING_STATUS=MR","EQY_CONSOLIDATED=Y","Sort=A","Dates=H","DateFormat=P","Fill=—","Direction=H","UseDPDF=Y")</f>
        <v>10.0792</v>
      </c>
      <c r="M20" s="18">
        <f>_xll.BDH("TATA IN Equity","CASH_FLOW_TO_TOT_LIAB","FY 2014","FY 2014","Currency=INR","Period=FY","BEST_FPERIOD_OVERRIDE=FY","FILING_STATUS=MR","EQY_CONSOLIDATED=Y","Sort=A","Dates=H","DateFormat=P","Fill=—","Direction=H","UseDPDF=Y")</f>
        <v>7.5926999999999998</v>
      </c>
      <c r="N20" s="18">
        <f>_xll.BDH("TATA IN Equity","CASH_FLOW_TO_TOT_LIAB","FY 2015","FY 2015","Currency=INR","Period=FY","BEST_FPERIOD_OVERRIDE=FY","FILING_STATUS=MR","EQY_CONSOLIDATED=Y","Sort=A","Dates=H","DateFormat=P","Fill=—","Direction=H","UseDPDF=Y")</f>
        <v>5.4789000000000003</v>
      </c>
      <c r="O20" s="18">
        <f>_xll.BDH("TATA IN Equity","CASH_FLOW_TO_TOT_LIAB","FY 2016","FY 2016","Currency=INR","Period=FY","BEST_FPERIOD_OVERRIDE=FY","FILING_STATUS=MR","EQY_CONSOLIDATED=Y","Sort=A","Dates=H","DateFormat=P","Fill=—","Direction=H","UseDPDF=Y")</f>
        <v>4.6714000000000002</v>
      </c>
      <c r="P20" s="18">
        <f>_xll.BDH("TATA IN Equity","CASH_FLOW_TO_TOT_LIAB","FY 2017","FY 2017","Currency=INR","Period=FY","BEST_FPERIOD_OVERRIDE=FY","FILING_STATUS=MR","EQY_CONSOLIDATED=Y","Sort=A","Dates=H","DateFormat=P","Fill=—","Direction=H","UseDPDF=Y")</f>
        <v>4.7173999999999996</v>
      </c>
      <c r="Q20" s="18">
        <f>_xll.BDH("TATA IN Equity","CASH_FLOW_TO_TOT_LIAB","FY 2018","FY 2018","Currency=INR","Period=FY","BEST_FPERIOD_OVERRIDE=FY","FILING_STATUS=MR","EQY_CONSOLIDATED=Y","Sort=A","Dates=H","DateFormat=P","Fill=—","Direction=H","UseDPDF=Y")</f>
        <v>2.1922000000000001</v>
      </c>
      <c r="R20" s="18">
        <f>_xll.BDH("TATA IN Equity","CASH_FLOW_TO_TOT_LIAB","FY 2019","FY 2019","Currency=INR","Period=FY","BEST_FPERIOD_OVERRIDE=FY","FILING_STATUS=MR","EQY_CONSOLIDATED=Y","Sort=A","Dates=H","DateFormat=P","Fill=—","Direction=H","UseDPDF=Y")</f>
        <v>11.558299999999999</v>
      </c>
      <c r="S20" s="18">
        <f>_xll.BDH("TATA IN Equity","CASH_FLOW_TO_TOT_LIAB","FY 2020","FY 2020","Currency=INR","Period=FY","BEST_FPERIOD_OVERRIDE=FY","FILING_STATUS=MR","EQY_CONSOLIDATED=Y","Sort=A","Dates=H","DateFormat=P","Fill=—","Direction=H","UseDPDF=Y")</f>
        <v>7.4916</v>
      </c>
      <c r="T20" s="18">
        <f>_xll.BDH("TATA IN Equity","CASH_FLOW_TO_TOT_LIAB","FY 2021","FY 2021","Currency=INR","Period=FY","BEST_FPERIOD_OVERRIDE=FY","FILING_STATUS=MR","EQY_CONSOLIDATED=Y","Sort=A","Dates=H","DateFormat=P","Fill=—","Direction=H","UseDPDF=Y")</f>
        <v>22.576799999999999</v>
      </c>
      <c r="U20" s="18">
        <f>_xll.BDH("TATA IN Equity","CASH_FLOW_TO_TOT_LIAB","FY 2022","FY 2022","Currency=INR","Period=FY","BEST_FPERIOD_OVERRIDE=FY","FILING_STATUS=MR","EQY_CONSOLIDATED=Y","Sort=A","Dates=H","DateFormat=P","Fill=—","Direction=H","UseDPDF=Y")</f>
        <v>23.756399999999999</v>
      </c>
      <c r="V20" s="18">
        <f>_xll.BDH("TATA IN Equity","CASH_FLOW_TO_TOT_LIAB","FY 2023","FY 2023","Currency=INR","Period=FY","BEST_FPERIOD_OVERRIDE=FY","FILING_STATUS=MR","EQY_CONSOLIDATED=Y","Sort=A","Dates=H","DateFormat=P","Fill=—","Direction=H","UseDPDF=Y")</f>
        <v>8.8207000000000004</v>
      </c>
    </row>
    <row r="21" spans="1:22" x14ac:dyDescent="0.25">
      <c r="A21" s="3" t="s">
        <v>103</v>
      </c>
      <c r="B21" s="3" t="s">
        <v>104</v>
      </c>
      <c r="C21" s="18">
        <f>_xll.BDH("TATA IN Equity","CAP_EXPEND_RATIO","FY 2004","FY 2004","Currency=INR","Period=FY","BEST_FPERIOD_OVERRIDE=FY","FILING_STATUS=MR","EQY_CONSOLIDATED=Y","Sort=A","Dates=H","DateFormat=P","Fill=—","Direction=H","UseDPDF=Y")</f>
        <v>2.9472</v>
      </c>
      <c r="D21" s="18">
        <f>_xll.BDH("TATA IN Equity","CAP_EXPEND_RATIO","FY 2005","FY 2005","Currency=INR","Period=FY","BEST_FPERIOD_OVERRIDE=FY","FILING_STATUS=MR","EQY_CONSOLIDATED=Y","Sort=A","Dates=H","DateFormat=P","Fill=—","Direction=H","UseDPDF=Y")</f>
        <v>1.4913000000000001</v>
      </c>
      <c r="E21" s="18">
        <f>_xll.BDH("TATA IN Equity","CAP_EXPEND_RATIO","FY 2006","FY 2006","Currency=INR","Period=FY","BEST_FPERIOD_OVERRIDE=FY","FILING_STATUS=MR","EQY_CONSOLIDATED=Y","Sort=A","Dates=H","DateFormat=P","Fill=—","Direction=H","UseDPDF=Y")</f>
        <v>1.9141999999999999</v>
      </c>
      <c r="F21" s="18">
        <f>_xll.BDH("TATA IN Equity","CAP_EXPEND_RATIO","FY 2007","FY 2007","Currency=INR","Period=FY","BEST_FPERIOD_OVERRIDE=FY","FILING_STATUS=MR","EQY_CONSOLIDATED=Y","Sort=A","Dates=H","DateFormat=P","Fill=—","Direction=H","UseDPDF=Y")</f>
        <v>1.8190999999999999</v>
      </c>
      <c r="G21" s="18">
        <f>_xll.BDH("TATA IN Equity","CAP_EXPEND_RATIO","FY 2008","FY 2008","Currency=INR","Period=FY","BEST_FPERIOD_OVERRIDE=FY","FILING_STATUS=MR","EQY_CONSOLIDATED=Y","Sort=A","Dates=H","DateFormat=P","Fill=—","Direction=H","UseDPDF=Y")</f>
        <v>1.1516</v>
      </c>
      <c r="H21" s="18">
        <f>_xll.BDH("TATA IN Equity","CAP_EXPEND_RATIO","FY 2009","FY 2009","Currency=INR","Period=FY","BEST_FPERIOD_OVERRIDE=FY","FILING_STATUS=MR","EQY_CONSOLIDATED=Y","Sort=A","Dates=H","DateFormat=P","Fill=—","Direction=H","UseDPDF=Y")</f>
        <v>1.4967999999999999</v>
      </c>
      <c r="I21" s="18">
        <f>_xll.BDH("TATA IN Equity","CAP_EXPEND_RATIO","FY 2010","FY 2010","Currency=INR","Period=FY","BEST_FPERIOD_OVERRIDE=FY","FILING_STATUS=MR","EQY_CONSOLIDATED=Y","Sort=A","Dates=H","DateFormat=P","Fill=—","Direction=H","UseDPDF=Y")</f>
        <v>1.0543</v>
      </c>
      <c r="J21" s="18">
        <f>_xll.BDH("TATA IN Equity","CAP_EXPEND_RATIO","FY 2011","FY 2011","Currency=INR","Period=FY","BEST_FPERIOD_OVERRIDE=FY","FILING_STATUS=MR","EQY_CONSOLIDATED=Y","Sort=A","Dates=H","DateFormat=P","Fill=—","Direction=H","UseDPDF=Y")</f>
        <v>0.13200000000000001</v>
      </c>
      <c r="K21" s="18">
        <f>_xll.BDH("TATA IN Equity","CAP_EXPEND_RATIO","FY 2012","FY 2012","Currency=INR","Period=FY","BEST_FPERIOD_OVERRIDE=FY","FILING_STATUS=MR","EQY_CONSOLIDATED=Y","Sort=A","Dates=H","DateFormat=P","Fill=—","Direction=H","UseDPDF=Y")</f>
        <v>0.70199999999999996</v>
      </c>
      <c r="L21" s="18">
        <f>_xll.BDH("TATA IN Equity","CAP_EXPEND_RATIO","FY 2013","FY 2013","Currency=INR","Period=FY","BEST_FPERIOD_OVERRIDE=FY","FILING_STATUS=MR","EQY_CONSOLIDATED=Y","Sort=A","Dates=H","DateFormat=P","Fill=—","Direction=H","UseDPDF=Y")</f>
        <v>0.72350000000000003</v>
      </c>
      <c r="M21" s="18">
        <f>_xll.BDH("TATA IN Equity","CAP_EXPEND_RATIO","FY 2014","FY 2014","Currency=INR","Period=FY","BEST_FPERIOD_OVERRIDE=FY","FILING_STATUS=MR","EQY_CONSOLIDATED=Y","Sort=A","Dates=H","DateFormat=P","Fill=—","Direction=H","UseDPDF=Y")</f>
        <v>0.59809999999999997</v>
      </c>
      <c r="N21" s="18">
        <f>_xll.BDH("TATA IN Equity","CAP_EXPEND_RATIO","FY 2015","FY 2015","Currency=INR","Period=FY","BEST_FPERIOD_OVERRIDE=FY","FILING_STATUS=MR","EQY_CONSOLIDATED=Y","Sort=A","Dates=H","DateFormat=P","Fill=—","Direction=H","UseDPDF=Y")</f>
        <v>0.50319999999999998</v>
      </c>
      <c r="O21" s="18">
        <f>_xll.BDH("TATA IN Equity","CAP_EXPEND_RATIO","FY 2016","FY 2016","Currency=INR","Period=FY","BEST_FPERIOD_OVERRIDE=FY","FILING_STATUS=MR","EQY_CONSOLIDATED=Y","Sort=A","Dates=H","DateFormat=P","Fill=—","Direction=H","UseDPDF=Y")</f>
        <v>0.61129999999999995</v>
      </c>
      <c r="P21" s="18">
        <f>_xll.BDH("TATA IN Equity","CAP_EXPEND_RATIO","FY 2017","FY 2017","Currency=INR","Period=FY","BEST_FPERIOD_OVERRIDE=FY","FILING_STATUS=MR","EQY_CONSOLIDATED=Y","Sort=A","Dates=H","DateFormat=P","Fill=—","Direction=H","UseDPDF=Y")</f>
        <v>0.81869999999999998</v>
      </c>
      <c r="Q21" s="18">
        <f>_xll.BDH("TATA IN Equity","CAP_EXPEND_RATIO","FY 2018","FY 2018","Currency=INR","Period=FY","BEST_FPERIOD_OVERRIDE=FY","FILING_STATUS=MR","EQY_CONSOLIDATED=Y","Sort=A","Dates=H","DateFormat=P","Fill=—","Direction=H","UseDPDF=Y")</f>
        <v>0.43369999999999997</v>
      </c>
      <c r="R21" s="18">
        <f>_xll.BDH("TATA IN Equity","CAP_EXPEND_RATIO","FY 2019","FY 2019","Currency=INR","Period=FY","BEST_FPERIOD_OVERRIDE=FY","FILING_STATUS=MR","EQY_CONSOLIDATED=Y","Sort=A","Dates=H","DateFormat=P","Fill=—","Direction=H","UseDPDF=Y")</f>
        <v>2.0634000000000001</v>
      </c>
      <c r="S21" s="18">
        <f>_xll.BDH("TATA IN Equity","CAP_EXPEND_RATIO","FY 2020","FY 2020","Currency=INR","Period=FY","BEST_FPERIOD_OVERRIDE=FY","FILING_STATUS=MR","EQY_CONSOLIDATED=Y","Sort=A","Dates=H","DateFormat=P","Fill=—","Direction=H","UseDPDF=Y")</f>
        <v>1.2555000000000001</v>
      </c>
      <c r="T21" s="18">
        <f>_xll.BDH("TATA IN Equity","CAP_EXPEND_RATIO","FY 2021","FY 2021","Currency=INR","Period=FY","BEST_FPERIOD_OVERRIDE=FY","FILING_STATUS=MR","EQY_CONSOLIDATED=Y","Sort=A","Dates=H","DateFormat=P","Fill=—","Direction=H","UseDPDF=Y")</f>
        <v>5.4344000000000001</v>
      </c>
      <c r="U21" s="18">
        <f>_xll.BDH("TATA IN Equity","CAP_EXPEND_RATIO","FY 2022","FY 2022","Currency=INR","Period=FY","BEST_FPERIOD_OVERRIDE=FY","FILING_STATUS=MR","EQY_CONSOLIDATED=Y","Sort=A","Dates=H","DateFormat=P","Fill=—","Direction=H","UseDPDF=Y")</f>
        <v>3.8008000000000002</v>
      </c>
      <c r="V21" s="18">
        <f>_xll.BDH("TATA IN Equity","CAP_EXPEND_RATIO","FY 2023","FY 2023","Currency=INR","Period=FY","BEST_FPERIOD_OVERRIDE=FY","FILING_STATUS=MR","EQY_CONSOLIDATED=Y","Sort=A","Dates=H","DateFormat=P","Fill=—","Direction=H","UseDPDF=Y")</f>
        <v>1.1404000000000001</v>
      </c>
    </row>
    <row r="22" spans="1:22" x14ac:dyDescent="0.25">
      <c r="A22" s="3" t="s">
        <v>105</v>
      </c>
      <c r="B22" s="3" t="s">
        <v>106</v>
      </c>
      <c r="C22" s="18">
        <f>_xll.BDH("TATA IN Equity","ALTMAN_Z_SCORE","FY 2004","FY 2004","Currency=INR","Period=FY","BEST_FPERIOD_OVERRIDE=FY","FILING_STATUS=MR","EQY_CONSOLIDATED=Y","Sort=A","Dates=H","DateFormat=P","Fill=—","Direction=H","UseDPDF=Y")</f>
        <v>2.4373999999999998</v>
      </c>
      <c r="D22" s="18">
        <f>_xll.BDH("TATA IN Equity","ALTMAN_Z_SCORE","FY 2005","FY 2005","Currency=INR","Period=FY","BEST_FPERIOD_OVERRIDE=FY","FILING_STATUS=MR","EQY_CONSOLIDATED=Y","Sort=A","Dates=H","DateFormat=P","Fill=—","Direction=H","UseDPDF=Y")</f>
        <v>3.6272000000000002</v>
      </c>
      <c r="E22" s="18">
        <f>_xll.BDH("TATA IN Equity","ALTMAN_Z_SCORE","FY 2006","FY 2006","Currency=INR","Period=FY","BEST_FPERIOD_OVERRIDE=FY","FILING_STATUS=MR","EQY_CONSOLIDATED=Y","Sort=A","Dates=H","DateFormat=P","Fill=—","Direction=H","UseDPDF=Y")</f>
        <v>4.0585000000000004</v>
      </c>
      <c r="F22" s="18">
        <f>_xll.BDH("TATA IN Equity","ALTMAN_Z_SCORE","FY 2007","FY 2007","Currency=INR","Period=FY","BEST_FPERIOD_OVERRIDE=FY","FILING_STATUS=MR","EQY_CONSOLIDATED=Y","Sort=A","Dates=H","DateFormat=P","Fill=—","Direction=H","UseDPDF=Y")</f>
        <v>1.8873</v>
      </c>
      <c r="G22" s="18">
        <f>_xll.BDH("TATA IN Equity","ALTMAN_Z_SCORE","FY 2008","FY 2008","Currency=INR","Period=FY","BEST_FPERIOD_OVERRIDE=FY","FILING_STATUS=MR","EQY_CONSOLIDATED=Y","Sort=A","Dates=H","DateFormat=P","Fill=—","Direction=H","UseDPDF=Y")</f>
        <v>2.4344999999999999</v>
      </c>
      <c r="H22" s="18">
        <f>_xll.BDH("TATA IN Equity","ALTMAN_Z_SCORE","FY 2009","FY 2009","Currency=INR","Period=FY","BEST_FPERIOD_OVERRIDE=FY","FILING_STATUS=MR","EQY_CONSOLIDATED=Y","Sort=A","Dates=H","DateFormat=P","Fill=—","Direction=H","UseDPDF=Y")</f>
        <v>2.3834</v>
      </c>
      <c r="I22" s="18">
        <f>_xll.BDH("TATA IN Equity","ALTMAN_Z_SCORE","FY 2010","FY 2010","Currency=INR","Period=FY","BEST_FPERIOD_OVERRIDE=FY","FILING_STATUS=MR","EQY_CONSOLIDATED=Y","Sort=A","Dates=H","DateFormat=P","Fill=—","Direction=H","UseDPDF=Y")</f>
        <v>1.8984000000000001</v>
      </c>
      <c r="J22" s="18">
        <f>_xll.BDH("TATA IN Equity","ALTMAN_Z_SCORE","FY 2011","FY 2011","Currency=INR","Period=FY","BEST_FPERIOD_OVERRIDE=FY","FILING_STATUS=MR","EQY_CONSOLIDATED=Y","Sort=A","Dates=H","DateFormat=P","Fill=—","Direction=H","UseDPDF=Y")</f>
        <v>1.9898</v>
      </c>
      <c r="K22" s="18">
        <f>_xll.BDH("TATA IN Equity","ALTMAN_Z_SCORE","FY 2012","FY 2012","Currency=INR","Period=FY","BEST_FPERIOD_OVERRIDE=FY","FILING_STATUS=MR","EQY_CONSOLIDATED=Y","Sort=A","Dates=H","DateFormat=P","Fill=—","Direction=H","UseDPDF=Y")</f>
        <v>1.7874000000000001</v>
      </c>
      <c r="L22" s="18">
        <f>_xll.BDH("TATA IN Equity","ALTMAN_Z_SCORE","FY 2013","FY 2013","Currency=INR","Period=FY","BEST_FPERIOD_OVERRIDE=FY","FILING_STATUS=MR","EQY_CONSOLIDATED=Y","Sort=A","Dates=H","DateFormat=P","Fill=—","Direction=H","UseDPDF=Y")</f>
        <v>1.4535</v>
      </c>
      <c r="M22" s="18">
        <f>_xll.BDH("TATA IN Equity","ALTMAN_Z_SCORE","FY 2014","FY 2014","Currency=INR","Period=FY","BEST_FPERIOD_OVERRIDE=FY","FILING_STATUS=MR","EQY_CONSOLIDATED=Y","Sort=A","Dates=H","DateFormat=P","Fill=—","Direction=H","UseDPDF=Y")</f>
        <v>1.4182999999999999</v>
      </c>
      <c r="N22" s="18">
        <f>_xll.BDH("TATA IN Equity","ALTMAN_Z_SCORE","FY 2015","FY 2015","Currency=INR","Period=FY","BEST_FPERIOD_OVERRIDE=FY","FILING_STATUS=MR","EQY_CONSOLIDATED=Y","Sort=A","Dates=H","DateFormat=P","Fill=—","Direction=H","UseDPDF=Y")</f>
        <v>1.3829</v>
      </c>
      <c r="O22" s="18">
        <f>_xll.BDH("TATA IN Equity","ALTMAN_Z_SCORE","FY 2016","FY 2016","Currency=INR","Period=FY","BEST_FPERIOD_OVERRIDE=FY","FILING_STATUS=MR","EQY_CONSOLIDATED=Y","Sort=A","Dates=H","DateFormat=P","Fill=—","Direction=H","UseDPDF=Y")</f>
        <v>0.77200000000000002</v>
      </c>
      <c r="P22" s="18">
        <f>_xll.BDH("TATA IN Equity","ALTMAN_Z_SCORE","FY 2017","FY 2017","Currency=INR","Period=FY","BEST_FPERIOD_OVERRIDE=FY","FILING_STATUS=MR","EQY_CONSOLIDATED=Y","Sort=A","Dates=H","DateFormat=P","Fill=—","Direction=H","UseDPDF=Y")</f>
        <v>1.0364</v>
      </c>
      <c r="Q22" s="18">
        <f>_xll.BDH("TATA IN Equity","ALTMAN_Z_SCORE","FY 2018","FY 2018","Currency=INR","Period=FY","BEST_FPERIOD_OVERRIDE=FY","FILING_STATUS=MR","EQY_CONSOLIDATED=Y","Sort=A","Dates=H","DateFormat=P","Fill=—","Direction=H","UseDPDF=Y")</f>
        <v>1.2445999999999999</v>
      </c>
      <c r="R22" s="18">
        <f>_xll.BDH("TATA IN Equity","ALTMAN_Z_SCORE","FY 2019","FY 2019","Currency=INR","Period=FY","BEST_FPERIOD_OVERRIDE=FY","FILING_STATUS=MR","EQY_CONSOLIDATED=Y","Sort=A","Dates=H","DateFormat=P","Fill=—","Direction=H","UseDPDF=Y")</f>
        <v>1.2954000000000001</v>
      </c>
      <c r="S22" s="18">
        <f>_xll.BDH("TATA IN Equity","ALTMAN_Z_SCORE","FY 2020","FY 2020","Currency=INR","Period=FY","BEST_FPERIOD_OVERRIDE=FY","FILING_STATUS=MR","EQY_CONSOLIDATED=Y","Sort=A","Dates=H","DateFormat=P","Fill=—","Direction=H","UseDPDF=Y")</f>
        <v>0.91879999999999995</v>
      </c>
      <c r="T22" s="18">
        <f>_xll.BDH("TATA IN Equity","ALTMAN_Z_SCORE","FY 2021","FY 2021","Currency=INR","Period=FY","BEST_FPERIOD_OVERRIDE=FY","FILING_STATUS=MR","EQY_CONSOLIDATED=Y","Sort=A","Dates=H","DateFormat=P","Fill=—","Direction=H","UseDPDF=Y")</f>
        <v>1.3388</v>
      </c>
      <c r="U22" s="18">
        <f>_xll.BDH("TATA IN Equity","ALTMAN_Z_SCORE","FY 2022","FY 2022","Currency=INR","Period=FY","BEST_FPERIOD_OVERRIDE=FY","FILING_STATUS=MR","EQY_CONSOLIDATED=Y","Sort=A","Dates=H","DateFormat=P","Fill=—","Direction=H","UseDPDF=Y")</f>
        <v>2.39</v>
      </c>
      <c r="V22" s="18">
        <f>_xll.BDH("TATA IN Equity","ALTMAN_Z_SCORE","FY 2023","FY 2023","Currency=INR","Period=FY","BEST_FPERIOD_OVERRIDE=FY","FILING_STATUS=MR","EQY_CONSOLIDATED=Y","Sort=A","Dates=H","DateFormat=P","Fill=—","Direction=H","UseDPDF=Y")</f>
        <v>1.8053999999999999</v>
      </c>
    </row>
    <row r="23" spans="1:22" x14ac:dyDescent="0.25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3" t="s">
        <v>107</v>
      </c>
      <c r="B24" s="3" t="s">
        <v>108</v>
      </c>
      <c r="C24" s="2">
        <f>_xll.BDH("TATA IN Equity","BS_TOTAL_LINE_OF_CREDIT","FY 2004","FY 2004","Currency=INR","Period=FY","BEST_FPERIOD_OVERRIDE=FY","FILING_STATUS=MR","EQY_CONSOLIDATED=Y","SCALING_FORMAT=MLN","Sort=A","Dates=H","DateFormat=P","Fill=—","Direction=H","UseDPDF=Y")</f>
        <v>0</v>
      </c>
      <c r="D24" s="2">
        <f>_xll.BDH("TATA IN Equity","BS_TOTAL_LINE_OF_CREDIT","FY 2005","FY 2005","Currency=INR","Period=FY","BEST_FPERIOD_OVERRIDE=FY","FILING_STATUS=MR","EQY_CONSOLIDATED=Y","SCALING_FORMAT=MLN","Sort=A","Dates=H","DateFormat=P","Fill=—","Direction=H","UseDPDF=Y")</f>
        <v>0</v>
      </c>
      <c r="E24" s="2">
        <f>_xll.BDH("TATA IN Equity","BS_TOTAL_LINE_OF_CREDIT","FY 2006","FY 2006","Currency=INR","Period=FY","BEST_FPERIOD_OVERRIDE=FY","FILING_STATUS=MR","EQY_CONSOLIDATED=Y","SCALING_FORMAT=MLN","Sort=A","Dates=H","DateFormat=P","Fill=—","Direction=H","UseDPDF=Y")</f>
        <v>0</v>
      </c>
      <c r="F24" s="2">
        <f>_xll.BDH("TATA IN Equity","BS_TOTAL_LINE_OF_CREDIT","FY 2007","FY 2007","Currency=INR","Period=FY","BEST_FPERIOD_OVERRIDE=FY","FILING_STATUS=MR","EQY_CONSOLIDATED=Y","SCALING_FORMAT=MLN","Sort=A","Dates=H","DateFormat=P","Fill=—","Direction=H","UseDPDF=Y")</f>
        <v>0</v>
      </c>
      <c r="G24" s="2">
        <f>_xll.BDH("TATA IN Equity","BS_TOTAL_LINE_OF_CREDIT","FY 2008","FY 2008","Currency=INR","Period=FY","BEST_FPERIOD_OVERRIDE=FY","FILING_STATUS=MR","EQY_CONSOLIDATED=Y","SCALING_FORMAT=MLN","Sort=A","Dates=H","DateFormat=P","Fill=—","Direction=H","UseDPDF=Y")</f>
        <v>0</v>
      </c>
      <c r="H24" s="2" t="str">
        <f>_xll.BDH("TATA IN Equity","BS_TOTAL_LINE_OF_CREDIT","FY 2009","FY 2009","Currency=INR","Period=FY","BEST_FPERIOD_OVERRIDE=FY","FILING_STATUS=MR","EQY_CONSOLIDATED=Y","SCALING_FORMAT=MLN","Sort=A","Dates=H","DateFormat=P","Fill=—","Direction=H","UseDPDF=Y")</f>
        <v>—</v>
      </c>
      <c r="I24" s="2" t="str">
        <f>_xll.BDH("TATA IN Equity","BS_TOTAL_LINE_OF_CREDIT","FY 2010","FY 2010","Currency=INR","Period=FY","BEST_FPERIOD_OVERRIDE=FY","FILING_STATUS=MR","EQY_CONSOLIDATED=Y","SCALING_FORMAT=MLN","Sort=A","Dates=H","DateFormat=P","Fill=—","Direction=H","UseDPDF=Y")</f>
        <v>—</v>
      </c>
      <c r="J24" s="2" t="str">
        <f>_xll.BDH("TATA IN Equity","BS_TOTAL_LINE_OF_CREDIT","FY 2011","FY 2011","Currency=INR","Period=FY","BEST_FPERIOD_OVERRIDE=FY","FILING_STATUS=MR","EQY_CONSOLIDATED=Y","SCALING_FORMAT=MLN","Sort=A","Dates=H","DateFormat=P","Fill=—","Direction=H","UseDPDF=Y")</f>
        <v>—</v>
      </c>
      <c r="K24" s="2" t="str">
        <f>_xll.BDH("TATA IN Equity","BS_TOTAL_LINE_OF_CREDIT","FY 2012","FY 2012","Currency=INR","Period=FY","BEST_FPERIOD_OVERRIDE=FY","FILING_STATUS=MR","EQY_CONSOLIDATED=Y","SCALING_FORMAT=MLN","Sort=A","Dates=H","DateFormat=P","Fill=—","Direction=H","UseDPDF=Y")</f>
        <v>—</v>
      </c>
      <c r="L24" s="2" t="str">
        <f>_xll.BDH("TATA IN Equity","BS_TOTAL_LINE_OF_CREDIT","FY 2013","FY 2013","Currency=INR","Period=FY","BEST_FPERIOD_OVERRIDE=FY","FILING_STATUS=MR","EQY_CONSOLIDATED=Y","SCALING_FORMAT=MLN","Sort=A","Dates=H","DateFormat=P","Fill=—","Direction=H","UseDPDF=Y")</f>
        <v>—</v>
      </c>
      <c r="M24" s="2" t="str">
        <f>_xll.BDH("TATA IN Equity","BS_TOTAL_LINE_OF_CREDIT","FY 2014","FY 2014","Currency=INR","Period=FY","BEST_FPERIOD_OVERRIDE=FY","FILING_STATUS=MR","EQY_CONSOLIDATED=Y","SCALING_FORMAT=MLN","Sort=A","Dates=H","DateFormat=P","Fill=—","Direction=H","UseDPDF=Y")</f>
        <v>—</v>
      </c>
      <c r="N24" s="2" t="str">
        <f>_xll.BDH("TATA IN Equity","BS_TOTAL_LINE_OF_CREDIT","FY 2015","FY 2015","Currency=INR","Period=FY","BEST_FPERIOD_OVERRIDE=FY","FILING_STATUS=MR","EQY_CONSOLIDATED=Y","SCALING_FORMAT=MLN","Sort=A","Dates=H","DateFormat=P","Fill=—","Direction=H","UseDPDF=Y")</f>
        <v>—</v>
      </c>
      <c r="O24" s="2" t="str">
        <f>_xll.BDH("TATA IN Equity","BS_TOTAL_LINE_OF_CREDIT","FY 2016","FY 2016","Currency=INR","Period=FY","BEST_FPERIOD_OVERRIDE=FY","FILING_STATUS=MR","EQY_CONSOLIDATED=Y","SCALING_FORMAT=MLN","Sort=A","Dates=H","DateFormat=P","Fill=—","Direction=H","UseDPDF=Y")</f>
        <v>—</v>
      </c>
      <c r="P24" s="2" t="str">
        <f>_xll.BDH("TATA IN Equity","BS_TOTAL_LINE_OF_CREDIT","FY 2017","FY 2017","Currency=INR","Period=FY","BEST_FPERIOD_OVERRIDE=FY","FILING_STATUS=MR","EQY_CONSOLIDATED=Y","SCALING_FORMAT=MLN","Sort=A","Dates=H","DateFormat=P","Fill=—","Direction=H","UseDPDF=Y")</f>
        <v>—</v>
      </c>
      <c r="Q24" s="2" t="str">
        <f>_xll.BDH("TATA IN Equity","BS_TOTAL_LINE_OF_CREDIT","FY 2018","FY 2018","Currency=INR","Period=FY","BEST_FPERIOD_OVERRIDE=FY","FILING_STATUS=MR","EQY_CONSOLIDATED=Y","SCALING_FORMAT=MLN","Sort=A","Dates=H","DateFormat=P","Fill=—","Direction=H","UseDPDF=Y")</f>
        <v>—</v>
      </c>
      <c r="R24" s="2" t="str">
        <f>_xll.BDH("TATA IN Equity","BS_TOTAL_LINE_OF_CREDIT","FY 2019","FY 2019","Currency=INR","Period=FY","BEST_FPERIOD_OVERRIDE=FY","FILING_STATUS=MR","EQY_CONSOLIDATED=Y","SCALING_FORMAT=MLN","Sort=A","Dates=H","DateFormat=P","Fill=—","Direction=H","UseDPDF=Y")</f>
        <v>—</v>
      </c>
      <c r="S24" s="2" t="str">
        <f>_xll.BDH("TATA IN Equity","BS_TOTAL_LINE_OF_CREDIT","FY 2020","FY 2020","Currency=INR","Period=FY","BEST_FPERIOD_OVERRIDE=FY","FILING_STATUS=MR","EQY_CONSOLIDATED=Y","SCALING_FORMAT=MLN","Sort=A","Dates=H","DateFormat=P","Fill=—","Direction=H","UseDPDF=Y")</f>
        <v>—</v>
      </c>
      <c r="T24" s="2" t="str">
        <f>_xll.BDH("TATA IN Equity","BS_TOTAL_LINE_OF_CREDIT","FY 2021","FY 2021","Currency=INR","Period=FY","BEST_FPERIOD_OVERRIDE=FY","FILING_STATUS=MR","EQY_CONSOLIDATED=Y","SCALING_FORMAT=MLN","Sort=A","Dates=H","DateFormat=P","Fill=—","Direction=H","UseDPDF=Y")</f>
        <v>—</v>
      </c>
      <c r="U24" s="2" t="str">
        <f>_xll.BDH("TATA IN Equity","BS_TOTAL_LINE_OF_CREDIT","FY 2022","FY 2022","Currency=INR","Period=FY","BEST_FPERIOD_OVERRIDE=FY","FILING_STATUS=MR","EQY_CONSOLIDATED=Y","SCALING_FORMAT=MLN","Sort=A","Dates=H","DateFormat=P","Fill=—","Direction=H","UseDPDF=Y")</f>
        <v>—</v>
      </c>
      <c r="V24" s="2" t="str">
        <f>_xll.BDH("TATA IN Equity","BS_TOTAL_LINE_OF_CREDIT","FY 2023","FY 2023","Currency=INR","Period=FY","BEST_FPERIOD_OVERRIDE=FY","FILING_STATUS=MR","EQY_CONSOLIDATED=Y","SCALING_FORMAT=MLN","Sort=A","Dates=H","DateFormat=P","Fill=—","Direction=H","UseDPDF=Y")</f>
        <v>—</v>
      </c>
    </row>
    <row r="25" spans="1:22" x14ac:dyDescent="0.25">
      <c r="A25" s="3" t="s">
        <v>109</v>
      </c>
      <c r="B25" s="3" t="s">
        <v>110</v>
      </c>
      <c r="C25" s="2">
        <f>_xll.BDH("TATA IN Equity","BS_TOTAL_AVAIL_LINE_OF_CREDIT","FY 2004","FY 2004","Currency=INR","Period=FY","BEST_FPERIOD_OVERRIDE=FY","FILING_STATUS=MR","EQY_CONSOLIDATED=Y","SCALING_FORMAT=MLN","Sort=A","Dates=H","DateFormat=P","Fill=—","Direction=H","UseDPDF=Y")</f>
        <v>0</v>
      </c>
      <c r="D25" s="2">
        <f>_xll.BDH("TATA IN Equity","BS_TOTAL_AVAIL_LINE_OF_CREDIT","FY 2005","FY 2005","Currency=INR","Period=FY","BEST_FPERIOD_OVERRIDE=FY","FILING_STATUS=MR","EQY_CONSOLIDATED=Y","SCALING_FORMAT=MLN","Sort=A","Dates=H","DateFormat=P","Fill=—","Direction=H","UseDPDF=Y")</f>
        <v>0</v>
      </c>
      <c r="E25" s="2">
        <f>_xll.BDH("TATA IN Equity","BS_TOTAL_AVAIL_LINE_OF_CREDIT","FY 2006","FY 2006","Currency=INR","Period=FY","BEST_FPERIOD_OVERRIDE=FY","FILING_STATUS=MR","EQY_CONSOLIDATED=Y","SCALING_FORMAT=MLN","Sort=A","Dates=H","DateFormat=P","Fill=—","Direction=H","UseDPDF=Y")</f>
        <v>0</v>
      </c>
      <c r="F25" s="2">
        <f>_xll.BDH("TATA IN Equity","BS_TOTAL_AVAIL_LINE_OF_CREDIT","FY 2007","FY 2007","Currency=INR","Period=FY","BEST_FPERIOD_OVERRIDE=FY","FILING_STATUS=MR","EQY_CONSOLIDATED=Y","SCALING_FORMAT=MLN","Sort=A","Dates=H","DateFormat=P","Fill=—","Direction=H","UseDPDF=Y")</f>
        <v>0</v>
      </c>
      <c r="G25" s="2">
        <f>_xll.BDH("TATA IN Equity","BS_TOTAL_AVAIL_LINE_OF_CREDIT","FY 2008","FY 2008","Currency=INR","Period=FY","BEST_FPERIOD_OVERRIDE=FY","FILING_STATUS=MR","EQY_CONSOLIDATED=Y","SCALING_FORMAT=MLN","Sort=A","Dates=H","DateFormat=P","Fill=—","Direction=H","UseDPDF=Y")</f>
        <v>0</v>
      </c>
      <c r="H25" s="2" t="str">
        <f>_xll.BDH("TATA IN Equity","BS_TOTAL_AVAIL_LINE_OF_CREDIT","FY 2009","FY 2009","Currency=INR","Period=FY","BEST_FPERIOD_OVERRIDE=FY","FILING_STATUS=MR","EQY_CONSOLIDATED=Y","SCALING_FORMAT=MLN","Sort=A","Dates=H","DateFormat=P","Fill=—","Direction=H","UseDPDF=Y")</f>
        <v>—</v>
      </c>
      <c r="I25" s="2" t="str">
        <f>_xll.BDH("TATA IN Equity","BS_TOTAL_AVAIL_LINE_OF_CREDIT","FY 2010","FY 2010","Currency=INR","Period=FY","BEST_FPERIOD_OVERRIDE=FY","FILING_STATUS=MR","EQY_CONSOLIDATED=Y","SCALING_FORMAT=MLN","Sort=A","Dates=H","DateFormat=P","Fill=—","Direction=H","UseDPDF=Y")</f>
        <v>—</v>
      </c>
      <c r="J25" s="2" t="str">
        <f>_xll.BDH("TATA IN Equity","BS_TOTAL_AVAIL_LINE_OF_CREDIT","FY 2011","FY 2011","Currency=INR","Period=FY","BEST_FPERIOD_OVERRIDE=FY","FILING_STATUS=MR","EQY_CONSOLIDATED=Y","SCALING_FORMAT=MLN","Sort=A","Dates=H","DateFormat=P","Fill=—","Direction=H","UseDPDF=Y")</f>
        <v>—</v>
      </c>
      <c r="K25" s="2" t="str">
        <f>_xll.BDH("TATA IN Equity","BS_TOTAL_AVAIL_LINE_OF_CREDIT","FY 2012","FY 2012","Currency=INR","Period=FY","BEST_FPERIOD_OVERRIDE=FY","FILING_STATUS=MR","EQY_CONSOLIDATED=Y","SCALING_FORMAT=MLN","Sort=A","Dates=H","DateFormat=P","Fill=—","Direction=H","UseDPDF=Y")</f>
        <v>—</v>
      </c>
      <c r="L25" s="2" t="str">
        <f>_xll.BDH("TATA IN Equity","BS_TOTAL_AVAIL_LINE_OF_CREDIT","FY 2013","FY 2013","Currency=INR","Period=FY","BEST_FPERIOD_OVERRIDE=FY","FILING_STATUS=MR","EQY_CONSOLIDATED=Y","SCALING_FORMAT=MLN","Sort=A","Dates=H","DateFormat=P","Fill=—","Direction=H","UseDPDF=Y")</f>
        <v>—</v>
      </c>
      <c r="M25" s="2" t="str">
        <f>_xll.BDH("TATA IN Equity","BS_TOTAL_AVAIL_LINE_OF_CREDIT","FY 2014","FY 2014","Currency=INR","Period=FY","BEST_FPERIOD_OVERRIDE=FY","FILING_STATUS=MR","EQY_CONSOLIDATED=Y","SCALING_FORMAT=MLN","Sort=A","Dates=H","DateFormat=P","Fill=—","Direction=H","UseDPDF=Y")</f>
        <v>—</v>
      </c>
      <c r="N25" s="2" t="str">
        <f>_xll.BDH("TATA IN Equity","BS_TOTAL_AVAIL_LINE_OF_CREDIT","FY 2015","FY 2015","Currency=INR","Period=FY","BEST_FPERIOD_OVERRIDE=FY","FILING_STATUS=MR","EQY_CONSOLIDATED=Y","SCALING_FORMAT=MLN","Sort=A","Dates=H","DateFormat=P","Fill=—","Direction=H","UseDPDF=Y")</f>
        <v>—</v>
      </c>
      <c r="O25" s="2" t="str">
        <f>_xll.BDH("TATA IN Equity","BS_TOTAL_AVAIL_LINE_OF_CREDIT","FY 2016","FY 2016","Currency=INR","Period=FY","BEST_FPERIOD_OVERRIDE=FY","FILING_STATUS=MR","EQY_CONSOLIDATED=Y","SCALING_FORMAT=MLN","Sort=A","Dates=H","DateFormat=P","Fill=—","Direction=H","UseDPDF=Y")</f>
        <v>—</v>
      </c>
      <c r="P25" s="2" t="str">
        <f>_xll.BDH("TATA IN Equity","BS_TOTAL_AVAIL_LINE_OF_CREDIT","FY 2017","FY 2017","Currency=INR","Period=FY","BEST_FPERIOD_OVERRIDE=FY","FILING_STATUS=MR","EQY_CONSOLIDATED=Y","SCALING_FORMAT=MLN","Sort=A","Dates=H","DateFormat=P","Fill=—","Direction=H","UseDPDF=Y")</f>
        <v>—</v>
      </c>
      <c r="Q25" s="2" t="str">
        <f>_xll.BDH("TATA IN Equity","BS_TOTAL_AVAIL_LINE_OF_CREDIT","FY 2018","FY 2018","Currency=INR","Period=FY","BEST_FPERIOD_OVERRIDE=FY","FILING_STATUS=MR","EQY_CONSOLIDATED=Y","SCALING_FORMAT=MLN","Sort=A","Dates=H","DateFormat=P","Fill=—","Direction=H","UseDPDF=Y")</f>
        <v>—</v>
      </c>
      <c r="R25" s="2" t="str">
        <f>_xll.BDH("TATA IN Equity","BS_TOTAL_AVAIL_LINE_OF_CREDIT","FY 2019","FY 2019","Currency=INR","Period=FY","BEST_FPERIOD_OVERRIDE=FY","FILING_STATUS=MR","EQY_CONSOLIDATED=Y","SCALING_FORMAT=MLN","Sort=A","Dates=H","DateFormat=P","Fill=—","Direction=H","UseDPDF=Y")</f>
        <v>—</v>
      </c>
      <c r="S25" s="2" t="str">
        <f>_xll.BDH("TATA IN Equity","BS_TOTAL_AVAIL_LINE_OF_CREDIT","FY 2020","FY 2020","Currency=INR","Period=FY","BEST_FPERIOD_OVERRIDE=FY","FILING_STATUS=MR","EQY_CONSOLIDATED=Y","SCALING_FORMAT=MLN","Sort=A","Dates=H","DateFormat=P","Fill=—","Direction=H","UseDPDF=Y")</f>
        <v>—</v>
      </c>
      <c r="T25" s="2" t="str">
        <f>_xll.BDH("TATA IN Equity","BS_TOTAL_AVAIL_LINE_OF_CREDIT","FY 2021","FY 2021","Currency=INR","Period=FY","BEST_FPERIOD_OVERRIDE=FY","FILING_STATUS=MR","EQY_CONSOLIDATED=Y","SCALING_FORMAT=MLN","Sort=A","Dates=H","DateFormat=P","Fill=—","Direction=H","UseDPDF=Y")</f>
        <v>—</v>
      </c>
      <c r="U25" s="2" t="str">
        <f>_xll.BDH("TATA IN Equity","BS_TOTAL_AVAIL_LINE_OF_CREDIT","FY 2022","FY 2022","Currency=INR","Period=FY","BEST_FPERIOD_OVERRIDE=FY","FILING_STATUS=MR","EQY_CONSOLIDATED=Y","SCALING_FORMAT=MLN","Sort=A","Dates=H","DateFormat=P","Fill=—","Direction=H","UseDPDF=Y")</f>
        <v>—</v>
      </c>
      <c r="V25" s="2" t="str">
        <f>_xll.BDH("TATA IN Equity","BS_TOTAL_AVAIL_LINE_OF_CREDIT","FY 2023","FY 2023","Currency=INR","Period=FY","BEST_FPERIOD_OVERRIDE=FY","FILING_STATUS=MR","EQY_CONSOLIDATED=Y","SCALING_FORMAT=MLN","Sort=A","Dates=H","DateFormat=P","Fill=—","Direction=H","UseDPDF=Y")</f>
        <v>—</v>
      </c>
    </row>
    <row r="26" spans="1:22" x14ac:dyDescent="0.25">
      <c r="A26" s="3" t="s">
        <v>111</v>
      </c>
      <c r="B26" s="3" t="s">
        <v>112</v>
      </c>
      <c r="C26" s="2">
        <f>_xll.BDH("TATA IN Equity","LINE_OF_CREDIT_UTILIZED_AMOUNT","FY 2004","FY 2004","Currency=INR","Period=FY","BEST_FPERIOD_OVERRIDE=FY","FILING_STATUS=MR","EQY_CONSOLIDATED=Y","SCALING_FORMAT=MLN","Sort=A","Dates=H","DateFormat=P","Fill=—","Direction=H","UseDPDF=Y")</f>
        <v>0</v>
      </c>
      <c r="D26" s="2">
        <f>_xll.BDH("TATA IN Equity","LINE_OF_CREDIT_UTILIZED_AMOUNT","FY 2005","FY 2005","Currency=INR","Period=FY","BEST_FPERIOD_OVERRIDE=FY","FILING_STATUS=MR","EQY_CONSOLIDATED=Y","SCALING_FORMAT=MLN","Sort=A","Dates=H","DateFormat=P","Fill=—","Direction=H","UseDPDF=Y")</f>
        <v>0</v>
      </c>
      <c r="E26" s="2">
        <f>_xll.BDH("TATA IN Equity","LINE_OF_CREDIT_UTILIZED_AMOUNT","FY 2006","FY 2006","Currency=INR","Period=FY","BEST_FPERIOD_OVERRIDE=FY","FILING_STATUS=MR","EQY_CONSOLIDATED=Y","SCALING_FORMAT=MLN","Sort=A","Dates=H","DateFormat=P","Fill=—","Direction=H","UseDPDF=Y")</f>
        <v>0</v>
      </c>
      <c r="F26" s="2">
        <f>_xll.BDH("TATA IN Equity","LINE_OF_CREDIT_UTILIZED_AMOUNT","FY 2007","FY 2007","Currency=INR","Period=FY","BEST_FPERIOD_OVERRIDE=FY","FILING_STATUS=MR","EQY_CONSOLIDATED=Y","SCALING_FORMAT=MLN","Sort=A","Dates=H","DateFormat=P","Fill=—","Direction=H","UseDPDF=Y")</f>
        <v>0</v>
      </c>
      <c r="G26" s="2">
        <f>_xll.BDH("TATA IN Equity","LINE_OF_CREDIT_UTILIZED_AMOUNT","FY 2008","FY 2008","Currency=INR","Period=FY","BEST_FPERIOD_OVERRIDE=FY","FILING_STATUS=MR","EQY_CONSOLIDATED=Y","SCALING_FORMAT=MLN","Sort=A","Dates=H","DateFormat=P","Fill=—","Direction=H","UseDPDF=Y")</f>
        <v>0</v>
      </c>
      <c r="H26" s="2" t="str">
        <f>_xll.BDH("TATA IN Equity","LINE_OF_CREDIT_UTILIZED_AMOUNT","FY 2009","FY 2009","Currency=INR","Period=FY","BEST_FPERIOD_OVERRIDE=FY","FILING_STATUS=MR","EQY_CONSOLIDATED=Y","SCALING_FORMAT=MLN","Sort=A","Dates=H","DateFormat=P","Fill=—","Direction=H","UseDPDF=Y")</f>
        <v>—</v>
      </c>
      <c r="I26" s="2" t="str">
        <f>_xll.BDH("TATA IN Equity","LINE_OF_CREDIT_UTILIZED_AMOUNT","FY 2010","FY 2010","Currency=INR","Period=FY","BEST_FPERIOD_OVERRIDE=FY","FILING_STATUS=MR","EQY_CONSOLIDATED=Y","SCALING_FORMAT=MLN","Sort=A","Dates=H","DateFormat=P","Fill=—","Direction=H","UseDPDF=Y")</f>
        <v>—</v>
      </c>
      <c r="J26" s="2" t="str">
        <f>_xll.BDH("TATA IN Equity","LINE_OF_CREDIT_UTILIZED_AMOUNT","FY 2011","FY 2011","Currency=INR","Period=FY","BEST_FPERIOD_OVERRIDE=FY","FILING_STATUS=MR","EQY_CONSOLIDATED=Y","SCALING_FORMAT=MLN","Sort=A","Dates=H","DateFormat=P","Fill=—","Direction=H","UseDPDF=Y")</f>
        <v>—</v>
      </c>
      <c r="K26" s="2" t="str">
        <f>_xll.BDH("TATA IN Equity","LINE_OF_CREDIT_UTILIZED_AMOUNT","FY 2012","FY 2012","Currency=INR","Period=FY","BEST_FPERIOD_OVERRIDE=FY","FILING_STATUS=MR","EQY_CONSOLIDATED=Y","SCALING_FORMAT=MLN","Sort=A","Dates=H","DateFormat=P","Fill=—","Direction=H","UseDPDF=Y")</f>
        <v>—</v>
      </c>
      <c r="L26" s="2" t="str">
        <f>_xll.BDH("TATA IN Equity","LINE_OF_CREDIT_UTILIZED_AMOUNT","FY 2013","FY 2013","Currency=INR","Period=FY","BEST_FPERIOD_OVERRIDE=FY","FILING_STATUS=MR","EQY_CONSOLIDATED=Y","SCALING_FORMAT=MLN","Sort=A","Dates=H","DateFormat=P","Fill=—","Direction=H","UseDPDF=Y")</f>
        <v>—</v>
      </c>
      <c r="M26" s="2" t="str">
        <f>_xll.BDH("TATA IN Equity","LINE_OF_CREDIT_UTILIZED_AMOUNT","FY 2014","FY 2014","Currency=INR","Period=FY","BEST_FPERIOD_OVERRIDE=FY","FILING_STATUS=MR","EQY_CONSOLIDATED=Y","SCALING_FORMAT=MLN","Sort=A","Dates=H","DateFormat=P","Fill=—","Direction=H","UseDPDF=Y")</f>
        <v>—</v>
      </c>
      <c r="N26" s="2" t="str">
        <f>_xll.BDH("TATA IN Equity","LINE_OF_CREDIT_UTILIZED_AMOUNT","FY 2015","FY 2015","Currency=INR","Period=FY","BEST_FPERIOD_OVERRIDE=FY","FILING_STATUS=MR","EQY_CONSOLIDATED=Y","SCALING_FORMAT=MLN","Sort=A","Dates=H","DateFormat=P","Fill=—","Direction=H","UseDPDF=Y")</f>
        <v>—</v>
      </c>
      <c r="O26" s="2" t="str">
        <f>_xll.BDH("TATA IN Equity","LINE_OF_CREDIT_UTILIZED_AMOUNT","FY 2016","FY 2016","Currency=INR","Period=FY","BEST_FPERIOD_OVERRIDE=FY","FILING_STATUS=MR","EQY_CONSOLIDATED=Y","SCALING_FORMAT=MLN","Sort=A","Dates=H","DateFormat=P","Fill=—","Direction=H","UseDPDF=Y")</f>
        <v>—</v>
      </c>
      <c r="P26" s="2" t="str">
        <f>_xll.BDH("TATA IN Equity","LINE_OF_CREDIT_UTILIZED_AMOUNT","FY 2017","FY 2017","Currency=INR","Period=FY","BEST_FPERIOD_OVERRIDE=FY","FILING_STATUS=MR","EQY_CONSOLIDATED=Y","SCALING_FORMAT=MLN","Sort=A","Dates=H","DateFormat=P","Fill=—","Direction=H","UseDPDF=Y")</f>
        <v>—</v>
      </c>
      <c r="Q26" s="2" t="str">
        <f>_xll.BDH("TATA IN Equity","LINE_OF_CREDIT_UTILIZED_AMOUNT","FY 2018","FY 2018","Currency=INR","Period=FY","BEST_FPERIOD_OVERRIDE=FY","FILING_STATUS=MR","EQY_CONSOLIDATED=Y","SCALING_FORMAT=MLN","Sort=A","Dates=H","DateFormat=P","Fill=—","Direction=H","UseDPDF=Y")</f>
        <v>—</v>
      </c>
      <c r="R26" s="2" t="str">
        <f>_xll.BDH("TATA IN Equity","LINE_OF_CREDIT_UTILIZED_AMOUNT","FY 2019","FY 2019","Currency=INR","Period=FY","BEST_FPERIOD_OVERRIDE=FY","FILING_STATUS=MR","EQY_CONSOLIDATED=Y","SCALING_FORMAT=MLN","Sort=A","Dates=H","DateFormat=P","Fill=—","Direction=H","UseDPDF=Y")</f>
        <v>—</v>
      </c>
      <c r="S26" s="2" t="str">
        <f>_xll.BDH("TATA IN Equity","LINE_OF_CREDIT_UTILIZED_AMOUNT","FY 2020","FY 2020","Currency=INR","Period=FY","BEST_FPERIOD_OVERRIDE=FY","FILING_STATUS=MR","EQY_CONSOLIDATED=Y","SCALING_FORMAT=MLN","Sort=A","Dates=H","DateFormat=P","Fill=—","Direction=H","UseDPDF=Y")</f>
        <v>—</v>
      </c>
      <c r="T26" s="2" t="str">
        <f>_xll.BDH("TATA IN Equity","LINE_OF_CREDIT_UTILIZED_AMOUNT","FY 2021","FY 2021","Currency=INR","Period=FY","BEST_FPERIOD_OVERRIDE=FY","FILING_STATUS=MR","EQY_CONSOLIDATED=Y","SCALING_FORMAT=MLN","Sort=A","Dates=H","DateFormat=P","Fill=—","Direction=H","UseDPDF=Y")</f>
        <v>—</v>
      </c>
      <c r="U26" s="2" t="str">
        <f>_xll.BDH("TATA IN Equity","LINE_OF_CREDIT_UTILIZED_AMOUNT","FY 2022","FY 2022","Currency=INR","Period=FY","BEST_FPERIOD_OVERRIDE=FY","FILING_STATUS=MR","EQY_CONSOLIDATED=Y","SCALING_FORMAT=MLN","Sort=A","Dates=H","DateFormat=P","Fill=—","Direction=H","UseDPDF=Y")</f>
        <v>—</v>
      </c>
      <c r="V26" s="2" t="str">
        <f>_xll.BDH("TATA IN Equity","LINE_OF_CREDIT_UTILIZED_AMOUNT","FY 2023","FY 2023","Currency=INR","Period=FY","BEST_FPERIOD_OVERRIDE=FY","FILING_STATUS=MR","EQY_CONSOLIDATED=Y","SCALING_FORMAT=MLN","Sort=A","Dates=H","DateFormat=P","Fill=—","Direction=H","UseDPDF=Y")</f>
        <v>—</v>
      </c>
    </row>
    <row r="27" spans="1:22" x14ac:dyDescent="0.25">
      <c r="A27" s="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3" t="s">
        <v>115</v>
      </c>
      <c r="B28" s="3" t="s">
        <v>116</v>
      </c>
      <c r="C28" s="2">
        <f>_xll.BDH("TATA IN Equity","BS_TOT_COM_PAPER_ISSUED","FY 2004","FY 2004","Currency=INR","Period=FY","BEST_FPERIOD_OVERRIDE=FY","FILING_STATUS=MR","EQY_CONSOLIDATED=Y","SCALING_FORMAT=MLN","Sort=A","Dates=H","DateFormat=P","Fill=—","Direction=H","UseDPDF=Y")</f>
        <v>0</v>
      </c>
      <c r="D28" s="2">
        <f>_xll.BDH("TATA IN Equity","BS_TOT_COM_PAPER_ISSUED","FY 2005","FY 2005","Currency=INR","Period=FY","BEST_FPERIOD_OVERRIDE=FY","FILING_STATUS=MR","EQY_CONSOLIDATED=Y","SCALING_FORMAT=MLN","Sort=A","Dates=H","DateFormat=P","Fill=—","Direction=H","UseDPDF=Y")</f>
        <v>0</v>
      </c>
      <c r="E28" s="2">
        <f>_xll.BDH("TATA IN Equity","BS_TOT_COM_PAPER_ISSUED","FY 2006","FY 2006","Currency=INR","Period=FY","BEST_FPERIOD_OVERRIDE=FY","FILING_STATUS=MR","EQY_CONSOLIDATED=Y","SCALING_FORMAT=MLN","Sort=A","Dates=H","DateFormat=P","Fill=—","Direction=H","UseDPDF=Y")</f>
        <v>0</v>
      </c>
      <c r="F28" s="2">
        <f>_xll.BDH("TATA IN Equity","BS_TOT_COM_PAPER_ISSUED","FY 2007","FY 2007","Currency=INR","Period=FY","BEST_FPERIOD_OVERRIDE=FY","FILING_STATUS=MR","EQY_CONSOLIDATED=Y","SCALING_FORMAT=MLN","Sort=A","Dates=H","DateFormat=P","Fill=—","Direction=H","UseDPDF=Y")</f>
        <v>0</v>
      </c>
      <c r="G28" s="2">
        <f>_xll.BDH("TATA IN Equity","BS_TOT_COM_PAPER_ISSUED","FY 2008","FY 2008","Currency=INR","Period=FY","BEST_FPERIOD_OVERRIDE=FY","FILING_STATUS=MR","EQY_CONSOLIDATED=Y","SCALING_FORMAT=MLN","Sort=A","Dates=H","DateFormat=P","Fill=—","Direction=H","UseDPDF=Y")</f>
        <v>0</v>
      </c>
      <c r="H28" s="2" t="str">
        <f>_xll.BDH("TATA IN Equity","BS_TOT_COM_PAPER_ISSUED","FY 2009","FY 2009","Currency=INR","Period=FY","BEST_FPERIOD_OVERRIDE=FY","FILING_STATUS=MR","EQY_CONSOLIDATED=Y","SCALING_FORMAT=MLN","Sort=A","Dates=H","DateFormat=P","Fill=—","Direction=H","UseDPDF=Y")</f>
        <v>—</v>
      </c>
      <c r="I28" s="2" t="str">
        <f>_xll.BDH("TATA IN Equity","BS_TOT_COM_PAPER_ISSUED","FY 2010","FY 2010","Currency=INR","Period=FY","BEST_FPERIOD_OVERRIDE=FY","FILING_STATUS=MR","EQY_CONSOLIDATED=Y","SCALING_FORMAT=MLN","Sort=A","Dates=H","DateFormat=P","Fill=—","Direction=H","UseDPDF=Y")</f>
        <v>—</v>
      </c>
      <c r="J28" s="2" t="str">
        <f>_xll.BDH("TATA IN Equity","BS_TOT_COM_PAPER_ISSUED","FY 2011","FY 2011","Currency=INR","Period=FY","BEST_FPERIOD_OVERRIDE=FY","FILING_STATUS=MR","EQY_CONSOLIDATED=Y","SCALING_FORMAT=MLN","Sort=A","Dates=H","DateFormat=P","Fill=—","Direction=H","UseDPDF=Y")</f>
        <v>—</v>
      </c>
      <c r="K28" s="2" t="str">
        <f>_xll.BDH("TATA IN Equity","BS_TOT_COM_PAPER_ISSUED","FY 2012","FY 2012","Currency=INR","Period=FY","BEST_FPERIOD_OVERRIDE=FY","FILING_STATUS=MR","EQY_CONSOLIDATED=Y","SCALING_FORMAT=MLN","Sort=A","Dates=H","DateFormat=P","Fill=—","Direction=H","UseDPDF=Y")</f>
        <v>—</v>
      </c>
      <c r="L28" s="2" t="str">
        <f>_xll.BDH("TATA IN Equity","BS_TOT_COM_PAPER_ISSUED","FY 2013","FY 2013","Currency=INR","Period=FY","BEST_FPERIOD_OVERRIDE=FY","FILING_STATUS=MR","EQY_CONSOLIDATED=Y","SCALING_FORMAT=MLN","Sort=A","Dates=H","DateFormat=P","Fill=—","Direction=H","UseDPDF=Y")</f>
        <v>—</v>
      </c>
      <c r="M28" s="2" t="str">
        <f>_xll.BDH("TATA IN Equity","BS_TOT_COM_PAPER_ISSUED","FY 2014","FY 2014","Currency=INR","Period=FY","BEST_FPERIOD_OVERRIDE=FY","FILING_STATUS=MR","EQY_CONSOLIDATED=Y","SCALING_FORMAT=MLN","Sort=A","Dates=H","DateFormat=P","Fill=—","Direction=H","UseDPDF=Y")</f>
        <v>—</v>
      </c>
      <c r="N28" s="2">
        <f>_xll.BDH("TATA IN Equity","BS_TOT_COM_PAPER_ISSUED","FY 2015","FY 2015","Currency=INR","Period=FY","BEST_FPERIOD_OVERRIDE=FY","FILING_STATUS=MR","EQY_CONSOLIDATED=Y","SCALING_FORMAT=MLN","Sort=A","Dates=H","DateFormat=P","Fill=—","Direction=H","UseDPDF=Y")</f>
        <v>0</v>
      </c>
      <c r="O28" s="2">
        <f>_xll.BDH("TATA IN Equity","BS_TOT_COM_PAPER_ISSUED","FY 2016","FY 2016","Currency=INR","Period=FY","BEST_FPERIOD_OVERRIDE=FY","FILING_STATUS=MR","EQY_CONSOLIDATED=Y","SCALING_FORMAT=MLN","Sort=A","Dates=H","DateFormat=P","Fill=—","Direction=H","UseDPDF=Y")</f>
        <v>32348.5</v>
      </c>
      <c r="P28" s="2">
        <f>_xll.BDH("TATA IN Equity","BS_TOT_COM_PAPER_ISSUED","FY 2017","FY 2017","Currency=INR","Period=FY","BEST_FPERIOD_OVERRIDE=FY","FILING_STATUS=MR","EQY_CONSOLIDATED=Y","SCALING_FORMAT=MLN","Sort=A","Dates=H","DateFormat=P","Fill=—","Direction=H","UseDPDF=Y")</f>
        <v>23235.4</v>
      </c>
      <c r="Q28" s="2">
        <f>_xll.BDH("TATA IN Equity","BS_TOT_COM_PAPER_ISSUED","FY 2018","FY 2018","Currency=INR","Period=FY","BEST_FPERIOD_OVERRIDE=FY","FILING_STATUS=MR","EQY_CONSOLIDATED=Y","SCALING_FORMAT=MLN","Sort=A","Dates=H","DateFormat=P","Fill=—","Direction=H","UseDPDF=Y")</f>
        <v>736.5</v>
      </c>
      <c r="R28" s="2">
        <f>_xll.BDH("TATA IN Equity","BS_TOT_COM_PAPER_ISSUED","FY 2019","FY 2019","Currency=INR","Period=FY","BEST_FPERIOD_OVERRIDE=FY","FILING_STATUS=MR","EQY_CONSOLIDATED=Y","SCALING_FORMAT=MLN","Sort=A","Dates=H","DateFormat=P","Fill=—","Direction=H","UseDPDF=Y")</f>
        <v>1719.7</v>
      </c>
      <c r="S28" s="2">
        <f>_xll.BDH("TATA IN Equity","BS_TOT_COM_PAPER_ISSUED","FY 2020","FY 2020","Currency=INR","Period=FY","BEST_FPERIOD_OVERRIDE=FY","FILING_STATUS=MR","EQY_CONSOLIDATED=Y","SCALING_FORMAT=MLN","Sort=A","Dates=H","DateFormat=P","Fill=—","Direction=H","UseDPDF=Y")</f>
        <v>30136</v>
      </c>
      <c r="T28" s="2">
        <f>_xll.BDH("TATA IN Equity","BS_TOT_COM_PAPER_ISSUED","FY 2021","FY 2021","Currency=INR","Period=FY","BEST_FPERIOD_OVERRIDE=FY","FILING_STATUS=MR","EQY_CONSOLIDATED=Y","SCALING_FORMAT=MLN","Sort=A","Dates=H","DateFormat=P","Fill=—","Direction=H","UseDPDF=Y")</f>
        <v>0</v>
      </c>
      <c r="U28" s="2" t="str">
        <f>_xll.BDH("TATA IN Equity","BS_TOT_COM_PAPER_ISSUED","FY 2022","FY 2022","Currency=INR","Period=FY","BEST_FPERIOD_OVERRIDE=FY","FILING_STATUS=MR","EQY_CONSOLIDATED=Y","SCALING_FORMAT=MLN","Sort=A","Dates=H","DateFormat=P","Fill=—","Direction=H","UseDPDF=Y")</f>
        <v>—</v>
      </c>
      <c r="V28" s="2" t="str">
        <f>_xll.BDH("TATA IN Equity","BS_TOT_COM_PAPER_ISSUED","FY 2023","FY 2023","Currency=INR","Period=FY","BEST_FPERIOD_OVERRIDE=FY","FILING_STATUS=MR","EQY_CONSOLIDATED=Y","SCALING_FORMAT=MLN","Sort=A","Dates=H","DateFormat=P","Fill=—","Direction=H","UseDPDF=Y")</f>
        <v>—</v>
      </c>
    </row>
    <row r="29" spans="1:22" x14ac:dyDescent="0.25">
      <c r="A29" s="13" t="s">
        <v>77</v>
      </c>
      <c r="B29" s="13"/>
      <c r="C29" s="13" t="s"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7A1-6BAD-4B7B-A4FF-7484B18FE93B}">
  <dimension ref="A1:V20"/>
  <sheetViews>
    <sheetView workbookViewId="0">
      <selection activeCell="J30" sqref="J30"/>
    </sheetView>
  </sheetViews>
  <sheetFormatPr defaultRowHeight="15" x14ac:dyDescent="0.25"/>
  <cols>
    <col min="1" max="1" width="35.140625" customWidth="1"/>
    <col min="2" max="2" width="0" hidden="1" customWidth="1"/>
    <col min="3" max="22" width="11.85546875" customWidth="1"/>
  </cols>
  <sheetData>
    <row r="1" spans="1:2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.25" x14ac:dyDescent="0.25">
      <c r="A2" s="14" t="s">
        <v>119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6" t="s">
        <v>3</v>
      </c>
      <c r="B4" s="6"/>
      <c r="C4" s="5" t="s">
        <v>4</v>
      </c>
      <c r="D4" s="5" t="s">
        <v>1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</row>
    <row r="5" spans="1:22" x14ac:dyDescent="0.25">
      <c r="A5" s="15" t="s">
        <v>23</v>
      </c>
      <c r="B5" s="15"/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4" t="s">
        <v>43</v>
      </c>
    </row>
    <row r="6" spans="1:22" x14ac:dyDescent="0.25">
      <c r="A6" s="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5">
      <c r="A7" s="3" t="s">
        <v>89</v>
      </c>
      <c r="B7" s="3" t="s">
        <v>90</v>
      </c>
      <c r="C7" s="18">
        <f>_xll.BDH("SBIN IN Equity","LT_DEBT_TO_TOT_EQY","FY 2004","FY 2004","Currency=INR","Period=FY","BEST_FPERIOD_OVERRIDE=FY","FILING_STATUS=MR","EQY_CONSOLIDATED=Y","Sort=A","Dates=H","DateFormat=P","Fill=—","Direction=H","UseDPDF=Y")</f>
        <v>86.738399999999999</v>
      </c>
      <c r="D7" s="18">
        <f>_xll.BDH("SBIN IN Equity","LT_DEBT_TO_TOT_EQY","FY 2005","FY 2005","Currency=INR","Period=FY","BEST_FPERIOD_OVERRIDE=FY","FILING_STATUS=MR","EQY_CONSOLIDATED=Y","Sort=A","Dates=H","DateFormat=P","Fill=—","Direction=H","UseDPDF=Y")</f>
        <v>89.051000000000002</v>
      </c>
      <c r="E7" s="18">
        <f>_xll.BDH("SBIN IN Equity","LT_DEBT_TO_TOT_EQY","FY 2006","FY 2006","Currency=INR","Period=FY","BEST_FPERIOD_OVERRIDE=FY","FILING_STATUS=MR","EQY_CONSOLIDATED=Y","Sort=A","Dates=H","DateFormat=P","Fill=—","Direction=H","UseDPDF=Y")</f>
        <v>109.8111</v>
      </c>
      <c r="F7" s="18">
        <f>_xll.BDH("SBIN IN Equity","LT_DEBT_TO_TOT_EQY","FY 2007","FY 2007","Currency=INR","Period=FY","BEST_FPERIOD_OVERRIDE=FY","FILING_STATUS=MR","EQY_CONSOLIDATED=Y","Sort=A","Dates=H","DateFormat=P","Fill=—","Direction=H","UseDPDF=Y")</f>
        <v>122.2118</v>
      </c>
      <c r="G7" s="18">
        <f>_xll.BDH("SBIN IN Equity","LT_DEBT_TO_TOT_EQY","FY 2008","FY 2008","Currency=INR","Period=FY","BEST_FPERIOD_OVERRIDE=FY","FILING_STATUS=MR","EQY_CONSOLIDATED=Y","Sort=A","Dates=H","DateFormat=P","Fill=—","Direction=H","UseDPDF=Y")</f>
        <v>115.58150000000001</v>
      </c>
      <c r="H7" s="18">
        <f>_xll.BDH("SBIN IN Equity","LT_DEBT_TO_TOT_EQY","FY 2009","FY 2009","Currency=INR","Period=FY","BEST_FPERIOD_OVERRIDE=FY","FILING_STATUS=MR","EQY_CONSOLIDATED=Y","Sort=A","Dates=H","DateFormat=P","Fill=—","Direction=H","UseDPDF=Y")</f>
        <v>86.553600000000003</v>
      </c>
      <c r="I7" s="18">
        <f>_xll.BDH("SBIN IN Equity","LT_DEBT_TO_TOT_EQY","FY 2010","FY 2010","Currency=INR","Period=FY","BEST_FPERIOD_OVERRIDE=FY","FILING_STATUS=MR","EQY_CONSOLIDATED=Y","Sort=A","Dates=H","DateFormat=P","Fill=—","Direction=H","UseDPDF=Y")</f>
        <v>142.333</v>
      </c>
      <c r="J7" s="18">
        <f>_xll.BDH("SBIN IN Equity","LT_DEBT_TO_TOT_EQY","FY 2011","FY 2011","Currency=INR","Period=FY","BEST_FPERIOD_OVERRIDE=FY","FILING_STATUS=MR","EQY_CONSOLIDATED=Y","Sort=A","Dates=H","DateFormat=P","Fill=—","Direction=H","UseDPDF=Y")</f>
        <v>164.804</v>
      </c>
      <c r="K7" s="18">
        <f>_xll.BDH("SBIN IN Equity","LT_DEBT_TO_TOT_EQY","FY 2012","FY 2012","Currency=INR","Period=FY","BEST_FPERIOD_OVERRIDE=FY","FILING_STATUS=MR","EQY_CONSOLIDATED=Y","Sort=A","Dates=H","DateFormat=P","Fill=—","Direction=H","UseDPDF=Y")</f>
        <v>143.68469999999999</v>
      </c>
      <c r="L7" s="18">
        <f>_xll.BDH("SBIN IN Equity","LT_DEBT_TO_TOT_EQY","FY 2013","FY 2013","Currency=INR","Period=FY","BEST_FPERIOD_OVERRIDE=FY","FILING_STATUS=MR","EQY_CONSOLIDATED=Y","Sort=A","Dates=H","DateFormat=P","Fill=—","Direction=H","UseDPDF=Y")</f>
        <v>157.57210000000001</v>
      </c>
      <c r="M7" s="18">
        <f>_xll.BDH("SBIN IN Equity","LT_DEBT_TO_TOT_EQY","FY 2014","FY 2014","Currency=INR","Period=FY","BEST_FPERIOD_OVERRIDE=FY","FILING_STATUS=MR","EQY_CONSOLIDATED=Y","Sort=A","Dates=H","DateFormat=P","Fill=—","Direction=H","UseDPDF=Y")</f>
        <v>146.93719999999999</v>
      </c>
      <c r="N7" s="18">
        <f>_xll.BDH("SBIN IN Equity","LT_DEBT_TO_TOT_EQY","FY 2015","FY 2015","Currency=INR","Period=FY","BEST_FPERIOD_OVERRIDE=FY","FILING_STATUS=MR","EQY_CONSOLIDATED=Y","Sort=A","Dates=H","DateFormat=P","Fill=—","Direction=H","UseDPDF=Y")</f>
        <v>146.6063</v>
      </c>
      <c r="O7" s="18">
        <f>_xll.BDH("SBIN IN Equity","LT_DEBT_TO_TOT_EQY","FY 2016","FY 2016","Currency=INR","Period=FY","BEST_FPERIOD_OVERRIDE=FY","FILING_STATUS=MR","EQY_CONSOLIDATED=Y","Sort=A","Dates=H","DateFormat=P","Fill=—","Direction=H","UseDPDF=Y")</f>
        <v>193.40450000000001</v>
      </c>
      <c r="P7" s="18">
        <f>_xll.BDH("SBIN IN Equity","LT_DEBT_TO_TOT_EQY","FY 2017","FY 2017","Currency=INR","Period=FY","BEST_FPERIOD_OVERRIDE=FY","FILING_STATUS=MR","EQY_CONSOLIDATED=Y","Sort=A","Dates=H","DateFormat=P","Fill=—","Direction=H","UseDPDF=Y")</f>
        <v>150.38120000000001</v>
      </c>
      <c r="Q7" s="18">
        <f>_xll.BDH("SBIN IN Equity","LT_DEBT_TO_TOT_EQY","FY 2018","FY 2018","Currency=INR","Period=FY","BEST_FPERIOD_OVERRIDE=FY","FILING_STATUS=MR","EQY_CONSOLIDATED=Y","Sort=A","Dates=H","DateFormat=P","Fill=—","Direction=H","UseDPDF=Y")</f>
        <v>157.0917</v>
      </c>
      <c r="R7" s="18">
        <f>_xll.BDH("SBIN IN Equity","LT_DEBT_TO_TOT_EQY","FY 2019","FY 2019","Currency=INR","Period=FY","BEST_FPERIOD_OVERRIDE=FY","FILING_STATUS=MR","EQY_CONSOLIDATED=Y","Sort=A","Dates=H","DateFormat=P","Fill=—","Direction=H","UseDPDF=Y")</f>
        <v>172.00540000000001</v>
      </c>
      <c r="S7" s="18">
        <f>_xll.BDH("SBIN IN Equity","LT_DEBT_TO_TOT_EQY","FY 2020","FY 2020","Currency=INR","Period=FY","BEST_FPERIOD_OVERRIDE=FY","FILING_STATUS=MR","EQY_CONSOLIDATED=Y","Sort=A","Dates=H","DateFormat=P","Fill=—","Direction=H","UseDPDF=Y")</f>
        <v>128.5181</v>
      </c>
      <c r="T7" s="18">
        <f>_xll.BDH("SBIN IN Equity","LT_DEBT_TO_TOT_EQY","FY 2021","FY 2021","Currency=INR","Period=FY","BEST_FPERIOD_OVERRIDE=FY","FILING_STATUS=MR","EQY_CONSOLIDATED=Y","Sort=A","Dates=H","DateFormat=P","Fill=—","Direction=H","UseDPDF=Y")</f>
        <v>152.0942</v>
      </c>
      <c r="U7" s="18">
        <f>_xll.BDH("SBIN IN Equity","LT_DEBT_TO_TOT_EQY","FY 2022","FY 2022","Currency=INR","Period=FY","BEST_FPERIOD_OVERRIDE=FY","FILING_STATUS=MR","EQY_CONSOLIDATED=Y","Sort=A","Dates=H","DateFormat=P","Fill=—","Direction=H","UseDPDF=Y")</f>
        <v>141.76509999999999</v>
      </c>
      <c r="V7" s="18">
        <f>_xll.BDH("SBIN IN Equity","LT_DEBT_TO_TOT_EQY","FY 2023","FY 2023","Currency=INR","Period=FY","BEST_FPERIOD_OVERRIDE=FY","FILING_STATUS=MR","EQY_CONSOLIDATED=Y","Sort=A","Dates=H","DateFormat=P","Fill=—","Direction=H","UseDPDF=Y")</f>
        <v>140.1677</v>
      </c>
    </row>
    <row r="8" spans="1:22" x14ac:dyDescent="0.25">
      <c r="A8" s="3" t="s">
        <v>91</v>
      </c>
      <c r="B8" s="3" t="s">
        <v>92</v>
      </c>
      <c r="C8" s="18">
        <f>_xll.BDH("SBIN IN Equity","LT_DEBT_TO_TOT_CAP","FY 2004","FY 2004","Currency=INR","Period=FY","BEST_FPERIOD_OVERRIDE=FY","FILING_STATUS=MR","EQY_CONSOLIDATED=Y","Sort=A","Dates=H","DateFormat=P","Fill=—","Direction=H","UseDPDF=Y")</f>
        <v>30.244700000000002</v>
      </c>
      <c r="D8" s="18">
        <f>_xll.BDH("SBIN IN Equity","LT_DEBT_TO_TOT_CAP","FY 2005","FY 2005","Currency=INR","Period=FY","BEST_FPERIOD_OVERRIDE=FY","FILING_STATUS=MR","EQY_CONSOLIDATED=Y","Sort=A","Dates=H","DateFormat=P","Fill=—","Direction=H","UseDPDF=Y")</f>
        <v>35.7333</v>
      </c>
      <c r="E8" s="18">
        <f>_xll.BDH("SBIN IN Equity","LT_DEBT_TO_TOT_CAP","FY 2006","FY 2006","Currency=INR","Period=FY","BEST_FPERIOD_OVERRIDE=FY","FILING_STATUS=MR","EQY_CONSOLIDATED=Y","Sort=A","Dates=H","DateFormat=P","Fill=—","Direction=H","UseDPDF=Y")</f>
        <v>38.318300000000001</v>
      </c>
      <c r="F8" s="18">
        <f>_xll.BDH("SBIN IN Equity","LT_DEBT_TO_TOT_CAP","FY 2007","FY 2007","Currency=INR","Period=FY","BEST_FPERIOD_OVERRIDE=FY","FILING_STATUS=MR","EQY_CONSOLIDATED=Y","Sort=A","Dates=H","DateFormat=P","Fill=—","Direction=H","UseDPDF=Y")</f>
        <v>39.8688</v>
      </c>
      <c r="G8" s="18">
        <f>_xll.BDH("SBIN IN Equity","LT_DEBT_TO_TOT_CAP","FY 2008","FY 2008","Currency=INR","Period=FY","BEST_FPERIOD_OVERRIDE=FY","FILING_STATUS=MR","EQY_CONSOLIDATED=Y","Sort=A","Dates=H","DateFormat=P","Fill=—","Direction=H","UseDPDF=Y")</f>
        <v>41.619599999999998</v>
      </c>
      <c r="H8" s="18">
        <f>_xll.BDH("SBIN IN Equity","LT_DEBT_TO_TOT_CAP","FY 2009","FY 2009","Currency=INR","Period=FY","BEST_FPERIOD_OVERRIDE=FY","FILING_STATUS=MR","EQY_CONSOLIDATED=Y","Sort=A","Dates=H","DateFormat=P","Fill=—","Direction=H","UseDPDF=Y")</f>
        <v>34.262300000000003</v>
      </c>
      <c r="I8" s="18">
        <f>_xll.BDH("SBIN IN Equity","LT_DEBT_TO_TOT_CAP","FY 2010","FY 2010","Currency=INR","Period=FY","BEST_FPERIOD_OVERRIDE=FY","FILING_STATUS=MR","EQY_CONSOLIDATED=Y","Sort=A","Dates=H","DateFormat=P","Fill=—","Direction=H","UseDPDF=Y")</f>
        <v>46.344799999999999</v>
      </c>
      <c r="J8" s="18">
        <f>_xll.BDH("SBIN IN Equity","LT_DEBT_TO_TOT_CAP","FY 2011","FY 2011","Currency=INR","Period=FY","BEST_FPERIOD_OVERRIDE=FY","FILING_STATUS=MR","EQY_CONSOLIDATED=Y","Sort=A","Dates=H","DateFormat=P","Fill=—","Direction=H","UseDPDF=Y")</f>
        <v>50.763399999999997</v>
      </c>
      <c r="K8" s="18">
        <f>_xll.BDH("SBIN IN Equity","LT_DEBT_TO_TOT_CAP","FY 2012","FY 2012","Currency=INR","Period=FY","BEST_FPERIOD_OVERRIDE=FY","FILING_STATUS=MR","EQY_CONSOLIDATED=Y","Sort=A","Dates=H","DateFormat=P","Fill=—","Direction=H","UseDPDF=Y")</f>
        <v>49.481400000000001</v>
      </c>
      <c r="L8" s="18">
        <f>_xll.BDH("SBIN IN Equity","LT_DEBT_TO_TOT_CAP","FY 2013","FY 2013","Currency=INR","Period=FY","BEST_FPERIOD_OVERRIDE=FY","FILING_STATUS=MR","EQY_CONSOLIDATED=Y","Sort=A","Dates=H","DateFormat=P","Fill=—","Direction=H","UseDPDF=Y")</f>
        <v>51.579599999999999</v>
      </c>
      <c r="M8" s="18">
        <f>_xll.BDH("SBIN IN Equity","LT_DEBT_TO_TOT_CAP","FY 2014","FY 2014","Currency=INR","Period=FY","BEST_FPERIOD_OVERRIDE=FY","FILING_STATUS=MR","EQY_CONSOLIDATED=Y","Sort=A","Dates=H","DateFormat=P","Fill=—","Direction=H","UseDPDF=Y")</f>
        <v>50.6081</v>
      </c>
      <c r="N8" s="18">
        <f>_xll.BDH("SBIN IN Equity","LT_DEBT_TO_TOT_CAP","FY 2015","FY 2015","Currency=INR","Period=FY","BEST_FPERIOD_OVERRIDE=FY","FILING_STATUS=MR","EQY_CONSOLIDATED=Y","Sort=A","Dates=H","DateFormat=P","Fill=—","Direction=H","UseDPDF=Y")</f>
        <v>56.057299999999998</v>
      </c>
      <c r="O8" s="18">
        <f>_xll.BDH("SBIN IN Equity","LT_DEBT_TO_TOT_CAP","FY 2016","FY 2016","Currency=INR","Period=FY","BEST_FPERIOD_OVERRIDE=FY","FILING_STATUS=MR","EQY_CONSOLIDATED=Y","Sort=A","Dates=H","DateFormat=P","Fill=—","Direction=H","UseDPDF=Y")</f>
        <v>61.5227</v>
      </c>
      <c r="P8" s="18">
        <f>_xll.BDH("SBIN IN Equity","LT_DEBT_TO_TOT_CAP","FY 2017","FY 2017","Currency=INR","Period=FY","BEST_FPERIOD_OVERRIDE=FY","FILING_STATUS=MR","EQY_CONSOLIDATED=Y","Sort=A","Dates=H","DateFormat=P","Fill=—","Direction=H","UseDPDF=Y")</f>
        <v>56.908700000000003</v>
      </c>
      <c r="Q8" s="18">
        <f>_xll.BDH("SBIN IN Equity","LT_DEBT_TO_TOT_CAP","FY 2018","FY 2018","Currency=INR","Period=FY","BEST_FPERIOD_OVERRIDE=FY","FILING_STATUS=MR","EQY_CONSOLIDATED=Y","Sort=A","Dates=H","DateFormat=P","Fill=—","Direction=H","UseDPDF=Y")</f>
        <v>58.518500000000003</v>
      </c>
      <c r="R8" s="18">
        <f>_xll.BDH("SBIN IN Equity","LT_DEBT_TO_TOT_CAP","FY 2019","FY 2019","Currency=INR","Period=FY","BEST_FPERIOD_OVERRIDE=FY","FILING_STATUS=MR","EQY_CONSOLIDATED=Y","Sort=A","Dates=H","DateFormat=P","Fill=—","Direction=H","UseDPDF=Y")</f>
        <v>61.0045</v>
      </c>
      <c r="S8" s="18">
        <f>_xll.BDH("SBIN IN Equity","LT_DEBT_TO_TOT_CAP","FY 2020","FY 2020","Currency=INR","Period=FY","BEST_FPERIOD_OVERRIDE=FY","FILING_STATUS=MR","EQY_CONSOLIDATED=Y","Sort=A","Dates=H","DateFormat=P","Fill=—","Direction=H","UseDPDF=Y")</f>
        <v>53.7928</v>
      </c>
      <c r="T8" s="18">
        <f>_xll.BDH("SBIN IN Equity","LT_DEBT_TO_TOT_CAP","FY 2021","FY 2021","Currency=INR","Period=FY","BEST_FPERIOD_OVERRIDE=FY","FILING_STATUS=MR","EQY_CONSOLIDATED=Y","Sort=A","Dates=H","DateFormat=P","Fill=—","Direction=H","UseDPDF=Y")</f>
        <v>58.876899999999999</v>
      </c>
      <c r="U8" s="18">
        <f>_xll.BDH("SBIN IN Equity","LT_DEBT_TO_TOT_CAP","FY 2022","FY 2022","Currency=INR","Period=FY","BEST_FPERIOD_OVERRIDE=FY","FILING_STATUS=MR","EQY_CONSOLIDATED=Y","Sort=A","Dates=H","DateFormat=P","Fill=—","Direction=H","UseDPDF=Y")</f>
        <v>56.177399999999999</v>
      </c>
      <c r="V8" s="18">
        <f>_xll.BDH("SBIN IN Equity","LT_DEBT_TO_TOT_CAP","FY 2023","FY 2023","Currency=INR","Period=FY","BEST_FPERIOD_OVERRIDE=FY","FILING_STATUS=MR","EQY_CONSOLIDATED=Y","Sort=A","Dates=H","DateFormat=P","Fill=—","Direction=H","UseDPDF=Y")</f>
        <v>56.621000000000002</v>
      </c>
    </row>
    <row r="9" spans="1:22" x14ac:dyDescent="0.25">
      <c r="A9" s="3" t="s">
        <v>93</v>
      </c>
      <c r="B9" s="3" t="s">
        <v>94</v>
      </c>
      <c r="C9" s="18">
        <f>_xll.BDH("SBIN IN Equity","LT_DEBT_TO_TOT_ASSET","FY 2004","FY 2004","Currency=INR","Period=FY","BEST_FPERIOD_OVERRIDE=FY","FILING_STATUS=MR","EQY_CONSOLIDATED=Y","Sort=A","Dates=H","DateFormat=P","Fill=—","Direction=H","UseDPDF=Y")</f>
        <v>4.4783999999999997</v>
      </c>
      <c r="D9" s="18">
        <f>_xll.BDH("SBIN IN Equity","LT_DEBT_TO_TOT_ASSET","FY 2005","FY 2005","Currency=INR","Period=FY","BEST_FPERIOD_OVERRIDE=FY","FILING_STATUS=MR","EQY_CONSOLIDATED=Y","Sort=A","Dates=H","DateFormat=P","Fill=—","Direction=H","UseDPDF=Y")</f>
        <v>4.7964000000000002</v>
      </c>
      <c r="E9" s="18">
        <f>_xll.BDH("SBIN IN Equity","LT_DEBT_TO_TOT_ASSET","FY 2006","FY 2006","Currency=INR","Period=FY","BEST_FPERIOD_OVERRIDE=FY","FILING_STATUS=MR","EQY_CONSOLIDATED=Y","Sort=A","Dates=H","DateFormat=P","Fill=—","Direction=H","UseDPDF=Y")</f>
        <v>6.0887000000000002</v>
      </c>
      <c r="F9" s="18">
        <f>_xll.BDH("SBIN IN Equity","LT_DEBT_TO_TOT_ASSET","FY 2007","FY 2007","Currency=INR","Period=FY","BEST_FPERIOD_OVERRIDE=FY","FILING_STATUS=MR","EQY_CONSOLIDATED=Y","Sort=A","Dates=H","DateFormat=P","Fill=—","Direction=H","UseDPDF=Y")</f>
        <v>6.6303000000000001</v>
      </c>
      <c r="G9" s="18">
        <f>_xll.BDH("SBIN IN Equity","LT_DEBT_TO_TOT_ASSET","FY 2008","FY 2008","Currency=INR","Period=FY","BEST_FPERIOD_OVERRIDE=FY","FILING_STATUS=MR","EQY_CONSOLIDATED=Y","Sort=A","Dates=H","DateFormat=P","Fill=—","Direction=H","UseDPDF=Y")</f>
        <v>7.1181000000000001</v>
      </c>
      <c r="H9" s="18">
        <f>_xll.BDH("SBIN IN Equity","LT_DEBT_TO_TOT_ASSET","FY 2009","FY 2009","Currency=INR","Period=FY","BEST_FPERIOD_OVERRIDE=FY","FILING_STATUS=MR","EQY_CONSOLIDATED=Y","Sort=A","Dates=H","DateFormat=P","Fill=—","Direction=H","UseDPDF=Y")</f>
        <v>4.9497</v>
      </c>
      <c r="I9" s="18">
        <f>_xll.BDH("SBIN IN Equity","LT_DEBT_TO_TOT_ASSET","FY 2010","FY 2010","Currency=INR","Period=FY","BEST_FPERIOD_OVERRIDE=FY","FILING_STATUS=MR","EQY_CONSOLIDATED=Y","Sort=A","Dates=H","DateFormat=P","Fill=—","Direction=H","UseDPDF=Y")</f>
        <v>8.4181000000000008</v>
      </c>
      <c r="J9" s="18">
        <f>_xll.BDH("SBIN IN Equity","LT_DEBT_TO_TOT_ASSET","FY 2011","FY 2011","Currency=INR","Period=FY","BEST_FPERIOD_OVERRIDE=FY","FILING_STATUS=MR","EQY_CONSOLIDATED=Y","Sort=A","Dates=H","DateFormat=P","Fill=—","Direction=H","UseDPDF=Y")</f>
        <v>8.6456</v>
      </c>
      <c r="K9" s="18">
        <f>_xll.BDH("SBIN IN Equity","LT_DEBT_TO_TOT_ASSET","FY 2012","FY 2012","Currency=INR","Period=FY","BEST_FPERIOD_OVERRIDE=FY","FILING_STATUS=MR","EQY_CONSOLIDATED=Y","Sort=A","Dates=H","DateFormat=P","Fill=—","Direction=H","UseDPDF=Y")</f>
        <v>8.6334999999999997</v>
      </c>
      <c r="L9" s="18">
        <f>_xll.BDH("SBIN IN Equity","LT_DEBT_TO_TOT_ASSET","FY 2013","FY 2013","Currency=INR","Period=FY","BEST_FPERIOD_OVERRIDE=FY","FILING_STATUS=MR","EQY_CONSOLIDATED=Y","Sort=A","Dates=H","DateFormat=P","Fill=—","Direction=H","UseDPDF=Y")</f>
        <v>9.5503999999999998</v>
      </c>
      <c r="M9" s="18">
        <f>_xll.BDH("SBIN IN Equity","LT_DEBT_TO_TOT_ASSET","FY 2014","FY 2014","Currency=INR","Period=FY","BEST_FPERIOD_OVERRIDE=FY","FILING_STATUS=MR","EQY_CONSOLIDATED=Y","Sort=A","Dates=H","DateFormat=P","Fill=—","Direction=H","UseDPDF=Y")</f>
        <v>9.3388000000000009</v>
      </c>
      <c r="N9" s="18">
        <f>_xll.BDH("SBIN IN Equity","LT_DEBT_TO_TOT_ASSET","FY 2015","FY 2015","Currency=INR","Period=FY","BEST_FPERIOD_OVERRIDE=FY","FILING_STATUS=MR","EQY_CONSOLIDATED=Y","Sort=A","Dates=H","DateFormat=P","Fill=—","Direction=H","UseDPDF=Y")</f>
        <v>9.0611999999999995</v>
      </c>
      <c r="O9" s="18">
        <f>_xll.BDH("SBIN IN Equity","LT_DEBT_TO_TOT_ASSET","FY 2016","FY 2016","Currency=INR","Period=FY","BEST_FPERIOD_OVERRIDE=FY","FILING_STATUS=MR","EQY_CONSOLIDATED=Y","Sort=A","Dates=H","DateFormat=P","Fill=—","Direction=H","UseDPDF=Y")</f>
        <v>11.7585</v>
      </c>
      <c r="P9" s="18">
        <f>_xll.BDH("SBIN IN Equity","LT_DEBT_TO_TOT_ASSET","FY 2017","FY 2017","Currency=INR","Period=FY","BEST_FPERIOD_OVERRIDE=FY","FILING_STATUS=MR","EQY_CONSOLIDATED=Y","Sort=A","Dates=H","DateFormat=P","Fill=—","Direction=H","UseDPDF=Y")</f>
        <v>9.7634000000000007</v>
      </c>
      <c r="Q9" s="18">
        <f>_xll.BDH("SBIN IN Equity","LT_DEBT_TO_TOT_ASSET","FY 2018","FY 2018","Currency=INR","Period=FY","BEST_FPERIOD_OVERRIDE=FY","FILING_STATUS=MR","EQY_CONSOLIDATED=Y","Sort=A","Dates=H","DateFormat=P","Fill=—","Direction=H","UseDPDF=Y")</f>
        <v>10.205299999999999</v>
      </c>
      <c r="R9" s="18">
        <f>_xll.BDH("SBIN IN Equity","LT_DEBT_TO_TOT_ASSET","FY 2019","FY 2019","Currency=INR","Period=FY","BEST_FPERIOD_OVERRIDE=FY","FILING_STATUS=MR","EQY_CONSOLIDATED=Y","Sort=A","Dates=H","DateFormat=P","Fill=—","Direction=H","UseDPDF=Y")</f>
        <v>10.639900000000001</v>
      </c>
      <c r="S9" s="18">
        <f>_xll.BDH("SBIN IN Equity","LT_DEBT_TO_TOT_ASSET","FY 2020","FY 2020","Currency=INR","Period=FY","BEST_FPERIOD_OVERRIDE=FY","FILING_STATUS=MR","EQY_CONSOLIDATED=Y","Sort=A","Dates=H","DateFormat=P","Fill=—","Direction=H","UseDPDF=Y")</f>
        <v>7.9301000000000004</v>
      </c>
      <c r="T9" s="18">
        <f>_xll.BDH("SBIN IN Equity","LT_DEBT_TO_TOT_ASSET","FY 2021","FY 2021","Currency=INR","Period=FY","BEST_FPERIOD_OVERRIDE=FY","FILING_STATUS=MR","EQY_CONSOLIDATED=Y","Sort=A","Dates=H","DateFormat=P","Fill=—","Direction=H","UseDPDF=Y")</f>
        <v>8.9514999999999993</v>
      </c>
      <c r="U9" s="18">
        <f>_xll.BDH("SBIN IN Equity","LT_DEBT_TO_TOT_ASSET","FY 2022","FY 2022","Currency=INR","Period=FY","BEST_FPERIOD_OVERRIDE=FY","FILING_STATUS=MR","EQY_CONSOLIDATED=Y","Sort=A","Dates=H","DateFormat=P","Fill=—","Direction=H","UseDPDF=Y")</f>
        <v>8.3774999999999995</v>
      </c>
      <c r="V9" s="18">
        <f>_xll.BDH("SBIN IN Equity","LT_DEBT_TO_TOT_ASSET","FY 2023","FY 2023","Currency=INR","Period=FY","BEST_FPERIOD_OVERRIDE=FY","FILING_STATUS=MR","EQY_CONSOLIDATED=Y","Sort=A","Dates=H","DateFormat=P","Fill=—","Direction=H","UseDPDF=Y")</f>
        <v>8.7515000000000001</v>
      </c>
    </row>
    <row r="10" spans="1:22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5">
      <c r="A11" s="3" t="s">
        <v>95</v>
      </c>
      <c r="B11" s="3" t="s">
        <v>96</v>
      </c>
      <c r="C11" s="18">
        <f>_xll.BDH("SBIN IN Equity","TOT_DEBT_TO_TOT_EQY","FY 2004","FY 2004","Currency=INR","Period=FY","BEST_FPERIOD_OVERRIDE=FY","FILING_STATUS=MR","EQY_CONSOLIDATED=Y","Sort=A","Dates=H","DateFormat=P","Fill=—","Direction=H","UseDPDF=Y")</f>
        <v>186.78890000000001</v>
      </c>
      <c r="D11" s="18">
        <f>_xll.BDH("SBIN IN Equity","TOT_DEBT_TO_TOT_EQY","FY 2005","FY 2005","Currency=INR","Period=FY","BEST_FPERIOD_OVERRIDE=FY","FILING_STATUS=MR","EQY_CONSOLIDATED=Y","Sort=A","Dates=H","DateFormat=P","Fill=—","Direction=H","UseDPDF=Y")</f>
        <v>149.21</v>
      </c>
      <c r="E11" s="18">
        <f>_xll.BDH("SBIN IN Equity","TOT_DEBT_TO_TOT_EQY","FY 2006","FY 2006","Currency=INR","Period=FY","BEST_FPERIOD_OVERRIDE=FY","FILING_STATUS=MR","EQY_CONSOLIDATED=Y","Sort=A","Dates=H","DateFormat=P","Fill=—","Direction=H","UseDPDF=Y")</f>
        <v>186.57660000000001</v>
      </c>
      <c r="F11" s="18">
        <f>_xll.BDH("SBIN IN Equity","TOT_DEBT_TO_TOT_EQY","FY 2007","FY 2007","Currency=INR","Period=FY","BEST_FPERIOD_OVERRIDE=FY","FILING_STATUS=MR","EQY_CONSOLIDATED=Y","Sort=A","Dates=H","DateFormat=P","Fill=—","Direction=H","UseDPDF=Y")</f>
        <v>206.53469999999999</v>
      </c>
      <c r="G11" s="18">
        <f>_xll.BDH("SBIN IN Equity","TOT_DEBT_TO_TOT_EQY","FY 2008","FY 2008","Currency=INR","Period=FY","BEST_FPERIOD_OVERRIDE=FY","FILING_STATUS=MR","EQY_CONSOLIDATED=Y","Sort=A","Dates=H","DateFormat=P","Fill=—","Direction=H","UseDPDF=Y")</f>
        <v>177.70930000000001</v>
      </c>
      <c r="H11" s="18">
        <f>_xll.BDH("SBIN IN Equity","TOT_DEBT_TO_TOT_EQY","FY 2009","FY 2009","Currency=INR","Period=FY","BEST_FPERIOD_OVERRIDE=FY","FILING_STATUS=MR","EQY_CONSOLIDATED=Y","Sort=A","Dates=H","DateFormat=P","Fill=—","Direction=H","UseDPDF=Y")</f>
        <v>152.62090000000001</v>
      </c>
      <c r="I11" s="18">
        <f>_xll.BDH("SBIN IN Equity","TOT_DEBT_TO_TOT_EQY","FY 2010","FY 2010","Currency=INR","Period=FY","BEST_FPERIOD_OVERRIDE=FY","FILING_STATUS=MR","EQY_CONSOLIDATED=Y","Sort=A","Dates=H","DateFormat=P","Fill=—","Direction=H","UseDPDF=Y")</f>
        <v>207.1174</v>
      </c>
      <c r="J11" s="18">
        <f>_xll.BDH("SBIN IN Equity","TOT_DEBT_TO_TOT_EQY","FY 2011","FY 2011","Currency=INR","Period=FY","BEST_FPERIOD_OVERRIDE=FY","FILING_STATUS=MR","EQY_CONSOLIDATED=Y","Sort=A","Dates=H","DateFormat=P","Fill=—","Direction=H","UseDPDF=Y")</f>
        <v>224.6515</v>
      </c>
      <c r="K11" s="18">
        <f>_xll.BDH("SBIN IN Equity","TOT_DEBT_TO_TOT_EQY","FY 2012","FY 2012","Currency=INR","Period=FY","BEST_FPERIOD_OVERRIDE=FY","FILING_STATUS=MR","EQY_CONSOLIDATED=Y","Sort=A","Dates=H","DateFormat=P","Fill=—","Direction=H","UseDPDF=Y")</f>
        <v>190.38120000000001</v>
      </c>
      <c r="L11" s="18">
        <f>_xll.BDH("SBIN IN Equity","TOT_DEBT_TO_TOT_EQY","FY 2013","FY 2013","Currency=INR","Period=FY","BEST_FPERIOD_OVERRIDE=FY","FILING_STATUS=MR","EQY_CONSOLIDATED=Y","Sort=A","Dates=H","DateFormat=P","Fill=—","Direction=H","UseDPDF=Y")</f>
        <v>205.4931</v>
      </c>
      <c r="M11" s="18">
        <f>_xll.BDH("SBIN IN Equity","TOT_DEBT_TO_TOT_EQY","FY 2014","FY 2014","Currency=INR","Period=FY","BEST_FPERIOD_OVERRIDE=FY","FILING_STATUS=MR","EQY_CONSOLIDATED=Y","Sort=A","Dates=H","DateFormat=P","Fill=—","Direction=H","UseDPDF=Y")</f>
        <v>190.3434</v>
      </c>
      <c r="N11" s="18">
        <f>_xll.BDH("SBIN IN Equity","TOT_DEBT_TO_TOT_EQY","FY 2015","FY 2015","Currency=INR","Period=FY","BEST_FPERIOD_OVERRIDE=FY","FILING_STATUS=MR","EQY_CONSOLIDATED=Y","Sort=A","Dates=H","DateFormat=P","Fill=—","Direction=H","UseDPDF=Y")</f>
        <v>161.52959999999999</v>
      </c>
      <c r="O11" s="18">
        <f>_xll.BDH("SBIN IN Equity","TOT_DEBT_TO_TOT_EQY","FY 2016","FY 2016","Currency=INR","Period=FY","BEST_FPERIOD_OVERRIDE=FY","FILING_STATUS=MR","EQY_CONSOLIDATED=Y","Sort=A","Dates=H","DateFormat=P","Fill=—","Direction=H","UseDPDF=Y")</f>
        <v>214.363</v>
      </c>
      <c r="P11" s="18">
        <f>_xll.BDH("SBIN IN Equity","TOT_DEBT_TO_TOT_EQY","FY 2017","FY 2017","Currency=INR","Period=FY","BEST_FPERIOD_OVERRIDE=FY","FILING_STATUS=MR","EQY_CONSOLIDATED=Y","Sort=A","Dates=H","DateFormat=P","Fill=—","Direction=H","UseDPDF=Y")</f>
        <v>164.2499</v>
      </c>
      <c r="Q11" s="18">
        <f>_xll.BDH("SBIN IN Equity","TOT_DEBT_TO_TOT_EQY","FY 2018","FY 2018","Currency=INR","Period=FY","BEST_FPERIOD_OVERRIDE=FY","FILING_STATUS=MR","EQY_CONSOLIDATED=Y","Sort=A","Dates=H","DateFormat=P","Fill=—","Direction=H","UseDPDF=Y")</f>
        <v>168.4478</v>
      </c>
      <c r="R11" s="18">
        <f>_xll.BDH("SBIN IN Equity","TOT_DEBT_TO_TOT_EQY","FY 2019","FY 2019","Currency=INR","Period=FY","BEST_FPERIOD_OVERRIDE=FY","FILING_STATUS=MR","EQY_CONSOLIDATED=Y","Sort=A","Dates=H","DateFormat=P","Fill=—","Direction=H","UseDPDF=Y")</f>
        <v>181.95519999999999</v>
      </c>
      <c r="S11" s="18">
        <f>_xll.BDH("SBIN IN Equity","TOT_DEBT_TO_TOT_EQY","FY 2020","FY 2020","Currency=INR","Period=FY","BEST_FPERIOD_OVERRIDE=FY","FILING_STATUS=MR","EQY_CONSOLIDATED=Y","Sort=A","Dates=H","DateFormat=P","Fill=—","Direction=H","UseDPDF=Y")</f>
        <v>138.91309999999999</v>
      </c>
      <c r="T11" s="18">
        <f>_xll.BDH("SBIN IN Equity","TOT_DEBT_TO_TOT_EQY","FY 2021","FY 2021","Currency=INR","Period=FY","BEST_FPERIOD_OVERRIDE=FY","FILING_STATUS=MR","EQY_CONSOLIDATED=Y","Sort=A","Dates=H","DateFormat=P","Fill=—","Direction=H","UseDPDF=Y")</f>
        <v>158.32560000000001</v>
      </c>
      <c r="U11" s="18">
        <f>_xll.BDH("SBIN IN Equity","TOT_DEBT_TO_TOT_EQY","FY 2022","FY 2022","Currency=INR","Period=FY","BEST_FPERIOD_OVERRIDE=FY","FILING_STATUS=MR","EQY_CONSOLIDATED=Y","Sort=A","Dates=H","DateFormat=P","Fill=—","Direction=H","UseDPDF=Y")</f>
        <v>152.35239999999999</v>
      </c>
      <c r="V11" s="18">
        <f>_xll.BDH("SBIN IN Equity","TOT_DEBT_TO_TOT_EQY","FY 2023","FY 2023","Currency=INR","Period=FY","BEST_FPERIOD_OVERRIDE=FY","FILING_STATUS=MR","EQY_CONSOLIDATED=Y","Sort=A","Dates=H","DateFormat=P","Fill=—","Direction=H","UseDPDF=Y")</f>
        <v>147.55439999999999</v>
      </c>
    </row>
    <row r="12" spans="1:22" x14ac:dyDescent="0.25">
      <c r="A12" s="3" t="s">
        <v>97</v>
      </c>
      <c r="B12" s="3" t="s">
        <v>98</v>
      </c>
      <c r="C12" s="18">
        <f>_xll.BDH("SBIN IN Equity","TOT_DEBT_TO_TOT_CAP","FY 2004","FY 2004","Currency=INR","Period=FY","BEST_FPERIOD_OVERRIDE=FY","FILING_STATUS=MR","EQY_CONSOLIDATED=Y","Sort=A","Dates=H","DateFormat=P","Fill=—","Direction=H","UseDPDF=Y")</f>
        <v>65.131100000000004</v>
      </c>
      <c r="D12" s="18">
        <f>_xll.BDH("SBIN IN Equity","TOT_DEBT_TO_TOT_CAP","FY 2005","FY 2005","Currency=INR","Period=FY","BEST_FPERIOD_OVERRIDE=FY","FILING_STATUS=MR","EQY_CONSOLIDATED=Y","Sort=A","Dates=H","DateFormat=P","Fill=—","Direction=H","UseDPDF=Y")</f>
        <v>59.873199999999997</v>
      </c>
      <c r="E12" s="18">
        <f>_xll.BDH("SBIN IN Equity","TOT_DEBT_TO_TOT_CAP","FY 2006","FY 2006","Currency=INR","Period=FY","BEST_FPERIOD_OVERRIDE=FY","FILING_STATUS=MR","EQY_CONSOLIDATED=Y","Sort=A","Dates=H","DateFormat=P","Fill=—","Direction=H","UseDPDF=Y")</f>
        <v>65.1053</v>
      </c>
      <c r="F12" s="18">
        <f>_xll.BDH("SBIN IN Equity","TOT_DEBT_TO_TOT_CAP","FY 2007","FY 2007","Currency=INR","Period=FY","BEST_FPERIOD_OVERRIDE=FY","FILING_STATUS=MR","EQY_CONSOLIDATED=Y","Sort=A","Dates=H","DateFormat=P","Fill=—","Direction=H","UseDPDF=Y")</f>
        <v>67.377300000000005</v>
      </c>
      <c r="G12" s="18">
        <f>_xll.BDH("SBIN IN Equity","TOT_DEBT_TO_TOT_CAP","FY 2008","FY 2008","Currency=INR","Period=FY","BEST_FPERIOD_OVERRIDE=FY","FILING_STATUS=MR","EQY_CONSOLIDATED=Y","Sort=A","Dates=H","DateFormat=P","Fill=—","Direction=H","UseDPDF=Y")</f>
        <v>63.991100000000003</v>
      </c>
      <c r="H12" s="18">
        <f>_xll.BDH("SBIN IN Equity","TOT_DEBT_TO_TOT_CAP","FY 2009","FY 2009","Currency=INR","Period=FY","BEST_FPERIOD_OVERRIDE=FY","FILING_STATUS=MR","EQY_CONSOLIDATED=Y","Sort=A","Dates=H","DateFormat=P","Fill=—","Direction=H","UseDPDF=Y")</f>
        <v>60.414999999999999</v>
      </c>
      <c r="I12" s="18">
        <f>_xll.BDH("SBIN IN Equity","TOT_DEBT_TO_TOT_CAP","FY 2010","FY 2010","Currency=INR","Period=FY","BEST_FPERIOD_OVERRIDE=FY","FILING_STATUS=MR","EQY_CONSOLIDATED=Y","Sort=A","Dates=H","DateFormat=P","Fill=—","Direction=H","UseDPDF=Y")</f>
        <v>67.4392</v>
      </c>
      <c r="J12" s="18">
        <f>_xll.BDH("SBIN IN Equity","TOT_DEBT_TO_TOT_CAP","FY 2011","FY 2011","Currency=INR","Period=FY","BEST_FPERIOD_OVERRIDE=FY","FILING_STATUS=MR","EQY_CONSOLIDATED=Y","Sort=A","Dates=H","DateFormat=P","Fill=—","Direction=H","UseDPDF=Y")</f>
        <v>69.197699999999998</v>
      </c>
      <c r="K12" s="18">
        <f>_xll.BDH("SBIN IN Equity","TOT_DEBT_TO_TOT_CAP","FY 2012","FY 2012","Currency=INR","Period=FY","BEST_FPERIOD_OVERRIDE=FY","FILING_STATUS=MR","EQY_CONSOLIDATED=Y","Sort=A","Dates=H","DateFormat=P","Fill=—","Direction=H","UseDPDF=Y")</f>
        <v>65.5625</v>
      </c>
      <c r="L12" s="18">
        <f>_xll.BDH("SBIN IN Equity","TOT_DEBT_TO_TOT_CAP","FY 2013","FY 2013","Currency=INR","Period=FY","BEST_FPERIOD_OVERRIDE=FY","FILING_STATUS=MR","EQY_CONSOLIDATED=Y","Sort=A","Dates=H","DateFormat=P","Fill=—","Direction=H","UseDPDF=Y")</f>
        <v>67.266000000000005</v>
      </c>
      <c r="M12" s="18">
        <f>_xll.BDH("SBIN IN Equity","TOT_DEBT_TO_TOT_CAP","FY 2014","FY 2014","Currency=INR","Period=FY","BEST_FPERIOD_OVERRIDE=FY","FILING_STATUS=MR","EQY_CONSOLIDATED=Y","Sort=A","Dates=H","DateFormat=P","Fill=—","Direction=H","UseDPDF=Y")</f>
        <v>65.558000000000007</v>
      </c>
      <c r="N12" s="18">
        <f>_xll.BDH("SBIN IN Equity","TOT_DEBT_TO_TOT_CAP","FY 2015","FY 2015","Currency=INR","Period=FY","BEST_FPERIOD_OVERRIDE=FY","FILING_STATUS=MR","EQY_CONSOLIDATED=Y","Sort=A","Dates=H","DateFormat=P","Fill=—","Direction=H","UseDPDF=Y")</f>
        <v>61.763399999999997</v>
      </c>
      <c r="O12" s="18">
        <f>_xll.BDH("SBIN IN Equity","TOT_DEBT_TO_TOT_CAP","FY 2016","FY 2016","Currency=INR","Period=FY","BEST_FPERIOD_OVERRIDE=FY","FILING_STATUS=MR","EQY_CONSOLIDATED=Y","Sort=A","Dates=H","DateFormat=P","Fill=—","Direction=H","UseDPDF=Y")</f>
        <v>68.189599999999999</v>
      </c>
      <c r="P12" s="18">
        <f>_xll.BDH("SBIN IN Equity","TOT_DEBT_TO_TOT_CAP","FY 2017","FY 2017","Currency=INR","Period=FY","BEST_FPERIOD_OVERRIDE=FY","FILING_STATUS=MR","EQY_CONSOLIDATED=Y","Sort=A","Dates=H","DateFormat=P","Fill=—","Direction=H","UseDPDF=Y")</f>
        <v>62.156999999999996</v>
      </c>
      <c r="Q12" s="18">
        <f>_xll.BDH("SBIN IN Equity","TOT_DEBT_TO_TOT_CAP","FY 2018","FY 2018","Currency=INR","Period=FY","BEST_FPERIOD_OVERRIDE=FY","FILING_STATUS=MR","EQY_CONSOLIDATED=Y","Sort=A","Dates=H","DateFormat=P","Fill=—","Direction=H","UseDPDF=Y")</f>
        <v>62.748800000000003</v>
      </c>
      <c r="R12" s="18">
        <f>_xll.BDH("SBIN IN Equity","TOT_DEBT_TO_TOT_CAP","FY 2019","FY 2019","Currency=INR","Period=FY","BEST_FPERIOD_OVERRIDE=FY","FILING_STATUS=MR","EQY_CONSOLIDATED=Y","Sort=A","Dates=H","DateFormat=P","Fill=—","Direction=H","UseDPDF=Y")</f>
        <v>64.5334</v>
      </c>
      <c r="S12" s="18">
        <f>_xll.BDH("SBIN IN Equity","TOT_DEBT_TO_TOT_CAP","FY 2020","FY 2020","Currency=INR","Period=FY","BEST_FPERIOD_OVERRIDE=FY","FILING_STATUS=MR","EQY_CONSOLIDATED=Y","Sort=A","Dates=H","DateFormat=P","Fill=—","Direction=H","UseDPDF=Y")</f>
        <v>58.143799999999999</v>
      </c>
      <c r="T12" s="18">
        <f>_xll.BDH("SBIN IN Equity","TOT_DEBT_TO_TOT_CAP","FY 2021","FY 2021","Currency=INR","Period=FY","BEST_FPERIOD_OVERRIDE=FY","FILING_STATUS=MR","EQY_CONSOLIDATED=Y","Sort=A","Dates=H","DateFormat=P","Fill=—","Direction=H","UseDPDF=Y")</f>
        <v>61.289200000000001</v>
      </c>
      <c r="U12" s="18">
        <f>_xll.BDH("SBIN IN Equity","TOT_DEBT_TO_TOT_CAP","FY 2022","FY 2022","Currency=INR","Period=FY","BEST_FPERIOD_OVERRIDE=FY","FILING_STATUS=MR","EQY_CONSOLIDATED=Y","Sort=A","Dates=H","DateFormat=P","Fill=—","Direction=H","UseDPDF=Y")</f>
        <v>60.372900000000001</v>
      </c>
      <c r="V12" s="18">
        <f>_xll.BDH("SBIN IN Equity","TOT_DEBT_TO_TOT_CAP","FY 2023","FY 2023","Currency=INR","Period=FY","BEST_FPERIOD_OVERRIDE=FY","FILING_STATUS=MR","EQY_CONSOLIDATED=Y","Sort=A","Dates=H","DateFormat=P","Fill=—","Direction=H","UseDPDF=Y")</f>
        <v>59.604799999999997</v>
      </c>
    </row>
    <row r="13" spans="1:22" x14ac:dyDescent="0.25">
      <c r="A13" s="3" t="s">
        <v>99</v>
      </c>
      <c r="B13" s="3" t="s">
        <v>100</v>
      </c>
      <c r="C13" s="18">
        <f>_xll.BDH("SBIN IN Equity","TOT_DEBT_TO_TOT_ASSET","FY 2004","FY 2004","Currency=INR","Period=FY","BEST_FPERIOD_OVERRIDE=FY","FILING_STATUS=MR","EQY_CONSOLIDATED=Y","Sort=A","Dates=H","DateFormat=P","Fill=—","Direction=H","UseDPDF=Y")</f>
        <v>9.6441999999999997</v>
      </c>
      <c r="D13" s="18">
        <f>_xll.BDH("SBIN IN Equity","TOT_DEBT_TO_TOT_ASSET","FY 2005","FY 2005","Currency=INR","Period=FY","BEST_FPERIOD_OVERRIDE=FY","FILING_STATUS=MR","EQY_CONSOLIDATED=Y","Sort=A","Dates=H","DateFormat=P","Fill=—","Direction=H","UseDPDF=Y")</f>
        <v>8.0366</v>
      </c>
      <c r="E13" s="18">
        <f>_xll.BDH("SBIN IN Equity","TOT_DEBT_TO_TOT_ASSET","FY 2006","FY 2006","Currency=INR","Period=FY","BEST_FPERIOD_OVERRIDE=FY","FILING_STATUS=MR","EQY_CONSOLIDATED=Y","Sort=A","Dates=H","DateFormat=P","Fill=—","Direction=H","UseDPDF=Y")</f>
        <v>10.345000000000001</v>
      </c>
      <c r="F13" s="18">
        <f>_xll.BDH("SBIN IN Equity","TOT_DEBT_TO_TOT_ASSET","FY 2007","FY 2007","Currency=INR","Period=FY","BEST_FPERIOD_OVERRIDE=FY","FILING_STATUS=MR","EQY_CONSOLIDATED=Y","Sort=A","Dates=H","DateFormat=P","Fill=—","Direction=H","UseDPDF=Y")</f>
        <v>11.2051</v>
      </c>
      <c r="G13" s="18">
        <f>_xll.BDH("SBIN IN Equity","TOT_DEBT_TO_TOT_ASSET","FY 2008","FY 2008","Currency=INR","Period=FY","BEST_FPERIOD_OVERRIDE=FY","FILING_STATUS=MR","EQY_CONSOLIDATED=Y","Sort=A","Dates=H","DateFormat=P","Fill=—","Direction=H","UseDPDF=Y")</f>
        <v>10.9442</v>
      </c>
      <c r="H13" s="18">
        <f>_xll.BDH("SBIN IN Equity","TOT_DEBT_TO_TOT_ASSET","FY 2009","FY 2009","Currency=INR","Period=FY","BEST_FPERIOD_OVERRIDE=FY","FILING_STATUS=MR","EQY_CONSOLIDATED=Y","Sort=A","Dates=H","DateFormat=P","Fill=—","Direction=H","UseDPDF=Y")</f>
        <v>8.7279</v>
      </c>
      <c r="I13" s="18">
        <f>_xll.BDH("SBIN IN Equity","TOT_DEBT_TO_TOT_ASSET","FY 2010","FY 2010","Currency=INR","Period=FY","BEST_FPERIOD_OVERRIDE=FY","FILING_STATUS=MR","EQY_CONSOLIDATED=Y","Sort=A","Dates=H","DateFormat=P","Fill=—","Direction=H","UseDPDF=Y")</f>
        <v>12.249700000000001</v>
      </c>
      <c r="J13" s="18">
        <f>_xll.BDH("SBIN IN Equity","TOT_DEBT_TO_TOT_ASSET","FY 2011","FY 2011","Currency=INR","Period=FY","BEST_FPERIOD_OVERRIDE=FY","FILING_STATUS=MR","EQY_CONSOLIDATED=Y","Sort=A","Dates=H","DateFormat=P","Fill=—","Direction=H","UseDPDF=Y")</f>
        <v>11.7852</v>
      </c>
      <c r="K13" s="18">
        <f>_xll.BDH("SBIN IN Equity","TOT_DEBT_TO_TOT_ASSET","FY 2012","FY 2012","Currency=INR","Period=FY","BEST_FPERIOD_OVERRIDE=FY","FILING_STATUS=MR","EQY_CONSOLIDATED=Y","Sort=A","Dates=H","DateFormat=P","Fill=—","Direction=H","UseDPDF=Y")</f>
        <v>11.439299999999999</v>
      </c>
      <c r="L13" s="18">
        <f>_xll.BDH("SBIN IN Equity","TOT_DEBT_TO_TOT_ASSET","FY 2013","FY 2013","Currency=INR","Period=FY","BEST_FPERIOD_OVERRIDE=FY","FILING_STATUS=MR","EQY_CONSOLIDATED=Y","Sort=A","Dates=H","DateFormat=P","Fill=—","Direction=H","UseDPDF=Y")</f>
        <v>12.4549</v>
      </c>
      <c r="M13" s="18">
        <f>_xll.BDH("SBIN IN Equity","TOT_DEBT_TO_TOT_ASSET","FY 2014","FY 2014","Currency=INR","Period=FY","BEST_FPERIOD_OVERRIDE=FY","FILING_STATUS=MR","EQY_CONSOLIDATED=Y","Sort=A","Dates=H","DateFormat=P","Fill=—","Direction=H","UseDPDF=Y")</f>
        <v>12.0975</v>
      </c>
      <c r="N13" s="18">
        <f>_xll.BDH("SBIN IN Equity","TOT_DEBT_TO_TOT_ASSET","FY 2015","FY 2015","Currency=INR","Period=FY","BEST_FPERIOD_OVERRIDE=FY","FILING_STATUS=MR","EQY_CONSOLIDATED=Y","Sort=A","Dates=H","DateFormat=P","Fill=—","Direction=H","UseDPDF=Y")</f>
        <v>9.9835999999999991</v>
      </c>
      <c r="O13" s="18">
        <f>_xll.BDH("SBIN IN Equity","TOT_DEBT_TO_TOT_ASSET","FY 2016","FY 2016","Currency=INR","Period=FY","BEST_FPERIOD_OVERRIDE=FY","FILING_STATUS=MR","EQY_CONSOLIDATED=Y","Sort=A","Dates=H","DateFormat=P","Fill=—","Direction=H","UseDPDF=Y")</f>
        <v>13.0327</v>
      </c>
      <c r="P13" s="18">
        <f>_xll.BDH("SBIN IN Equity","TOT_DEBT_TO_TOT_ASSET","FY 2017","FY 2017","Currency=INR","Period=FY","BEST_FPERIOD_OVERRIDE=FY","FILING_STATUS=MR","EQY_CONSOLIDATED=Y","Sort=A","Dates=H","DateFormat=P","Fill=—","Direction=H","UseDPDF=Y")</f>
        <v>10.6638</v>
      </c>
      <c r="Q13" s="18">
        <f>_xll.BDH("SBIN IN Equity","TOT_DEBT_TO_TOT_ASSET","FY 2018","FY 2018","Currency=INR","Period=FY","BEST_FPERIOD_OVERRIDE=FY","FILING_STATUS=MR","EQY_CONSOLIDATED=Y","Sort=A","Dates=H","DateFormat=P","Fill=—","Direction=H","UseDPDF=Y")</f>
        <v>10.943</v>
      </c>
      <c r="R13" s="18">
        <f>_xll.BDH("SBIN IN Equity","TOT_DEBT_TO_TOT_ASSET","FY 2019","FY 2019","Currency=INR","Period=FY","BEST_FPERIOD_OVERRIDE=FY","FILING_STATUS=MR","EQY_CONSOLIDATED=Y","Sort=A","Dates=H","DateFormat=P","Fill=—","Direction=H","UseDPDF=Y")</f>
        <v>11.2554</v>
      </c>
      <c r="S13" s="18">
        <f>_xll.BDH("SBIN IN Equity","TOT_DEBT_TO_TOT_ASSET","FY 2020","FY 2020","Currency=INR","Period=FY","BEST_FPERIOD_OVERRIDE=FY","FILING_STATUS=MR","EQY_CONSOLIDATED=Y","Sort=A","Dates=H","DateFormat=P","Fill=—","Direction=H","UseDPDF=Y")</f>
        <v>8.5716000000000001</v>
      </c>
      <c r="T13" s="18">
        <f>_xll.BDH("SBIN IN Equity","TOT_DEBT_TO_TOT_ASSET","FY 2021","FY 2021","Currency=INR","Period=FY","BEST_FPERIOD_OVERRIDE=FY","FILING_STATUS=MR","EQY_CONSOLIDATED=Y","Sort=A","Dates=H","DateFormat=P","Fill=—","Direction=H","UseDPDF=Y")</f>
        <v>9.3181999999999992</v>
      </c>
      <c r="U13" s="18">
        <f>_xll.BDH("SBIN IN Equity","TOT_DEBT_TO_TOT_ASSET","FY 2022","FY 2022","Currency=INR","Period=FY","BEST_FPERIOD_OVERRIDE=FY","FILING_STATUS=MR","EQY_CONSOLIDATED=Y","Sort=A","Dates=H","DateFormat=P","Fill=—","Direction=H","UseDPDF=Y")</f>
        <v>9.0030999999999999</v>
      </c>
      <c r="V13" s="18">
        <f>_xll.BDH("SBIN IN Equity","TOT_DEBT_TO_TOT_ASSET","FY 2023","FY 2023","Currency=INR","Period=FY","BEST_FPERIOD_OVERRIDE=FY","FILING_STATUS=MR","EQY_CONSOLIDATED=Y","Sort=A","Dates=H","DateFormat=P","Fill=—","Direction=H","UseDPDF=Y")</f>
        <v>9.2126999999999999</v>
      </c>
    </row>
    <row r="14" spans="1:22" x14ac:dyDescent="0.25">
      <c r="A14" s="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5">
      <c r="A15" s="3" t="s">
        <v>101</v>
      </c>
      <c r="B15" s="3" t="s">
        <v>102</v>
      </c>
      <c r="C15" s="18">
        <f>_xll.BDH("SBIN IN Equity","CASH_FLOW_TO_TOT_LIAB","FY 2004","FY 2004","Currency=INR","Period=FY","BEST_FPERIOD_OVERRIDE=FY","FILING_STATUS=MR","EQY_CONSOLIDATED=Y","Sort=A","Dates=H","DateFormat=P","Fill=—","Direction=H","UseDPDF=Y")</f>
        <v>2.8441000000000001</v>
      </c>
      <c r="D15" s="18">
        <f>_xll.BDH("SBIN IN Equity","CASH_FLOW_TO_TOT_LIAB","FY 2005","FY 2005","Currency=INR","Period=FY","BEST_FPERIOD_OVERRIDE=FY","FILING_STATUS=MR","EQY_CONSOLIDATED=Y","Sort=A","Dates=H","DateFormat=P","Fill=—","Direction=H","UseDPDF=Y")</f>
        <v>2.3496999999999999</v>
      </c>
      <c r="E15" s="18">
        <f>_xll.BDH("SBIN IN Equity","CASH_FLOW_TO_TOT_LIAB","FY 2006","FY 2006","Currency=INR","Period=FY","BEST_FPERIOD_OVERRIDE=FY","FILING_STATUS=MR","EQY_CONSOLIDATED=Y","Sort=A","Dates=H","DateFormat=P","Fill=—","Direction=H","UseDPDF=Y")</f>
        <v>1.8126</v>
      </c>
      <c r="F15" s="18">
        <f>_xll.BDH("SBIN IN Equity","CASH_FLOW_TO_TOT_LIAB","FY 2007","FY 2007","Currency=INR","Period=FY","BEST_FPERIOD_OVERRIDE=FY","FILING_STATUS=MR","EQY_CONSOLIDATED=Y","Sort=A","Dates=H","DateFormat=P","Fill=—","Direction=H","UseDPDF=Y")</f>
        <v>0.68440000000000001</v>
      </c>
      <c r="G15" s="18">
        <f>_xll.BDH("SBIN IN Equity","CASH_FLOW_TO_TOT_LIAB","FY 2008","FY 2008","Currency=INR","Period=FY","BEST_FPERIOD_OVERRIDE=FY","FILING_STATUS=MR","EQY_CONSOLIDATED=Y","Sort=A","Dates=H","DateFormat=P","Fill=—","Direction=H","UseDPDF=Y")</f>
        <v>1.0622</v>
      </c>
      <c r="H15" s="18">
        <f>_xll.BDH("SBIN IN Equity","CASH_FLOW_TO_TOT_LIAB","FY 2009","FY 2009","Currency=INR","Period=FY","BEST_FPERIOD_OVERRIDE=FY","FILING_STATUS=MR","EQY_CONSOLIDATED=Y","Sort=A","Dates=H","DateFormat=P","Fill=—","Direction=H","UseDPDF=Y")</f>
        <v>-4.2443</v>
      </c>
      <c r="I15" s="18">
        <f>_xll.BDH("SBIN IN Equity","CASH_FLOW_TO_TOT_LIAB","FY 2010","FY 2010","Currency=INR","Period=FY","BEST_FPERIOD_OVERRIDE=FY","FILING_STATUS=MR","EQY_CONSOLIDATED=Y","Sort=A","Dates=H","DateFormat=P","Fill=—","Direction=H","UseDPDF=Y")</f>
        <v>-0.1109</v>
      </c>
      <c r="J15" s="18">
        <f>_xll.BDH("SBIN IN Equity","CASH_FLOW_TO_TOT_LIAB","FY 2011","FY 2011","Currency=INR","Period=FY","BEST_FPERIOD_OVERRIDE=FY","FILING_STATUS=MR","EQY_CONSOLIDATED=Y","Sort=A","Dates=H","DateFormat=P","Fill=—","Direction=H","UseDPDF=Y")</f>
        <v>2.5222000000000002</v>
      </c>
      <c r="K15" s="18">
        <f>_xll.BDH("SBIN IN Equity","CASH_FLOW_TO_TOT_LIAB","FY 2012","FY 2012","Currency=INR","Period=FY","BEST_FPERIOD_OVERRIDE=FY","FILING_STATUS=MR","EQY_CONSOLIDATED=Y","Sort=A","Dates=H","DateFormat=P","Fill=—","Direction=H","UseDPDF=Y")</f>
        <v>-1.8439000000000001</v>
      </c>
      <c r="L15" s="18">
        <f>_xll.BDH("SBIN IN Equity","CASH_FLOW_TO_TOT_LIAB","FY 2013","FY 2013","Currency=INR","Period=FY","BEST_FPERIOD_OVERRIDE=FY","FILING_STATUS=MR","EQY_CONSOLIDATED=Y","Sort=A","Dates=H","DateFormat=P","Fill=—","Direction=H","UseDPDF=Y")</f>
        <v>0.4985</v>
      </c>
      <c r="M15" s="18">
        <f>_xll.BDH("SBIN IN Equity","CASH_FLOW_TO_TOT_LIAB","FY 2014","FY 2014","Currency=INR","Period=FY","BEST_FPERIOD_OVERRIDE=FY","FILING_STATUS=MR","EQY_CONSOLIDATED=Y","Sort=A","Dates=H","DateFormat=P","Fill=—","Direction=H","UseDPDF=Y")</f>
        <v>-0.25</v>
      </c>
      <c r="N15" s="18">
        <f>_xll.BDH("SBIN IN Equity","CASH_FLOW_TO_TOT_LIAB","FY 2015","FY 2015","Currency=INR","Period=FY","BEST_FPERIOD_OVERRIDE=FY","FILING_STATUS=MR","EQY_CONSOLIDATED=Y","Sort=A","Dates=H","DateFormat=P","Fill=—","Direction=H","UseDPDF=Y")</f>
        <v>-2.8193999999999999</v>
      </c>
      <c r="O15" s="18">
        <f>_xll.BDH("SBIN IN Equity","CASH_FLOW_TO_TOT_LIAB","FY 2016","FY 2016","Currency=INR","Period=FY","BEST_FPERIOD_OVERRIDE=FY","FILING_STATUS=MR","EQY_CONSOLIDATED=Y","Sort=A","Dates=H","DateFormat=P","Fill=—","Direction=H","UseDPDF=Y")</f>
        <v>0.92659999999999998</v>
      </c>
      <c r="P15" s="18">
        <f>_xll.BDH("SBIN IN Equity","CASH_FLOW_TO_TOT_LIAB","FY 2017","FY 2017","Currency=INR","Period=FY","BEST_FPERIOD_OVERRIDE=FY","FILING_STATUS=MR","EQY_CONSOLIDATED=Y","Sort=A","Dates=H","DateFormat=P","Fill=—","Direction=H","UseDPDF=Y")</f>
        <v>-5.7737999999999996</v>
      </c>
      <c r="Q15" s="18">
        <f>_xll.BDH("SBIN IN Equity","CASH_FLOW_TO_TOT_LIAB","FY 2018","FY 2018","Currency=INR","Period=FY","BEST_FPERIOD_OVERRIDE=FY","FILING_STATUS=MR","EQY_CONSOLIDATED=Y","Sort=A","Dates=H","DateFormat=P","Fill=—","Direction=H","UseDPDF=Y")</f>
        <v>-2.4750999999999999</v>
      </c>
      <c r="R15" s="18">
        <f>_xll.BDH("SBIN IN Equity","CASH_FLOW_TO_TOT_LIAB","FY 2019","FY 2019","Currency=INR","Period=FY","BEST_FPERIOD_OVERRIDE=FY","FILING_STATUS=MR","EQY_CONSOLIDATED=Y","Sort=A","Dates=H","DateFormat=P","Fill=—","Direction=H","UseDPDF=Y")</f>
        <v>3.6511999999999998</v>
      </c>
      <c r="S15" s="18">
        <f>_xll.BDH("SBIN IN Equity","CASH_FLOW_TO_TOT_LIAB","FY 2020","FY 2020","Currency=INR","Period=FY","BEST_FPERIOD_OVERRIDE=FY","FILING_STATUS=MR","EQY_CONSOLIDATED=Y","Sort=A","Dates=H","DateFormat=P","Fill=—","Direction=H","UseDPDF=Y")</f>
        <v>-3.0055000000000001</v>
      </c>
      <c r="T15" s="18">
        <f>_xll.BDH("SBIN IN Equity","CASH_FLOW_TO_TOT_LIAB","FY 2021","FY 2021","Currency=INR","Period=FY","BEST_FPERIOD_OVERRIDE=FY","FILING_STATUS=MR","EQY_CONSOLIDATED=Y","Sort=A","Dates=H","DateFormat=P","Fill=—","Direction=H","UseDPDF=Y")</f>
        <v>-4.2808999999999999</v>
      </c>
      <c r="U15" s="18">
        <f>_xll.BDH("SBIN IN Equity","CASH_FLOW_TO_TOT_LIAB","FY 2022","FY 2022","Currency=INR","Period=FY","BEST_FPERIOD_OVERRIDE=FY","FILING_STATUS=MR","EQY_CONSOLIDATED=Y","Sort=A","Dates=H","DateFormat=P","Fill=—","Direction=H","UseDPDF=Y")</f>
        <v>-0.20760000000000001</v>
      </c>
      <c r="V15" s="18">
        <f>_xll.BDH("SBIN IN Equity","CASH_FLOW_TO_TOT_LIAB","FY 2023","FY 2023","Currency=INR","Period=FY","BEST_FPERIOD_OVERRIDE=FY","FILING_STATUS=MR","EQY_CONSOLIDATED=Y","Sort=A","Dates=H","DateFormat=P","Fill=—","Direction=H","UseDPDF=Y")</f>
        <v>0.20050000000000001</v>
      </c>
    </row>
    <row r="16" spans="1:22" x14ac:dyDescent="0.25">
      <c r="A16" s="3" t="s">
        <v>103</v>
      </c>
      <c r="B16" s="3" t="s">
        <v>104</v>
      </c>
      <c r="C16" s="18">
        <f>_xll.BDH("SBIN IN Equity","CAP_EXPEND_RATIO","FY 2004","FY 2004","Currency=INR","Period=FY","BEST_FPERIOD_OVERRIDE=FY","FILING_STATUS=MR","EQY_CONSOLIDATED=Y","Sort=A","Dates=H","DateFormat=P","Fill=—","Direction=H","UseDPDF=Y")</f>
        <v>10.968500000000001</v>
      </c>
      <c r="D16" s="18">
        <f>_xll.BDH("SBIN IN Equity","CAP_EXPEND_RATIO","FY 2005","FY 2005","Currency=INR","Period=FY","BEST_FPERIOD_OVERRIDE=FY","FILING_STATUS=MR","EQY_CONSOLIDATED=Y","Sort=A","Dates=H","DateFormat=P","Fill=—","Direction=H","UseDPDF=Y")</f>
        <v>12.017200000000001</v>
      </c>
      <c r="E16" s="18">
        <f>_xll.BDH("SBIN IN Equity","CAP_EXPEND_RATIO","FY 2006","FY 2006","Currency=INR","Period=FY","BEST_FPERIOD_OVERRIDE=FY","FILING_STATUS=MR","EQY_CONSOLIDATED=Y","Sort=A","Dates=H","DateFormat=P","Fill=—","Direction=H","UseDPDF=Y")</f>
        <v>7.8666</v>
      </c>
      <c r="F16" s="18">
        <f>_xll.BDH("SBIN IN Equity","CAP_EXPEND_RATIO","FY 2007","FY 2007","Currency=INR","Period=FY","BEST_FPERIOD_OVERRIDE=FY","FILING_STATUS=MR","EQY_CONSOLIDATED=Y","Sort=A","Dates=H","DateFormat=P","Fill=—","Direction=H","UseDPDF=Y")</f>
        <v>5.3806000000000003</v>
      </c>
      <c r="G16" s="18">
        <f>_xll.BDH("SBIN IN Equity","CAP_EXPEND_RATIO","FY 2008","FY 2008","Currency=INR","Period=FY","BEST_FPERIOD_OVERRIDE=FY","FILING_STATUS=MR","EQY_CONSOLIDATED=Y","Sort=A","Dates=H","DateFormat=P","Fill=—","Direction=H","UseDPDF=Y")</f>
        <v>6.0552000000000001</v>
      </c>
      <c r="H16" s="18">
        <f>_xll.BDH("SBIN IN Equity","CAP_EXPEND_RATIO","FY 2009","FY 2009","Currency=INR","Period=FY","BEST_FPERIOD_OVERRIDE=FY","FILING_STATUS=MR","EQY_CONSOLIDATED=Y","Sort=A","Dates=H","DateFormat=P","Fill=—","Direction=H","UseDPDF=Y")</f>
        <v>-35.0578</v>
      </c>
      <c r="I16" s="18">
        <f>_xll.BDH("SBIN IN Equity","CAP_EXPEND_RATIO","FY 2010","FY 2010","Currency=INR","Period=FY","BEST_FPERIOD_OVERRIDE=FY","FILING_STATUS=MR","EQY_CONSOLIDATED=Y","Sort=A","Dates=H","DateFormat=P","Fill=—","Direction=H","UseDPDF=Y")</f>
        <v>-0.71309999999999996</v>
      </c>
      <c r="J16" s="18">
        <f>_xll.BDH("SBIN IN Equity","CAP_EXPEND_RATIO","FY 2011","FY 2011","Currency=INR","Period=FY","BEST_FPERIOD_OVERRIDE=FY","FILING_STATUS=MR","EQY_CONSOLIDATED=Y","Sort=A","Dates=H","DateFormat=P","Fill=—","Direction=H","UseDPDF=Y")</f>
        <v>21.012599999999999</v>
      </c>
      <c r="K16" s="18">
        <f>_xll.BDH("SBIN IN Equity","CAP_EXPEND_RATIO","FY 2012","FY 2012","Currency=INR","Period=FY","BEST_FPERIOD_OVERRIDE=FY","FILING_STATUS=MR","EQY_CONSOLIDATED=Y","Sort=A","Dates=H","DateFormat=P","Fill=—","Direction=H","UseDPDF=Y")</f>
        <v>-13.555099999999999</v>
      </c>
      <c r="L16" s="18">
        <f>_xll.BDH("SBIN IN Equity","CAP_EXPEND_RATIO","FY 2013","FY 2013","Currency=INR","Period=FY","BEST_FPERIOD_OVERRIDE=FY","FILING_STATUS=MR","EQY_CONSOLIDATED=Y","Sort=A","Dates=H","DateFormat=P","Fill=—","Direction=H","UseDPDF=Y")</f>
        <v>2.7972000000000001</v>
      </c>
      <c r="M16" s="18">
        <f>_xll.BDH("SBIN IN Equity","CAP_EXPEND_RATIO","FY 2014","FY 2014","Currency=INR","Period=FY","BEST_FPERIOD_OVERRIDE=FY","FILING_STATUS=MR","EQY_CONSOLIDATED=Y","Sort=A","Dates=H","DateFormat=P","Fill=—","Direction=H","UseDPDF=Y")</f>
        <v>-1.7648999999999999</v>
      </c>
      <c r="N16" s="18">
        <f>_xll.BDH("SBIN IN Equity","CAP_EXPEND_RATIO","FY 2015","FY 2015","Currency=INR","Period=FY","BEST_FPERIOD_OVERRIDE=FY","FILING_STATUS=MR","EQY_CONSOLIDATED=Y","Sort=A","Dates=H","DateFormat=P","Fill=—","Direction=H","UseDPDF=Y")</f>
        <v>-20.688400000000001</v>
      </c>
      <c r="O16" s="18">
        <f>_xll.BDH("SBIN IN Equity","CAP_EXPEND_RATIO","FY 2016","FY 2016","Currency=INR","Period=FY","BEST_FPERIOD_OVERRIDE=FY","FILING_STATUS=MR","EQY_CONSOLIDATED=Y","Sort=A","Dates=H","DateFormat=P","Fill=—","Direction=H","UseDPDF=Y")</f>
        <v>7.0845000000000002</v>
      </c>
      <c r="P16" s="18">
        <f>_xll.BDH("SBIN IN Equity","CAP_EXPEND_RATIO","FY 2017","FY 2017","Currency=INR","Period=FY","BEST_FPERIOD_OVERRIDE=FY","FILING_STATUS=MR","EQY_CONSOLIDATED=Y","Sort=A","Dates=H","DateFormat=P","Fill=—","Direction=H","UseDPDF=Y")</f>
        <v>-42.046300000000002</v>
      </c>
      <c r="Q16" s="18" t="str">
        <f>_xll.BDH("SBIN IN Equity","CAP_EXPEND_RATIO","FY 2018","FY 2018","Currency=INR","Period=FY","BEST_FPERIOD_OVERRIDE=FY","FILING_STATUS=MR","EQY_CONSOLIDATED=Y","Sort=A","Dates=H","DateFormat=P","Fill=—","Direction=H","UseDPDF=Y")</f>
        <v>—</v>
      </c>
      <c r="R16" s="18">
        <f>_xll.BDH("SBIN IN Equity","CAP_EXPEND_RATIO","FY 2019","FY 2019","Currency=INR","Period=FY","BEST_FPERIOD_OVERRIDE=FY","FILING_STATUS=MR","EQY_CONSOLIDATED=Y","Sort=A","Dates=H","DateFormat=P","Fill=—","Direction=H","UseDPDF=Y")</f>
        <v>44.316499999999998</v>
      </c>
      <c r="S16" s="18">
        <f>_xll.BDH("SBIN IN Equity","CAP_EXPEND_RATIO","FY 2020","FY 2020","Currency=INR","Period=FY","BEST_FPERIOD_OVERRIDE=FY","FILING_STATUS=MR","EQY_CONSOLIDATED=Y","Sort=A","Dates=H","DateFormat=P","Fill=—","Direction=H","UseDPDF=Y")</f>
        <v>-38.619700000000002</v>
      </c>
      <c r="T16" s="18">
        <f>_xll.BDH("SBIN IN Equity","CAP_EXPEND_RATIO","FY 2021","FY 2021","Currency=INR","Period=FY","BEST_FPERIOD_OVERRIDE=FY","FILING_STATUS=MR","EQY_CONSOLIDATED=Y","Sort=A","Dates=H","DateFormat=P","Fill=—","Direction=H","UseDPDF=Y")</f>
        <v>-50.999699999999997</v>
      </c>
      <c r="U16" s="18">
        <f>_xll.BDH("SBIN IN Equity","CAP_EXPEND_RATIO","FY 2022","FY 2022","Currency=INR","Period=FY","BEST_FPERIOD_OVERRIDE=FY","FILING_STATUS=MR","EQY_CONSOLIDATED=Y","Sort=A","Dates=H","DateFormat=P","Fill=—","Direction=H","UseDPDF=Y")</f>
        <v>-3.1675</v>
      </c>
      <c r="V16" s="18">
        <f>_xll.BDH("SBIN IN Equity","CAP_EXPEND_RATIO","FY 2023","FY 2023","Currency=INR","Period=FY","BEST_FPERIOD_OVERRIDE=FY","FILING_STATUS=MR","EQY_CONSOLIDATED=Y","Sort=A","Dates=H","DateFormat=P","Fill=—","Direction=H","UseDPDF=Y")</f>
        <v>2.3961000000000001</v>
      </c>
    </row>
    <row r="17" spans="1:22" x14ac:dyDescent="0.25">
      <c r="A17" s="3" t="s">
        <v>87</v>
      </c>
      <c r="B17" s="3" t="s">
        <v>88</v>
      </c>
      <c r="C17" s="18">
        <f>_xll.BDH("SBIN IN Equity","COM_EQY_TO_TOT_ASSET","FY 2004","FY 2004","Currency=INR","Period=FY","BEST_FPERIOD_OVERRIDE=FY","FILING_STATUS=MR","EQY_CONSOLIDATED=Y","Sort=A","Dates=H","DateFormat=P","Fill=—","Direction=H","UseDPDF=Y")</f>
        <v>4.9794999999999998</v>
      </c>
      <c r="D17" s="18">
        <f>_xll.BDH("SBIN IN Equity","COM_EQY_TO_TOT_ASSET","FY 2005","FY 2005","Currency=INR","Period=FY","BEST_FPERIOD_OVERRIDE=FY","FILING_STATUS=MR","EQY_CONSOLIDATED=Y","Sort=A","Dates=H","DateFormat=P","Fill=—","Direction=H","UseDPDF=Y")</f>
        <v>5.1786000000000003</v>
      </c>
      <c r="E17" s="18">
        <f>_xll.BDH("SBIN IN Equity","COM_EQY_TO_TOT_ASSET","FY 2006","FY 2006","Currency=INR","Period=FY","BEST_FPERIOD_OVERRIDE=FY","FILING_STATUS=MR","EQY_CONSOLIDATED=Y","Sort=A","Dates=H","DateFormat=P","Fill=—","Direction=H","UseDPDF=Y")</f>
        <v>5.3394000000000004</v>
      </c>
      <c r="F17" s="18">
        <f>_xll.BDH("SBIN IN Equity","COM_EQY_TO_TOT_ASSET","FY 2007","FY 2007","Currency=INR","Period=FY","BEST_FPERIOD_OVERRIDE=FY","FILING_STATUS=MR","EQY_CONSOLIDATED=Y","Sort=A","Dates=H","DateFormat=P","Fill=—","Direction=H","UseDPDF=Y")</f>
        <v>5.218</v>
      </c>
      <c r="G17" s="18">
        <f>_xll.BDH("SBIN IN Equity","COM_EQY_TO_TOT_ASSET","FY 2008","FY 2008","Currency=INR","Period=FY","BEST_FPERIOD_OVERRIDE=FY","FILING_STATUS=MR","EQY_CONSOLIDATED=Y","Sort=A","Dates=H","DateFormat=P","Fill=—","Direction=H","UseDPDF=Y")</f>
        <v>5.9611000000000001</v>
      </c>
      <c r="H17" s="18">
        <f>_xll.BDH("SBIN IN Equity","COM_EQY_TO_TOT_ASSET","FY 2009","FY 2009","Currency=INR","Period=FY","BEST_FPERIOD_OVERRIDE=FY","FILING_STATUS=MR","EQY_CONSOLIDATED=Y","Sort=A","Dates=H","DateFormat=P","Fill=—","Direction=H","UseDPDF=Y")</f>
        <v>5.5479000000000003</v>
      </c>
      <c r="I17" s="18">
        <f>_xll.BDH("SBIN IN Equity","COM_EQY_TO_TOT_ASSET","FY 2010","FY 2010","Currency=INR","Period=FY","BEST_FPERIOD_OVERRIDE=FY","FILING_STATUS=MR","EQY_CONSOLIDATED=Y","Sort=A","Dates=H","DateFormat=P","Fill=—","Direction=H","UseDPDF=Y")</f>
        <v>5.7328999999999999</v>
      </c>
      <c r="J17" s="18">
        <f>_xll.BDH("SBIN IN Equity","COM_EQY_TO_TOT_ASSET","FY 2011","FY 2011","Currency=INR","Period=FY","BEST_FPERIOD_OVERRIDE=FY","FILING_STATUS=MR","EQY_CONSOLIDATED=Y","Sort=A","Dates=H","DateFormat=P","Fill=—","Direction=H","UseDPDF=Y")</f>
        <v>5.0652999999999997</v>
      </c>
      <c r="K17" s="18">
        <f>_xll.BDH("SBIN IN Equity","COM_EQY_TO_TOT_ASSET","FY 2012","FY 2012","Currency=INR","Period=FY","BEST_FPERIOD_OVERRIDE=FY","FILING_STATUS=MR","EQY_CONSOLIDATED=Y","Sort=A","Dates=H","DateFormat=P","Fill=—","Direction=H","UseDPDF=Y")</f>
        <v>5.8051000000000004</v>
      </c>
      <c r="L17" s="18">
        <f>_xll.BDH("SBIN IN Equity","COM_EQY_TO_TOT_ASSET","FY 2013","FY 2013","Currency=INR","Period=FY","BEST_FPERIOD_OVERRIDE=FY","FILING_STATUS=MR","EQY_CONSOLIDATED=Y","Sort=A","Dates=H","DateFormat=P","Fill=—","Direction=H","UseDPDF=Y")</f>
        <v>5.8615000000000004</v>
      </c>
      <c r="M17" s="18">
        <f>_xll.BDH("SBIN IN Equity","COM_EQY_TO_TOT_ASSET","FY 2014","FY 2014","Currency=INR","Period=FY","BEST_FPERIOD_OVERRIDE=FY","FILING_STATUS=MR","EQY_CONSOLIDATED=Y","Sort=A","Dates=H","DateFormat=P","Fill=—","Direction=H","UseDPDF=Y")</f>
        <v>6.1506999999999996</v>
      </c>
      <c r="N17" s="18">
        <f>_xll.BDH("SBIN IN Equity","COM_EQY_TO_TOT_ASSET","FY 2015","FY 2015","Currency=INR","Period=FY","BEST_FPERIOD_OVERRIDE=FY","FILING_STATUS=MR","EQY_CONSOLIDATED=Y","Sort=A","Dates=H","DateFormat=P","Fill=—","Direction=H","UseDPDF=Y")</f>
        <v>5.9771000000000001</v>
      </c>
      <c r="O17" s="18">
        <f>_xll.BDH("SBIN IN Equity","COM_EQY_TO_TOT_ASSET","FY 2016","FY 2016","Currency=INR","Period=FY","BEST_FPERIOD_OVERRIDE=FY","FILING_STATUS=MR","EQY_CONSOLIDATED=Y","Sort=A","Dates=H","DateFormat=P","Fill=—","Direction=H","UseDPDF=Y")</f>
        <v>5.8757999999999999</v>
      </c>
      <c r="P17" s="18">
        <f>_xll.BDH("SBIN IN Equity","COM_EQY_TO_TOT_ASSET","FY 2017","FY 2017","Currency=INR","Period=FY","BEST_FPERIOD_OVERRIDE=FY","FILING_STATUS=MR","EQY_CONSOLIDATED=Y","Sort=A","Dates=H","DateFormat=P","Fill=—","Direction=H","UseDPDF=Y")</f>
        <v>6.3042999999999996</v>
      </c>
      <c r="Q17" s="18">
        <f>_xll.BDH("SBIN IN Equity","COM_EQY_TO_TOT_ASSET","FY 2018","FY 2018","Currency=INR","Period=FY","BEST_FPERIOD_OVERRIDE=FY","FILING_STATUS=MR","EQY_CONSOLIDATED=Y","Sort=A","Dates=H","DateFormat=P","Fill=—","Direction=H","UseDPDF=Y")</f>
        <v>6.3688000000000002</v>
      </c>
      <c r="R17" s="18">
        <f>_xll.BDH("SBIN IN Equity","COM_EQY_TO_TOT_ASSET","FY 2019","FY 2019","Currency=INR","Period=FY","BEST_FPERIOD_OVERRIDE=FY","FILING_STATUS=MR","EQY_CONSOLIDATED=Y","Sort=A","Dates=H","DateFormat=P","Fill=—","Direction=H","UseDPDF=Y")</f>
        <v>6.0305</v>
      </c>
      <c r="S17" s="18">
        <f>_xll.BDH("SBIN IN Equity","COM_EQY_TO_TOT_ASSET","FY 2020","FY 2020","Currency=INR","Period=FY","BEST_FPERIOD_OVERRIDE=FY","FILING_STATUS=MR","EQY_CONSOLIDATED=Y","Sort=A","Dates=H","DateFormat=P","Fill=—","Direction=H","UseDPDF=Y")</f>
        <v>5.9812000000000003</v>
      </c>
      <c r="T17" s="18">
        <f>_xll.BDH("SBIN IN Equity","COM_EQY_TO_TOT_ASSET","FY 2021","FY 2021","Currency=INR","Period=FY","BEST_FPERIOD_OVERRIDE=FY","FILING_STATUS=MR","EQY_CONSOLIDATED=Y","Sort=A","Dates=H","DateFormat=P","Fill=—","Direction=H","UseDPDF=Y")</f>
        <v>5.6867999999999999</v>
      </c>
      <c r="U17" s="18">
        <f>_xll.BDH("SBIN IN Equity","COM_EQY_TO_TOT_ASSET","FY 2022","FY 2022","Currency=INR","Period=FY","BEST_FPERIOD_OVERRIDE=FY","FILING_STATUS=MR","EQY_CONSOLIDATED=Y","Sort=A","Dates=H","DateFormat=P","Fill=—","Direction=H","UseDPDF=Y")</f>
        <v>5.7003000000000004</v>
      </c>
      <c r="V17" s="18">
        <f>_xll.BDH("SBIN IN Equity","COM_EQY_TO_TOT_ASSET","FY 2023","FY 2023","Currency=INR","Period=FY","BEST_FPERIOD_OVERRIDE=FY","FILING_STATUS=MR","EQY_CONSOLIDATED=Y","Sort=A","Dates=H","DateFormat=P","Fill=—","Direction=H","UseDPDF=Y")</f>
        <v>6.0279999999999996</v>
      </c>
    </row>
    <row r="18" spans="1:22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13" t="s">
        <v>77</v>
      </c>
      <c r="B20" s="13"/>
      <c r="C20" s="13" t="s"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3169-AD90-49E1-B077-1D5C85C9897C}">
  <dimension ref="A1:T20"/>
  <sheetViews>
    <sheetView tabSelected="1" workbookViewId="0">
      <selection activeCell="K28" sqref="K28"/>
    </sheetView>
  </sheetViews>
  <sheetFormatPr defaultRowHeight="15" x14ac:dyDescent="0.25"/>
  <cols>
    <col min="1" max="1" width="35.140625" customWidth="1"/>
    <col min="2" max="2" width="0" hidden="1" customWidth="1"/>
    <col min="3" max="20" width="11.85546875" customWidth="1"/>
  </cols>
  <sheetData>
    <row r="1" spans="1:2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.25" x14ac:dyDescent="0.25">
      <c r="A2" s="14" t="s">
        <v>121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6" t="s">
        <v>3</v>
      </c>
      <c r="B4" s="6"/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</row>
    <row r="5" spans="1:20" x14ac:dyDescent="0.25">
      <c r="A5" s="15" t="s">
        <v>23</v>
      </c>
      <c r="B5" s="15"/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33</v>
      </c>
      <c r="K5" s="4" t="s">
        <v>34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39</v>
      </c>
      <c r="Q5" s="4" t="s">
        <v>40</v>
      </c>
      <c r="R5" s="4" t="s">
        <v>41</v>
      </c>
      <c r="S5" s="4" t="s">
        <v>42</v>
      </c>
      <c r="T5" s="4" t="s">
        <v>43</v>
      </c>
    </row>
    <row r="6" spans="1:20" x14ac:dyDescent="0.25">
      <c r="A6" s="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x14ac:dyDescent="0.25">
      <c r="A7" s="3" t="s">
        <v>89</v>
      </c>
      <c r="B7" s="3" t="s">
        <v>90</v>
      </c>
      <c r="C7" s="18">
        <f>_xll.BDH("HDFCB IN Equity","LT_DEBT_TO_TOT_EQY","FY 2006","FY 2006","Currency=INR","Period=FY","BEST_FPERIOD_OVERRIDE=FY","FILING_STATUS=MR","EQY_CONSOLIDATED=Y","Sort=A","Dates=H","DateFormat=P","Fill=—","Direction=H","UseDPDF=Y")</f>
        <v>53.402200000000001</v>
      </c>
      <c r="D7" s="18">
        <f>_xll.BDH("HDFCB IN Equity","LT_DEBT_TO_TOT_EQY","FY 2007","FY 2007","Currency=INR","Period=FY","BEST_FPERIOD_OVERRIDE=FY","FILING_STATUS=MR","EQY_CONSOLIDATED=Y","Sort=A","Dates=H","DateFormat=P","Fill=—","Direction=H","UseDPDF=Y")</f>
        <v>43.320500000000003</v>
      </c>
      <c r="E7" s="18">
        <f>_xll.BDH("HDFCB IN Equity","LT_DEBT_TO_TOT_EQY","FY 2008","FY 2008","Currency=INR","Period=FY","BEST_FPERIOD_OVERRIDE=FY","FILING_STATUS=MR","EQY_CONSOLIDATED=Y","Sort=A","Dates=H","DateFormat=P","Fill=—","Direction=H","UseDPDF=Y")</f>
        <v>39.707000000000001</v>
      </c>
      <c r="F7" s="18">
        <f>_xll.BDH("HDFCB IN Equity","LT_DEBT_TO_TOT_EQY","FY 2009","FY 2009","Currency=INR","Period=FY","BEST_FPERIOD_OVERRIDE=FY","FILING_STATUS=MR","EQY_CONSOLIDATED=Y","Sort=A","Dates=H","DateFormat=P","Fill=—","Direction=H","UseDPDF=Y")</f>
        <v>18.337</v>
      </c>
      <c r="G7" s="18">
        <f>_xll.BDH("HDFCB IN Equity","LT_DEBT_TO_TOT_EQY","FY 2010","FY 2010","Currency=INR","Period=FY","BEST_FPERIOD_OVERRIDE=FY","FILING_STATUS=MR","EQY_CONSOLIDATED=Y","Sort=A","Dates=H","DateFormat=P","Fill=—","Direction=H","UseDPDF=Y")</f>
        <v>60.714399999999998</v>
      </c>
      <c r="H7" s="18">
        <f>_xll.BDH("HDFCB IN Equity","LT_DEBT_TO_TOT_EQY","FY 2011","FY 2011","Currency=INR","Period=FY","BEST_FPERIOD_OVERRIDE=FY","FILING_STATUS=MR","EQY_CONSOLIDATED=Y","Sort=A","Dates=H","DateFormat=P","Fill=—","Direction=H","UseDPDF=Y")</f>
        <v>56.988500000000002</v>
      </c>
      <c r="I7" s="18">
        <f>_xll.BDH("HDFCB IN Equity","LT_DEBT_TO_TOT_EQY","FY 2012","FY 2012","Currency=INR","Period=FY","BEST_FPERIOD_OVERRIDE=FY","FILING_STATUS=MR","EQY_CONSOLIDATED=Y","Sort=A","Dates=H","DateFormat=P","Fill=—","Direction=H","UseDPDF=Y")</f>
        <v>86.641499999999994</v>
      </c>
      <c r="J7" s="18">
        <f>_xll.BDH("HDFCB IN Equity","LT_DEBT_TO_TOT_EQY","FY 2013","FY 2013","Currency=INR","Period=FY","BEST_FPERIOD_OVERRIDE=FY","FILING_STATUS=MR","EQY_CONSOLIDATED=Y","Sort=A","Dates=H","DateFormat=P","Fill=—","Direction=H","UseDPDF=Y")</f>
        <v>107.1412</v>
      </c>
      <c r="K7" s="18">
        <f>_xll.BDH("HDFCB IN Equity","LT_DEBT_TO_TOT_EQY","FY 2014","FY 2014","Currency=INR","Period=FY","BEST_FPERIOD_OVERRIDE=FY","FILING_STATUS=MR","EQY_CONSOLIDATED=Y","Sort=A","Dates=H","DateFormat=P","Fill=—","Direction=H","UseDPDF=Y")</f>
        <v>111.9101</v>
      </c>
      <c r="L7" s="18">
        <f>_xll.BDH("HDFCB IN Equity","LT_DEBT_TO_TOT_EQY","FY 2015","FY 2015","Currency=INR","Period=FY","BEST_FPERIOD_OVERRIDE=FY","FILING_STATUS=MR","EQY_CONSOLIDATED=Y","Sort=A","Dates=H","DateFormat=P","Fill=—","Direction=H","UseDPDF=Y")</f>
        <v>93.9392</v>
      </c>
      <c r="M7" s="18">
        <f>_xll.BDH("HDFCB IN Equity","LT_DEBT_TO_TOT_EQY","FY 2016","FY 2016","Currency=INR","Period=FY","BEST_FPERIOD_OVERRIDE=FY","FILING_STATUS=MR","EQY_CONSOLIDATED=Y","Sort=A","Dates=H","DateFormat=P","Fill=—","Direction=H","UseDPDF=Y")</f>
        <v>139.24189999999999</v>
      </c>
      <c r="N7" s="18">
        <f>_xll.BDH("HDFCB IN Equity","LT_DEBT_TO_TOT_EQY","FY 2017","FY 2017","Currency=INR","Period=FY","BEST_FPERIOD_OVERRIDE=FY","FILING_STATUS=MR","EQY_CONSOLIDATED=Y","Sort=A","Dates=H","DateFormat=P","Fill=—","Direction=H","UseDPDF=Y")</f>
        <v>106.87430000000001</v>
      </c>
      <c r="O7" s="18">
        <f>_xll.BDH("HDFCB IN Equity","LT_DEBT_TO_TOT_EQY","FY 2018","FY 2018","Currency=INR","Period=FY","BEST_FPERIOD_OVERRIDE=FY","FILING_STATUS=MR","EQY_CONSOLIDATED=Y","Sort=A","Dates=H","DateFormat=P","Fill=—","Direction=H","UseDPDF=Y")</f>
        <v>142.27770000000001</v>
      </c>
      <c r="P7" s="18">
        <f>_xll.BDH("HDFCB IN Equity","LT_DEBT_TO_TOT_EQY","FY 2019","FY 2019","Currency=INR","Period=FY","BEST_FPERIOD_OVERRIDE=FY","FILING_STATUS=MR","EQY_CONSOLIDATED=Y","Sort=A","Dates=H","DateFormat=P","Fill=—","Direction=H","UseDPDF=Y")</f>
        <v>102.30800000000001</v>
      </c>
      <c r="Q7" s="18">
        <f>_xll.BDH("HDFCB IN Equity","LT_DEBT_TO_TOT_EQY","FY 2020","FY 2020","Currency=INR","Period=FY","BEST_FPERIOD_OVERRIDE=FY","FILING_STATUS=MR","EQY_CONSOLIDATED=Y","Sort=A","Dates=H","DateFormat=P","Fill=—","Direction=H","UseDPDF=Y")</f>
        <v>105.5947</v>
      </c>
      <c r="R7" s="18">
        <f>_xll.BDH("HDFCB IN Equity","LT_DEBT_TO_TOT_EQY","FY 2021","FY 2021","Currency=INR","Period=FY","BEST_FPERIOD_OVERRIDE=FY","FILING_STATUS=MR","EQY_CONSOLIDATED=Y","Sort=A","Dates=H","DateFormat=P","Fill=—","Direction=H","UseDPDF=Y")</f>
        <v>84.439400000000006</v>
      </c>
      <c r="S7" s="18">
        <f>_xll.BDH("HDFCB IN Equity","LT_DEBT_TO_TOT_EQY","FY 2022","FY 2022","Currency=INR","Period=FY","BEST_FPERIOD_OVERRIDE=FY","FILING_STATUS=MR","EQY_CONSOLIDATED=Y","Sort=A","Dates=H","DateFormat=P","Fill=—","Direction=H","UseDPDF=Y")</f>
        <v>91.501599999999996</v>
      </c>
      <c r="T7" s="18">
        <f>_xll.BDH("HDFCB IN Equity","LT_DEBT_TO_TOT_EQY","FY 2023","FY 2023","Currency=INR","Period=FY","BEST_FPERIOD_OVERRIDE=FY","FILING_STATUS=MR","EQY_CONSOLIDATED=Y","Sort=A","Dates=H","DateFormat=P","Fill=—","Direction=H","UseDPDF=Y")</f>
        <v>88.374300000000005</v>
      </c>
    </row>
    <row r="8" spans="1:20" x14ac:dyDescent="0.25">
      <c r="A8" s="3" t="s">
        <v>91</v>
      </c>
      <c r="B8" s="3" t="s">
        <v>92</v>
      </c>
      <c r="C8" s="18">
        <f>_xll.BDH("HDFCB IN Equity","LT_DEBT_TO_TOT_CAP","FY 2006","FY 2006","Currency=INR","Period=FY","BEST_FPERIOD_OVERRIDE=FY","FILING_STATUS=MR","EQY_CONSOLIDATED=Y","Sort=A","Dates=H","DateFormat=P","Fill=—","Direction=H","UseDPDF=Y")</f>
        <v>26.256900000000002</v>
      </c>
      <c r="D8" s="18">
        <f>_xll.BDH("HDFCB IN Equity","LT_DEBT_TO_TOT_CAP","FY 2007","FY 2007","Currency=INR","Period=FY","BEST_FPERIOD_OVERRIDE=FY","FILING_STATUS=MR","EQY_CONSOLIDATED=Y","Sort=A","Dates=H","DateFormat=P","Fill=—","Direction=H","UseDPDF=Y")</f>
        <v>30.226299999999998</v>
      </c>
      <c r="E8" s="18">
        <f>_xll.BDH("HDFCB IN Equity","LT_DEBT_TO_TOT_CAP","FY 2008","FY 2008","Currency=INR","Period=FY","BEST_FPERIOD_OVERRIDE=FY","FILING_STATUS=MR","EQY_CONSOLIDATED=Y","Sort=A","Dates=H","DateFormat=P","Fill=—","Direction=H","UseDPDF=Y")</f>
        <v>28.421600000000002</v>
      </c>
      <c r="F8" s="18">
        <f>_xll.BDH("HDFCB IN Equity","LT_DEBT_TO_TOT_CAP","FY 2009","FY 2009","Currency=INR","Period=FY","BEST_FPERIOD_OVERRIDE=FY","FILING_STATUS=MR","EQY_CONSOLIDATED=Y","Sort=A","Dates=H","DateFormat=P","Fill=—","Direction=H","UseDPDF=Y")</f>
        <v>11.951499999999999</v>
      </c>
      <c r="G8" s="18">
        <f>_xll.BDH("HDFCB IN Equity","LT_DEBT_TO_TOT_CAP","FY 2010","FY 2010","Currency=INR","Period=FY","BEST_FPERIOD_OVERRIDE=FY","FILING_STATUS=MR","EQY_CONSOLIDATED=Y","Sort=A","Dates=H","DateFormat=P","Fill=—","Direction=H","UseDPDF=Y")</f>
        <v>30.469000000000001</v>
      </c>
      <c r="H8" s="18">
        <f>_xll.BDH("HDFCB IN Equity","LT_DEBT_TO_TOT_CAP","FY 2011","FY 2011","Currency=INR","Period=FY","BEST_FPERIOD_OVERRIDE=FY","FILING_STATUS=MR","EQY_CONSOLIDATED=Y","Sort=A","Dates=H","DateFormat=P","Fill=—","Direction=H","UseDPDF=Y")</f>
        <v>30.244800000000001</v>
      </c>
      <c r="I8" s="18">
        <f>_xll.BDH("HDFCB IN Equity","LT_DEBT_TO_TOT_CAP","FY 2012","FY 2012","Currency=INR","Period=FY","BEST_FPERIOD_OVERRIDE=FY","FILING_STATUS=MR","EQY_CONSOLIDATED=Y","Sort=A","Dates=H","DateFormat=P","Fill=—","Direction=H","UseDPDF=Y")</f>
        <v>40.834200000000003</v>
      </c>
      <c r="J8" s="18">
        <f>_xll.BDH("HDFCB IN Equity","LT_DEBT_TO_TOT_CAP","FY 2013","FY 2013","Currency=INR","Period=FY","BEST_FPERIOD_OVERRIDE=FY","FILING_STATUS=MR","EQY_CONSOLIDATED=Y","Sort=A","Dates=H","DateFormat=P","Fill=—","Direction=H","UseDPDF=Y")</f>
        <v>46.849200000000003</v>
      </c>
      <c r="K8" s="18">
        <f>_xll.BDH("HDFCB IN Equity","LT_DEBT_TO_TOT_CAP","FY 2014","FY 2014","Currency=INR","Period=FY","BEST_FPERIOD_OVERRIDE=FY","FILING_STATUS=MR","EQY_CONSOLIDATED=Y","Sort=A","Dates=H","DateFormat=P","Fill=—","Direction=H","UseDPDF=Y")</f>
        <v>49.832799999999999</v>
      </c>
      <c r="L8" s="18">
        <f>_xll.BDH("HDFCB IN Equity","LT_DEBT_TO_TOT_CAP","FY 2015","FY 2015","Currency=INR","Period=FY","BEST_FPERIOD_OVERRIDE=FY","FILING_STATUS=MR","EQY_CONSOLIDATED=Y","Sort=A","Dates=H","DateFormat=P","Fill=—","Direction=H","UseDPDF=Y")</f>
        <v>46.150399999999998</v>
      </c>
      <c r="M8" s="18">
        <f>_xll.BDH("HDFCB IN Equity","LT_DEBT_TO_TOT_CAP","FY 2016","FY 2016","Currency=INR","Period=FY","BEST_FPERIOD_OVERRIDE=FY","FILING_STATUS=MR","EQY_CONSOLIDATED=Y","Sort=A","Dates=H","DateFormat=P","Fill=—","Direction=H","UseDPDF=Y")</f>
        <v>55.8872</v>
      </c>
      <c r="N8" s="18">
        <f>_xll.BDH("HDFCB IN Equity","LT_DEBT_TO_TOT_CAP","FY 2017","FY 2017","Currency=INR","Period=FY","BEST_FPERIOD_OVERRIDE=FY","FILING_STATUS=MR","EQY_CONSOLIDATED=Y","Sort=A","Dates=H","DateFormat=P","Fill=—","Direction=H","UseDPDF=Y")</f>
        <v>47.505200000000002</v>
      </c>
      <c r="O8" s="18">
        <f>_xll.BDH("HDFCB IN Equity","LT_DEBT_TO_TOT_CAP","FY 2018","FY 2018","Currency=INR","Period=FY","BEST_FPERIOD_OVERRIDE=FY","FILING_STATUS=MR","EQY_CONSOLIDATED=Y","Sort=A","Dates=H","DateFormat=P","Fill=—","Direction=H","UseDPDF=Y")</f>
        <v>56.966900000000003</v>
      </c>
      <c r="P8" s="18">
        <f>_xll.BDH("HDFCB IN Equity","LT_DEBT_TO_TOT_CAP","FY 2019","FY 2019","Currency=INR","Period=FY","BEST_FPERIOD_OVERRIDE=FY","FILING_STATUS=MR","EQY_CONSOLIDATED=Y","Sort=A","Dates=H","DateFormat=P","Fill=—","Direction=H","UseDPDF=Y")</f>
        <v>49.454099999999997</v>
      </c>
      <c r="Q8" s="18">
        <f>_xll.BDH("HDFCB IN Equity","LT_DEBT_TO_TOT_CAP","FY 2020","FY 2020","Currency=INR","Period=FY","BEST_FPERIOD_OVERRIDE=FY","FILING_STATUS=MR","EQY_CONSOLIDATED=Y","Sort=A","Dates=H","DateFormat=P","Fill=—","Direction=H","UseDPDF=Y")</f>
        <v>50.311700000000002</v>
      </c>
      <c r="R8" s="18">
        <f>_xll.BDH("HDFCB IN Equity","LT_DEBT_TO_TOT_CAP","FY 2021","FY 2021","Currency=INR","Period=FY","BEST_FPERIOD_OVERRIDE=FY","FILING_STATUS=MR","EQY_CONSOLIDATED=Y","Sort=A","Dates=H","DateFormat=P","Fill=—","Direction=H","UseDPDF=Y")</f>
        <v>44.361600000000003</v>
      </c>
      <c r="S8" s="18">
        <f>_xll.BDH("HDFCB IN Equity","LT_DEBT_TO_TOT_CAP","FY 2022","FY 2022","Currency=INR","Period=FY","BEST_FPERIOD_OVERRIDE=FY","FILING_STATUS=MR","EQY_CONSOLIDATED=Y","Sort=A","Dates=H","DateFormat=P","Fill=—","Direction=H","UseDPDF=Y")</f>
        <v>46.499400000000001</v>
      </c>
      <c r="T8" s="18">
        <f>_xll.BDH("HDFCB IN Equity","LT_DEBT_TO_TOT_CAP","FY 2023","FY 2023","Currency=INR","Period=FY","BEST_FPERIOD_OVERRIDE=FY","FILING_STATUS=MR","EQY_CONSOLIDATED=Y","Sort=A","Dates=H","DateFormat=P","Fill=—","Direction=H","UseDPDF=Y")</f>
        <v>45.923999999999999</v>
      </c>
    </row>
    <row r="9" spans="1:20" x14ac:dyDescent="0.25">
      <c r="A9" s="3" t="s">
        <v>93</v>
      </c>
      <c r="B9" s="3" t="s">
        <v>94</v>
      </c>
      <c r="C9" s="18">
        <f>_xll.BDH("HDFCB IN Equity","LT_DEBT_TO_TOT_ASSET","FY 2006","FY 2006","Currency=INR","Period=FY","BEST_FPERIOD_OVERRIDE=FY","FILING_STATUS=MR","EQY_CONSOLIDATED=Y","Sort=A","Dates=H","DateFormat=P","Fill=—","Direction=H","UseDPDF=Y")</f>
        <v>3.8837000000000002</v>
      </c>
      <c r="D9" s="18">
        <f>_xll.BDH("HDFCB IN Equity","LT_DEBT_TO_TOT_ASSET","FY 2007","FY 2007","Currency=INR","Period=FY","BEST_FPERIOD_OVERRIDE=FY","FILING_STATUS=MR","EQY_CONSOLIDATED=Y","Sort=A","Dates=H","DateFormat=P","Fill=—","Direction=H","UseDPDF=Y")</f>
        <v>3.0834000000000001</v>
      </c>
      <c r="E9" s="18">
        <f>_xll.BDH("HDFCB IN Equity","LT_DEBT_TO_TOT_ASSET","FY 2008","FY 2008","Currency=INR","Period=FY","BEST_FPERIOD_OVERRIDE=FY","FILING_STATUS=MR","EQY_CONSOLIDATED=Y","Sort=A","Dates=H","DateFormat=P","Fill=—","Direction=H","UseDPDF=Y")</f>
        <v>3.4498000000000002</v>
      </c>
      <c r="F9" s="18">
        <f>_xll.BDH("HDFCB IN Equity","LT_DEBT_TO_TOT_ASSET","FY 2009","FY 2009","Currency=INR","Period=FY","BEST_FPERIOD_OVERRIDE=FY","FILING_STATUS=MR","EQY_CONSOLIDATED=Y","Sort=A","Dates=H","DateFormat=P","Fill=—","Direction=H","UseDPDF=Y")</f>
        <v>1.5135000000000001</v>
      </c>
      <c r="G9" s="18">
        <f>_xll.BDH("HDFCB IN Equity","LT_DEBT_TO_TOT_ASSET","FY 2010","FY 2010","Currency=INR","Period=FY","BEST_FPERIOD_OVERRIDE=FY","FILING_STATUS=MR","EQY_CONSOLIDATED=Y","Sort=A","Dates=H","DateFormat=P","Fill=—","Direction=H","UseDPDF=Y")</f>
        <v>5.9080000000000004</v>
      </c>
      <c r="H9" s="18">
        <f>_xll.BDH("HDFCB IN Equity","LT_DEBT_TO_TOT_ASSET","FY 2011","FY 2011","Currency=INR","Period=FY","BEST_FPERIOD_OVERRIDE=FY","FILING_STATUS=MR","EQY_CONSOLIDATED=Y","Sort=A","Dates=H","DateFormat=P","Fill=—","Direction=H","UseDPDF=Y")</f>
        <v>5.2706</v>
      </c>
      <c r="I9" s="18">
        <f>_xll.BDH("HDFCB IN Equity","LT_DEBT_TO_TOT_ASSET","FY 2012","FY 2012","Currency=INR","Period=FY","BEST_FPERIOD_OVERRIDE=FY","FILING_STATUS=MR","EQY_CONSOLIDATED=Y","Sort=A","Dates=H","DateFormat=P","Fill=—","Direction=H","UseDPDF=Y")</f>
        <v>7.7214</v>
      </c>
      <c r="J9" s="18">
        <f>_xll.BDH("HDFCB IN Equity","LT_DEBT_TO_TOT_ASSET","FY 2013","FY 2013","Currency=INR","Period=FY","BEST_FPERIOD_OVERRIDE=FY","FILING_STATUS=MR","EQY_CONSOLIDATED=Y","Sort=A","Dates=H","DateFormat=P","Fill=—","Direction=H","UseDPDF=Y")</f>
        <v>9.6870999999999992</v>
      </c>
      <c r="K9" s="18">
        <f>_xll.BDH("HDFCB IN Equity","LT_DEBT_TO_TOT_ASSET","FY 2014","FY 2014","Currency=INR","Period=FY","BEST_FPERIOD_OVERRIDE=FY","FILING_STATUS=MR","EQY_CONSOLIDATED=Y","Sort=A","Dates=H","DateFormat=P","Fill=—","Direction=H","UseDPDF=Y")</f>
        <v>9.8480000000000008</v>
      </c>
      <c r="L9" s="18">
        <f>_xll.BDH("HDFCB IN Equity","LT_DEBT_TO_TOT_ASSET","FY 2015","FY 2015","Currency=INR","Period=FY","BEST_FPERIOD_OVERRIDE=FY","FILING_STATUS=MR","EQY_CONSOLIDATED=Y","Sort=A","Dates=H","DateFormat=P","Fill=—","Direction=H","UseDPDF=Y")</f>
        <v>9.7972000000000001</v>
      </c>
      <c r="M9" s="18">
        <f>_xll.BDH("HDFCB IN Equity","LT_DEBT_TO_TOT_ASSET","FY 2016","FY 2016","Currency=INR","Period=FY","BEST_FPERIOD_OVERRIDE=FY","FILING_STATUS=MR","EQY_CONSOLIDATED=Y","Sort=A","Dates=H","DateFormat=P","Fill=—","Direction=H","UseDPDF=Y")</f>
        <v>13.606999999999999</v>
      </c>
      <c r="N9" s="18">
        <f>_xll.BDH("HDFCB IN Equity","LT_DEBT_TO_TOT_ASSET","FY 2017","FY 2017","Currency=INR","Period=FY","BEST_FPERIOD_OVERRIDE=FY","FILING_STATUS=MR","EQY_CONSOLIDATED=Y","Sort=A","Dates=H","DateFormat=P","Fill=—","Direction=H","UseDPDF=Y")</f>
        <v>11.0289</v>
      </c>
      <c r="O9" s="18">
        <f>_xll.BDH("HDFCB IN Equity","LT_DEBT_TO_TOT_ASSET","FY 2018","FY 2018","Currency=INR","Period=FY","BEST_FPERIOD_OVERRIDE=FY","FILING_STATUS=MR","EQY_CONSOLIDATED=Y","Sort=A","Dates=H","DateFormat=P","Fill=—","Direction=H","UseDPDF=Y")</f>
        <v>14.180899999999999</v>
      </c>
      <c r="P9" s="18">
        <f>_xll.BDH("HDFCB IN Equity","LT_DEBT_TO_TOT_ASSET","FY 2019","FY 2019","Currency=INR","Period=FY","BEST_FPERIOD_OVERRIDE=FY","FILING_STATUS=MR","EQY_CONSOLIDATED=Y","Sort=A","Dates=H","DateFormat=P","Fill=—","Direction=H","UseDPDF=Y")</f>
        <v>12.200799999999999</v>
      </c>
      <c r="Q9" s="18">
        <f>_xll.BDH("HDFCB IN Equity","LT_DEBT_TO_TOT_ASSET","FY 2020","FY 2020","Currency=INR","Period=FY","BEST_FPERIOD_OVERRIDE=FY","FILING_STATUS=MR","EQY_CONSOLIDATED=Y","Sort=A","Dates=H","DateFormat=P","Fill=—","Direction=H","UseDPDF=Y")</f>
        <v>11.8187</v>
      </c>
      <c r="R9" s="18">
        <f>_xll.BDH("HDFCB IN Equity","LT_DEBT_TO_TOT_ASSET","FY 2021","FY 2021","Currency=INR","Period=FY","BEST_FPERIOD_OVERRIDE=FY","FILING_STATUS=MR","EQY_CONSOLIDATED=Y","Sort=A","Dates=H","DateFormat=P","Fill=—","Direction=H","UseDPDF=Y")</f>
        <v>9.8747000000000007</v>
      </c>
      <c r="S9" s="18">
        <f>_xll.BDH("HDFCB IN Equity","LT_DEBT_TO_TOT_ASSET","FY 2022","FY 2022","Currency=INR","Period=FY","BEST_FPERIOD_OVERRIDE=FY","FILING_STATUS=MR","EQY_CONSOLIDATED=Y","Sort=A","Dates=H","DateFormat=P","Fill=—","Direction=H","UseDPDF=Y")</f>
        <v>10.6912</v>
      </c>
      <c r="T9" s="18">
        <f>_xll.BDH("HDFCB IN Equity","LT_DEBT_TO_TOT_ASSET","FY 2023","FY 2023","Currency=INR","Period=FY","BEST_FPERIOD_OVERRIDE=FY","FILING_STATUS=MR","EQY_CONSOLIDATED=Y","Sort=A","Dates=H","DateFormat=P","Fill=—","Direction=H","UseDPDF=Y")</f>
        <v>10.138500000000001</v>
      </c>
    </row>
    <row r="10" spans="1:20" x14ac:dyDescent="0.25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x14ac:dyDescent="0.25">
      <c r="A11" s="3" t="s">
        <v>95</v>
      </c>
      <c r="B11" s="3" t="s">
        <v>96</v>
      </c>
      <c r="C11" s="18">
        <f>_xll.BDH("HDFCB IN Equity","TOT_DEBT_TO_TOT_EQY","FY 2006","FY 2006","Currency=INR","Period=FY","BEST_FPERIOD_OVERRIDE=FY","FILING_STATUS=MR","EQY_CONSOLIDATED=Y","Sort=A","Dates=H","DateFormat=P","Fill=—","Direction=H","UseDPDF=Y")</f>
        <v>103.38330000000001</v>
      </c>
      <c r="D11" s="18">
        <f>_xll.BDH("HDFCB IN Equity","TOT_DEBT_TO_TOT_EQY","FY 2007","FY 2007","Currency=INR","Period=FY","BEST_FPERIOD_OVERRIDE=FY","FILING_STATUS=MR","EQY_CONSOLIDATED=Y","Sort=A","Dates=H","DateFormat=P","Fill=—","Direction=H","UseDPDF=Y")</f>
        <v>43.320500000000003</v>
      </c>
      <c r="E11" s="18">
        <f>_xll.BDH("HDFCB IN Equity","TOT_DEBT_TO_TOT_EQY","FY 2008","FY 2008","Currency=INR","Period=FY","BEST_FPERIOD_OVERRIDE=FY","FILING_STATUS=MR","EQY_CONSOLIDATED=Y","Sort=A","Dates=H","DateFormat=P","Fill=—","Direction=H","UseDPDF=Y")</f>
        <v>39.707000000000001</v>
      </c>
      <c r="F11" s="18">
        <f>_xll.BDH("HDFCB IN Equity","TOT_DEBT_TO_TOT_EQY","FY 2009","FY 2009","Currency=INR","Period=FY","BEST_FPERIOD_OVERRIDE=FY","FILING_STATUS=MR","EQY_CONSOLIDATED=Y","Sort=A","Dates=H","DateFormat=P","Fill=—","Direction=H","UseDPDF=Y")</f>
        <v>53.428800000000003</v>
      </c>
      <c r="G11" s="18">
        <f>_xll.BDH("HDFCB IN Equity","TOT_DEBT_TO_TOT_EQY","FY 2010","FY 2010","Currency=INR","Period=FY","BEST_FPERIOD_OVERRIDE=FY","FILING_STATUS=MR","EQY_CONSOLIDATED=Y","Sort=A","Dates=H","DateFormat=P","Fill=—","Direction=H","UseDPDF=Y")</f>
        <v>99.265900000000002</v>
      </c>
      <c r="H11" s="18">
        <f>_xll.BDH("HDFCB IN Equity","TOT_DEBT_TO_TOT_EQY","FY 2011","FY 2011","Currency=INR","Period=FY","BEST_FPERIOD_OVERRIDE=FY","FILING_STATUS=MR","EQY_CONSOLIDATED=Y","Sort=A","Dates=H","DateFormat=P","Fill=—","Direction=H","UseDPDF=Y")</f>
        <v>88.424099999999996</v>
      </c>
      <c r="I11" s="18">
        <f>_xll.BDH("HDFCB IN Equity","TOT_DEBT_TO_TOT_EQY","FY 2012","FY 2012","Currency=INR","Period=FY","BEST_FPERIOD_OVERRIDE=FY","FILING_STATUS=MR","EQY_CONSOLIDATED=Y","Sort=A","Dates=H","DateFormat=P","Fill=—","Direction=H","UseDPDF=Y")</f>
        <v>112.1788</v>
      </c>
      <c r="J11" s="18">
        <f>_xll.BDH("HDFCB IN Equity","TOT_DEBT_TO_TOT_EQY","FY 2013","FY 2013","Currency=INR","Period=FY","BEST_FPERIOD_OVERRIDE=FY","FILING_STATUS=MR","EQY_CONSOLIDATED=Y","Sort=A","Dates=H","DateFormat=P","Fill=—","Direction=H","UseDPDF=Y")</f>
        <v>128.69380000000001</v>
      </c>
      <c r="K11" s="18">
        <f>_xll.BDH("HDFCB IN Equity","TOT_DEBT_TO_TOT_EQY","FY 2014","FY 2014","Currency=INR","Period=FY","BEST_FPERIOD_OVERRIDE=FY","FILING_STATUS=MR","EQY_CONSOLIDATED=Y","Sort=A","Dates=H","DateFormat=P","Fill=—","Direction=H","UseDPDF=Y")</f>
        <v>124.5712</v>
      </c>
      <c r="L11" s="18">
        <f>_xll.BDH("HDFCB IN Equity","TOT_DEBT_TO_TOT_EQY","FY 2015","FY 2015","Currency=INR","Period=FY","BEST_FPERIOD_OVERRIDE=FY","FILING_STATUS=MR","EQY_CONSOLIDATED=Y","Sort=A","Dates=H","DateFormat=P","Fill=—","Direction=H","UseDPDF=Y")</f>
        <v>103.55029999999999</v>
      </c>
      <c r="M11" s="18">
        <f>_xll.BDH("HDFCB IN Equity","TOT_DEBT_TO_TOT_EQY","FY 2016","FY 2016","Currency=INR","Period=FY","BEST_FPERIOD_OVERRIDE=FY","FILING_STATUS=MR","EQY_CONSOLIDATED=Y","Sort=A","Dates=H","DateFormat=P","Fill=—","Direction=H","UseDPDF=Y")</f>
        <v>149.14789999999999</v>
      </c>
      <c r="N11" s="18">
        <f>_xll.BDH("HDFCB IN Equity","TOT_DEBT_TO_TOT_EQY","FY 2017","FY 2017","Currency=INR","Period=FY","BEST_FPERIOD_OVERRIDE=FY","FILING_STATUS=MR","EQY_CONSOLIDATED=Y","Sort=A","Dates=H","DateFormat=P","Fill=—","Direction=H","UseDPDF=Y")</f>
        <v>124.9739</v>
      </c>
      <c r="O11" s="18">
        <f>_xll.BDH("HDFCB IN Equity","TOT_DEBT_TO_TOT_EQY","FY 2018","FY 2018","Currency=INR","Period=FY","BEST_FPERIOD_OVERRIDE=FY","FILING_STATUS=MR","EQY_CONSOLIDATED=Y","Sort=A","Dates=H","DateFormat=P","Fill=—","Direction=H","UseDPDF=Y")</f>
        <v>149.7551</v>
      </c>
      <c r="P11" s="18">
        <f>_xll.BDH("HDFCB IN Equity","TOT_DEBT_TO_TOT_EQY","FY 2019","FY 2019","Currency=INR","Period=FY","BEST_FPERIOD_OVERRIDE=FY","FILING_STATUS=MR","EQY_CONSOLIDATED=Y","Sort=A","Dates=H","DateFormat=P","Fill=—","Direction=H","UseDPDF=Y")</f>
        <v>106.8745</v>
      </c>
      <c r="Q11" s="18">
        <f>_xll.BDH("HDFCB IN Equity","TOT_DEBT_TO_TOT_EQY","FY 2020","FY 2020","Currency=INR","Period=FY","BEST_FPERIOD_OVERRIDE=FY","FILING_STATUS=MR","EQY_CONSOLIDATED=Y","Sort=A","Dates=H","DateFormat=P","Fill=—","Direction=H","UseDPDF=Y")</f>
        <v>109.88079999999999</v>
      </c>
      <c r="R11" s="18">
        <f>_xll.BDH("HDFCB IN Equity","TOT_DEBT_TO_TOT_EQY","FY 2021","FY 2021","Currency=INR","Period=FY","BEST_FPERIOD_OVERRIDE=FY","FILING_STATUS=MR","EQY_CONSOLIDATED=Y","Sort=A","Dates=H","DateFormat=P","Fill=—","Direction=H","UseDPDF=Y")</f>
        <v>90.343199999999996</v>
      </c>
      <c r="S11" s="18">
        <f>_xll.BDH("HDFCB IN Equity","TOT_DEBT_TO_TOT_EQY","FY 2022","FY 2022","Currency=INR","Period=FY","BEST_FPERIOD_OVERRIDE=FY","FILING_STATUS=MR","EQY_CONSOLIDATED=Y","Sort=A","Dates=H","DateFormat=P","Fill=—","Direction=H","UseDPDF=Y")</f>
        <v>96.780299999999997</v>
      </c>
      <c r="T11" s="18">
        <f>_xll.BDH("HDFCB IN Equity","TOT_DEBT_TO_TOT_EQY","FY 2023","FY 2023","Currency=INR","Period=FY","BEST_FPERIOD_OVERRIDE=FY","FILING_STATUS=MR","EQY_CONSOLIDATED=Y","Sort=A","Dates=H","DateFormat=P","Fill=—","Direction=H","UseDPDF=Y")</f>
        <v>92.435900000000004</v>
      </c>
    </row>
    <row r="12" spans="1:20" x14ac:dyDescent="0.25">
      <c r="A12" s="3" t="s">
        <v>97</v>
      </c>
      <c r="B12" s="3" t="s">
        <v>98</v>
      </c>
      <c r="C12" s="18">
        <f>_xll.BDH("HDFCB IN Equity","TOT_DEBT_TO_TOT_CAP","FY 2006","FY 2006","Currency=INR","Period=FY","BEST_FPERIOD_OVERRIDE=FY","FILING_STATUS=MR","EQY_CONSOLIDATED=Y","Sort=A","Dates=H","DateFormat=P","Fill=—","Direction=H","UseDPDF=Y")</f>
        <v>50.831800000000001</v>
      </c>
      <c r="D12" s="18">
        <f>_xll.BDH("HDFCB IN Equity","TOT_DEBT_TO_TOT_CAP","FY 2007","FY 2007","Currency=INR","Period=FY","BEST_FPERIOD_OVERRIDE=FY","FILING_STATUS=MR","EQY_CONSOLIDATED=Y","Sort=A","Dates=H","DateFormat=P","Fill=—","Direction=H","UseDPDF=Y")</f>
        <v>30.226299999999998</v>
      </c>
      <c r="E12" s="18">
        <f>_xll.BDH("HDFCB IN Equity","TOT_DEBT_TO_TOT_CAP","FY 2008","FY 2008","Currency=INR","Period=FY","BEST_FPERIOD_OVERRIDE=FY","FILING_STATUS=MR","EQY_CONSOLIDATED=Y","Sort=A","Dates=H","DateFormat=P","Fill=—","Direction=H","UseDPDF=Y")</f>
        <v>28.421600000000002</v>
      </c>
      <c r="F12" s="18">
        <f>_xll.BDH("HDFCB IN Equity","TOT_DEBT_TO_TOT_CAP","FY 2009","FY 2009","Currency=INR","Period=FY","BEST_FPERIOD_OVERRIDE=FY","FILING_STATUS=MR","EQY_CONSOLIDATED=Y","Sort=A","Dates=H","DateFormat=P","Fill=—","Direction=H","UseDPDF=Y")</f>
        <v>34.8232</v>
      </c>
      <c r="G12" s="18">
        <f>_xll.BDH("HDFCB IN Equity","TOT_DEBT_TO_TOT_CAP","FY 2010","FY 2010","Currency=INR","Period=FY","BEST_FPERIOD_OVERRIDE=FY","FILING_STATUS=MR","EQY_CONSOLIDATED=Y","Sort=A","Dates=H","DateFormat=P","Fill=—","Direction=H","UseDPDF=Y")</f>
        <v>49.815800000000003</v>
      </c>
      <c r="H12" s="18">
        <f>_xll.BDH("HDFCB IN Equity","TOT_DEBT_TO_TOT_CAP","FY 2011","FY 2011","Currency=INR","Period=FY","BEST_FPERIOD_OVERRIDE=FY","FILING_STATUS=MR","EQY_CONSOLIDATED=Y","Sort=A","Dates=H","DateFormat=P","Fill=—","Direction=H","UseDPDF=Y")</f>
        <v>46.928199999999997</v>
      </c>
      <c r="I12" s="18">
        <f>_xll.BDH("HDFCB IN Equity","TOT_DEBT_TO_TOT_CAP","FY 2012","FY 2012","Currency=INR","Period=FY","BEST_FPERIOD_OVERRIDE=FY","FILING_STATUS=MR","EQY_CONSOLIDATED=Y","Sort=A","Dates=H","DateFormat=P","Fill=—","Direction=H","UseDPDF=Y")</f>
        <v>52.869900000000001</v>
      </c>
      <c r="J12" s="18">
        <f>_xll.BDH("HDFCB IN Equity","TOT_DEBT_TO_TOT_CAP","FY 2013","FY 2013","Currency=INR","Period=FY","BEST_FPERIOD_OVERRIDE=FY","FILING_STATUS=MR","EQY_CONSOLIDATED=Y","Sort=A","Dates=H","DateFormat=P","Fill=—","Direction=H","UseDPDF=Y")</f>
        <v>56.273400000000002</v>
      </c>
      <c r="K12" s="18">
        <f>_xll.BDH("HDFCB IN Equity","TOT_DEBT_TO_TOT_CAP","FY 2014","FY 2014","Currency=INR","Period=FY","BEST_FPERIOD_OVERRIDE=FY","FILING_STATUS=MR","EQY_CONSOLIDATED=Y","Sort=A","Dates=H","DateFormat=P","Fill=—","Direction=H","UseDPDF=Y")</f>
        <v>55.470700000000001</v>
      </c>
      <c r="L12" s="18">
        <f>_xll.BDH("HDFCB IN Equity","TOT_DEBT_TO_TOT_CAP","FY 2015","FY 2015","Currency=INR","Period=FY","BEST_FPERIOD_OVERRIDE=FY","FILING_STATUS=MR","EQY_CONSOLIDATED=Y","Sort=A","Dates=H","DateFormat=P","Fill=—","Direction=H","UseDPDF=Y")</f>
        <v>50.872100000000003</v>
      </c>
      <c r="M12" s="18">
        <f>_xll.BDH("HDFCB IN Equity","TOT_DEBT_TO_TOT_CAP","FY 2016","FY 2016","Currency=INR","Period=FY","BEST_FPERIOD_OVERRIDE=FY","FILING_STATUS=MR","EQY_CONSOLIDATED=Y","Sort=A","Dates=H","DateFormat=P","Fill=—","Direction=H","UseDPDF=Y")</f>
        <v>59.863199999999999</v>
      </c>
      <c r="N12" s="18">
        <f>_xll.BDH("HDFCB IN Equity","TOT_DEBT_TO_TOT_CAP","FY 2017","FY 2017","Currency=INR","Period=FY","BEST_FPERIOD_OVERRIDE=FY","FILING_STATUS=MR","EQY_CONSOLIDATED=Y","Sort=A","Dates=H","DateFormat=P","Fill=—","Direction=H","UseDPDF=Y")</f>
        <v>55.550400000000003</v>
      </c>
      <c r="O12" s="18">
        <f>_xll.BDH("HDFCB IN Equity","TOT_DEBT_TO_TOT_CAP","FY 2018","FY 2018","Currency=INR","Period=FY","BEST_FPERIOD_OVERRIDE=FY","FILING_STATUS=MR","EQY_CONSOLIDATED=Y","Sort=A","Dates=H","DateFormat=P","Fill=—","Direction=H","UseDPDF=Y")</f>
        <v>59.960799999999999</v>
      </c>
      <c r="P12" s="18">
        <f>_xll.BDH("HDFCB IN Equity","TOT_DEBT_TO_TOT_CAP","FY 2019","FY 2019","Currency=INR","Period=FY","BEST_FPERIOD_OVERRIDE=FY","FILING_STATUS=MR","EQY_CONSOLIDATED=Y","Sort=A","Dates=H","DateFormat=P","Fill=—","Direction=H","UseDPDF=Y")</f>
        <v>51.661499999999997</v>
      </c>
      <c r="Q12" s="18">
        <f>_xll.BDH("HDFCB IN Equity","TOT_DEBT_TO_TOT_CAP","FY 2020","FY 2020","Currency=INR","Period=FY","BEST_FPERIOD_OVERRIDE=FY","FILING_STATUS=MR","EQY_CONSOLIDATED=Y","Sort=A","Dates=H","DateFormat=P","Fill=—","Direction=H","UseDPDF=Y")</f>
        <v>52.353900000000003</v>
      </c>
      <c r="R12" s="18">
        <f>_xll.BDH("HDFCB IN Equity","TOT_DEBT_TO_TOT_CAP","FY 2021","FY 2021","Currency=INR","Period=FY","BEST_FPERIOD_OVERRIDE=FY","FILING_STATUS=MR","EQY_CONSOLIDATED=Y","Sort=A","Dates=H","DateFormat=P","Fill=—","Direction=H","UseDPDF=Y")</f>
        <v>47.463299999999997</v>
      </c>
      <c r="S12" s="18">
        <f>_xll.BDH("HDFCB IN Equity","TOT_DEBT_TO_TOT_CAP","FY 2022","FY 2022","Currency=INR","Period=FY","BEST_FPERIOD_OVERRIDE=FY","FILING_STATUS=MR","EQY_CONSOLIDATED=Y","Sort=A","Dates=H","DateFormat=P","Fill=—","Direction=H","UseDPDF=Y")</f>
        <v>49.181899999999999</v>
      </c>
      <c r="T12" s="18">
        <f>_xll.BDH("HDFCB IN Equity","TOT_DEBT_TO_TOT_CAP","FY 2023","FY 2023","Currency=INR","Period=FY","BEST_FPERIOD_OVERRIDE=FY","FILING_STATUS=MR","EQY_CONSOLIDATED=Y","Sort=A","Dates=H","DateFormat=P","Fill=—","Direction=H","UseDPDF=Y")</f>
        <v>48.034700000000001</v>
      </c>
    </row>
    <row r="13" spans="1:20" x14ac:dyDescent="0.25">
      <c r="A13" s="3" t="s">
        <v>99</v>
      </c>
      <c r="B13" s="3" t="s">
        <v>100</v>
      </c>
      <c r="C13" s="18">
        <f>_xll.BDH("HDFCB IN Equity","TOT_DEBT_TO_TOT_ASSET","FY 2006","FY 2006","Currency=INR","Period=FY","BEST_FPERIOD_OVERRIDE=FY","FILING_STATUS=MR","EQY_CONSOLIDATED=Y","Sort=A","Dates=H","DateFormat=P","Fill=—","Direction=H","UseDPDF=Y")</f>
        <v>7.5186999999999999</v>
      </c>
      <c r="D13" s="18">
        <f>_xll.BDH("HDFCB IN Equity","TOT_DEBT_TO_TOT_ASSET","FY 2007","FY 2007","Currency=INR","Period=FY","BEST_FPERIOD_OVERRIDE=FY","FILING_STATUS=MR","EQY_CONSOLIDATED=Y","Sort=A","Dates=H","DateFormat=P","Fill=—","Direction=H","UseDPDF=Y")</f>
        <v>3.0834000000000001</v>
      </c>
      <c r="E13" s="18">
        <f>_xll.BDH("HDFCB IN Equity","TOT_DEBT_TO_TOT_ASSET","FY 2008","FY 2008","Currency=INR","Period=FY","BEST_FPERIOD_OVERRIDE=FY","FILING_STATUS=MR","EQY_CONSOLIDATED=Y","Sort=A","Dates=H","DateFormat=P","Fill=—","Direction=H","UseDPDF=Y")</f>
        <v>3.4498000000000002</v>
      </c>
      <c r="F13" s="18">
        <f>_xll.BDH("HDFCB IN Equity","TOT_DEBT_TO_TOT_ASSET","FY 2009","FY 2009","Currency=INR","Period=FY","BEST_FPERIOD_OVERRIDE=FY","FILING_STATUS=MR","EQY_CONSOLIDATED=Y","Sort=A","Dates=H","DateFormat=P","Fill=—","Direction=H","UseDPDF=Y")</f>
        <v>4.41</v>
      </c>
      <c r="G13" s="18">
        <f>_xll.BDH("HDFCB IN Equity","TOT_DEBT_TO_TOT_ASSET","FY 2010","FY 2010","Currency=INR","Period=FY","BEST_FPERIOD_OVERRIDE=FY","FILING_STATUS=MR","EQY_CONSOLIDATED=Y","Sort=A","Dates=H","DateFormat=P","Fill=—","Direction=H","UseDPDF=Y")</f>
        <v>9.6593999999999998</v>
      </c>
      <c r="H13" s="18">
        <f>_xll.BDH("HDFCB IN Equity","TOT_DEBT_TO_TOT_ASSET","FY 2011","FY 2011","Currency=INR","Period=FY","BEST_FPERIOD_OVERRIDE=FY","FILING_STATUS=MR","EQY_CONSOLIDATED=Y","Sort=A","Dates=H","DateFormat=P","Fill=—","Direction=H","UseDPDF=Y")</f>
        <v>8.1780000000000008</v>
      </c>
      <c r="I13" s="18">
        <f>_xll.BDH("HDFCB IN Equity","TOT_DEBT_TO_TOT_ASSET","FY 2012","FY 2012","Currency=INR","Period=FY","BEST_FPERIOD_OVERRIDE=FY","FILING_STATUS=MR","EQY_CONSOLIDATED=Y","Sort=A","Dates=H","DateFormat=P","Fill=—","Direction=H","UseDPDF=Y")</f>
        <v>9.9971999999999994</v>
      </c>
      <c r="J13" s="18">
        <f>_xll.BDH("HDFCB IN Equity","TOT_DEBT_TO_TOT_ASSET","FY 2013","FY 2013","Currency=INR","Period=FY","BEST_FPERIOD_OVERRIDE=FY","FILING_STATUS=MR","EQY_CONSOLIDATED=Y","Sort=A","Dates=H","DateFormat=P","Fill=—","Direction=H","UseDPDF=Y")</f>
        <v>11.6358</v>
      </c>
      <c r="K13" s="18">
        <f>_xll.BDH("HDFCB IN Equity","TOT_DEBT_TO_TOT_ASSET","FY 2014","FY 2014","Currency=INR","Period=FY","BEST_FPERIOD_OVERRIDE=FY","FILING_STATUS=MR","EQY_CONSOLIDATED=Y","Sort=A","Dates=H","DateFormat=P","Fill=—","Direction=H","UseDPDF=Y")</f>
        <v>10.962199999999999</v>
      </c>
      <c r="L13" s="18">
        <f>_xll.BDH("HDFCB IN Equity","TOT_DEBT_TO_TOT_ASSET","FY 2015","FY 2015","Currency=INR","Period=FY","BEST_FPERIOD_OVERRIDE=FY","FILING_STATUS=MR","EQY_CONSOLIDATED=Y","Sort=A","Dates=H","DateFormat=P","Fill=—","Direction=H","UseDPDF=Y")</f>
        <v>10.7995</v>
      </c>
      <c r="M13" s="18">
        <f>_xll.BDH("HDFCB IN Equity","TOT_DEBT_TO_TOT_ASSET","FY 2016","FY 2016","Currency=INR","Period=FY","BEST_FPERIOD_OVERRIDE=FY","FILING_STATUS=MR","EQY_CONSOLIDATED=Y","Sort=A","Dates=H","DateFormat=P","Fill=—","Direction=H","UseDPDF=Y")</f>
        <v>14.574999999999999</v>
      </c>
      <c r="N13" s="18">
        <f>_xll.BDH("HDFCB IN Equity","TOT_DEBT_TO_TOT_ASSET","FY 2017","FY 2017","Currency=INR","Period=FY","BEST_FPERIOD_OVERRIDE=FY","FILING_STATUS=MR","EQY_CONSOLIDATED=Y","Sort=A","Dates=H","DateFormat=P","Fill=—","Direction=H","UseDPDF=Y")</f>
        <v>12.896699999999999</v>
      </c>
      <c r="O13" s="18">
        <f>_xll.BDH("HDFCB IN Equity","TOT_DEBT_TO_TOT_ASSET","FY 2018","FY 2018","Currency=INR","Period=FY","BEST_FPERIOD_OVERRIDE=FY","FILING_STATUS=MR","EQY_CONSOLIDATED=Y","Sort=A","Dates=H","DateFormat=P","Fill=—","Direction=H","UseDPDF=Y")</f>
        <v>14.9262</v>
      </c>
      <c r="P13" s="18">
        <f>_xll.BDH("HDFCB IN Equity","TOT_DEBT_TO_TOT_ASSET","FY 2019","FY 2019","Currency=INR","Period=FY","BEST_FPERIOD_OVERRIDE=FY","FILING_STATUS=MR","EQY_CONSOLIDATED=Y","Sort=A","Dates=H","DateFormat=P","Fill=—","Direction=H","UseDPDF=Y")</f>
        <v>12.7454</v>
      </c>
      <c r="Q13" s="18">
        <f>_xll.BDH("HDFCB IN Equity","TOT_DEBT_TO_TOT_ASSET","FY 2020","FY 2020","Currency=INR","Period=FY","BEST_FPERIOD_OVERRIDE=FY","FILING_STATUS=MR","EQY_CONSOLIDATED=Y","Sort=A","Dates=H","DateFormat=P","Fill=—","Direction=H","UseDPDF=Y")</f>
        <v>12.298500000000001</v>
      </c>
      <c r="R13" s="18">
        <f>_xll.BDH("HDFCB IN Equity","TOT_DEBT_TO_TOT_ASSET","FY 2021","FY 2021","Currency=INR","Period=FY","BEST_FPERIOD_OVERRIDE=FY","FILING_STATUS=MR","EQY_CONSOLIDATED=Y","Sort=A","Dates=H","DateFormat=P","Fill=—","Direction=H","UseDPDF=Y")</f>
        <v>10.565200000000001</v>
      </c>
      <c r="S13" s="18">
        <f>_xll.BDH("HDFCB IN Equity","TOT_DEBT_TO_TOT_ASSET","FY 2022","FY 2022","Currency=INR","Period=FY","BEST_FPERIOD_OVERRIDE=FY","FILING_STATUS=MR","EQY_CONSOLIDATED=Y","Sort=A","Dates=H","DateFormat=P","Fill=—","Direction=H","UseDPDF=Y")</f>
        <v>11.3079</v>
      </c>
      <c r="T13" s="18">
        <f>_xll.BDH("HDFCB IN Equity","TOT_DEBT_TO_TOT_ASSET","FY 2023","FY 2023","Currency=INR","Period=FY","BEST_FPERIOD_OVERRIDE=FY","FILING_STATUS=MR","EQY_CONSOLIDATED=Y","Sort=A","Dates=H","DateFormat=P","Fill=—","Direction=H","UseDPDF=Y")</f>
        <v>10.6045</v>
      </c>
    </row>
    <row r="14" spans="1:20" x14ac:dyDescent="0.25">
      <c r="A14" s="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x14ac:dyDescent="0.25">
      <c r="A15" s="3" t="s">
        <v>101</v>
      </c>
      <c r="B15" s="3" t="s">
        <v>102</v>
      </c>
      <c r="C15" s="18">
        <f>_xll.BDH("HDFCB IN Equity","CASH_FLOW_TO_TOT_LIAB","FY 2006","FY 2006","Currency=INR","Period=FY","BEST_FPERIOD_OVERRIDE=FY","FILING_STATUS=MR","EQY_CONSOLIDATED=Y","Sort=A","Dates=H","DateFormat=P","Fill=—","Direction=H","UseDPDF=Y")</f>
        <v>-8.3308</v>
      </c>
      <c r="D15" s="18" t="str">
        <f>_xll.BDH("HDFCB IN Equity","CASH_FLOW_TO_TOT_LIAB","FY 2007","FY 2007","Currency=INR","Period=FY","BEST_FPERIOD_OVERRIDE=FY","FILING_STATUS=MR","EQY_CONSOLIDATED=Y","Sort=A","Dates=H","DateFormat=P","Fill=—","Direction=H","UseDPDF=Y")</f>
        <v>—</v>
      </c>
      <c r="E15" s="18">
        <f>_xll.BDH("HDFCB IN Equity","CASH_FLOW_TO_TOT_LIAB","FY 2008","FY 2008","Currency=INR","Period=FY","BEST_FPERIOD_OVERRIDE=FY","FILING_STATUS=MR","EQY_CONSOLIDATED=Y","Sort=A","Dates=H","DateFormat=P","Fill=—","Direction=H","UseDPDF=Y")</f>
        <v>-24.773700000000002</v>
      </c>
      <c r="F15" s="18">
        <f>_xll.BDH("HDFCB IN Equity","CASH_FLOW_TO_TOT_LIAB","FY 2009","FY 2009","Currency=INR","Period=FY","BEST_FPERIOD_OVERRIDE=FY","FILING_STATUS=MR","EQY_CONSOLIDATED=Y","Sort=A","Dates=H","DateFormat=P","Fill=—","Direction=H","UseDPDF=Y")</f>
        <v>-0.33589999999999998</v>
      </c>
      <c r="G15" s="18">
        <f>_xll.BDH("HDFCB IN Equity","CASH_FLOW_TO_TOT_LIAB","FY 2010","FY 2010","Currency=INR","Period=FY","BEST_FPERIOD_OVERRIDE=FY","FILING_STATUS=MR","EQY_CONSOLIDATED=Y","Sort=A","Dates=H","DateFormat=P","Fill=—","Direction=H","UseDPDF=Y")</f>
        <v>6.93</v>
      </c>
      <c r="H15" s="18">
        <f>_xll.BDH("HDFCB IN Equity","CASH_FLOW_TO_TOT_LIAB","FY 2011","FY 2011","Currency=INR","Period=FY","BEST_FPERIOD_OVERRIDE=FY","FILING_STATUS=MR","EQY_CONSOLIDATED=Y","Sort=A","Dates=H","DateFormat=P","Fill=—","Direction=H","UseDPDF=Y")</f>
        <v>-2.5767000000000002</v>
      </c>
      <c r="I15" s="18">
        <f>_xll.BDH("HDFCB IN Equity","CASH_FLOW_TO_TOT_LIAB","FY 2012","FY 2012","Currency=INR","Period=FY","BEST_FPERIOD_OVERRIDE=FY","FILING_STATUS=MR","EQY_CONSOLIDATED=Y","Sort=A","Dates=H","DateFormat=P","Fill=—","Direction=H","UseDPDF=Y")</f>
        <v>-3.5114999999999998</v>
      </c>
      <c r="J15" s="18">
        <f>_xll.BDH("HDFCB IN Equity","CASH_FLOW_TO_TOT_LIAB","FY 2013","FY 2013","Currency=INR","Period=FY","BEST_FPERIOD_OVERRIDE=FY","FILING_STATUS=MR","EQY_CONSOLIDATED=Y","Sort=A","Dates=H","DateFormat=P","Fill=—","Direction=H","UseDPDF=Y")</f>
        <v>-1.5310999999999999</v>
      </c>
      <c r="K15" s="18">
        <f>_xll.BDH("HDFCB IN Equity","CASH_FLOW_TO_TOT_LIAB","FY 2014","FY 2014","Currency=INR","Period=FY","BEST_FPERIOD_OVERRIDE=FY","FILING_STATUS=MR","EQY_CONSOLIDATED=Y","Sort=A","Dates=H","DateFormat=P","Fill=—","Direction=H","UseDPDF=Y")</f>
        <v>0.71060000000000001</v>
      </c>
      <c r="L15" s="18">
        <f>_xll.BDH("HDFCB IN Equity","CASH_FLOW_TO_TOT_LIAB","FY 2015","FY 2015","Currency=INR","Period=FY","BEST_FPERIOD_OVERRIDE=FY","FILING_STATUS=MR","EQY_CONSOLIDATED=Y","Sort=A","Dates=H","DateFormat=P","Fill=—","Direction=H","UseDPDF=Y")</f>
        <v>-6.2760999999999996</v>
      </c>
      <c r="M15" s="18">
        <f>_xll.BDH("HDFCB IN Equity","CASH_FLOW_TO_TOT_LIAB","FY 2016","FY 2016","Currency=INR","Period=FY","BEST_FPERIOD_OVERRIDE=FY","FILING_STATUS=MR","EQY_CONSOLIDATED=Y","Sort=A","Dates=H","DateFormat=P","Fill=—","Direction=H","UseDPDF=Y")</f>
        <v>-3.4060000000000001</v>
      </c>
      <c r="N15" s="18">
        <f>_xll.BDH("HDFCB IN Equity","CASH_FLOW_TO_TOT_LIAB","FY 2017","FY 2017","Currency=INR","Period=FY","BEST_FPERIOD_OVERRIDE=FY","FILING_STATUS=MR","EQY_CONSOLIDATED=Y","Sort=A","Dates=H","DateFormat=P","Fill=—","Direction=H","UseDPDF=Y")</f>
        <v>2.738</v>
      </c>
      <c r="O15" s="18">
        <f>_xll.BDH("HDFCB IN Equity","CASH_FLOW_TO_TOT_LIAB","FY 2018","FY 2018","Currency=INR","Period=FY","BEST_FPERIOD_OVERRIDE=FY","FILING_STATUS=MR","EQY_CONSOLIDATED=Y","Sort=A","Dates=H","DateFormat=P","Fill=—","Direction=H","UseDPDF=Y")</f>
        <v>-0.77739999999999998</v>
      </c>
      <c r="P15" s="18">
        <f>_xll.BDH("HDFCB IN Equity","CASH_FLOW_TO_TOT_LIAB","FY 2019","FY 2019","Currency=INR","Period=FY","BEST_FPERIOD_OVERRIDE=FY","FILING_STATUS=MR","EQY_CONSOLIDATED=Y","Sort=A","Dates=H","DateFormat=P","Fill=—","Direction=H","UseDPDF=Y")</f>
        <v>-1.7908999999999999</v>
      </c>
      <c r="Q15" s="18">
        <f>_xll.BDH("HDFCB IN Equity","CASH_FLOW_TO_TOT_LIAB","FY 2020","FY 2020","Currency=INR","Period=FY","BEST_FPERIOD_OVERRIDE=FY","FILING_STATUS=MR","EQY_CONSOLIDATED=Y","Sort=A","Dates=H","DateFormat=P","Fill=—","Direction=H","UseDPDF=Y")</f>
        <v>-3.9228999999999998</v>
      </c>
      <c r="R15" s="18">
        <f>_xll.BDH("HDFCB IN Equity","CASH_FLOW_TO_TOT_LIAB","FY 2021","FY 2021","Currency=INR","Period=FY","BEST_FPERIOD_OVERRIDE=FY","FILING_STATUS=MR","EQY_CONSOLIDATED=Y","Sort=A","Dates=H","DateFormat=P","Fill=—","Direction=H","UseDPDF=Y")</f>
        <v>0.66979999999999995</v>
      </c>
      <c r="S15" s="18">
        <f>_xll.BDH("HDFCB IN Equity","CASH_FLOW_TO_TOT_LIAB","FY 2022","FY 2022","Currency=INR","Period=FY","BEST_FPERIOD_OVERRIDE=FY","FILING_STATUS=MR","EQY_CONSOLIDATED=Y","Sort=A","Dates=H","DateFormat=P","Fill=—","Direction=H","UseDPDF=Y")</f>
        <v>0.67759999999999998</v>
      </c>
      <c r="T15" s="18">
        <f>_xll.BDH("HDFCB IN Equity","CASH_FLOW_TO_TOT_LIAB","FY 2023","FY 2023","Currency=INR","Period=FY","BEST_FPERIOD_OVERRIDE=FY","FILING_STATUS=MR","EQY_CONSOLIDATED=Y","Sort=A","Dates=H","DateFormat=P","Fill=—","Direction=H","UseDPDF=Y")</f>
        <v>-2.1997</v>
      </c>
    </row>
    <row r="16" spans="1:20" x14ac:dyDescent="0.25">
      <c r="A16" s="3" t="s">
        <v>103</v>
      </c>
      <c r="B16" s="3" t="s">
        <v>104</v>
      </c>
      <c r="C16" s="18">
        <f>_xll.BDH("HDFCB IN Equity","CAP_EXPEND_RATIO","FY 2006","FY 2006","Currency=INR","Period=FY","BEST_FPERIOD_OVERRIDE=FY","FILING_STATUS=MR","EQY_CONSOLIDATED=Y","Sort=A","Dates=H","DateFormat=P","Fill=—","Direction=H","UseDPDF=Y")</f>
        <v>-15.7439</v>
      </c>
      <c r="D16" s="18">
        <f>_xll.BDH("HDFCB IN Equity","CAP_EXPEND_RATIO","FY 2007","FY 2007","Currency=INR","Period=FY","BEST_FPERIOD_OVERRIDE=FY","FILING_STATUS=MR","EQY_CONSOLIDATED=Y","Sort=A","Dates=H","DateFormat=P","Fill=—","Direction=H","UseDPDF=Y")</f>
        <v>10.618</v>
      </c>
      <c r="E16" s="18">
        <f>_xll.BDH("HDFCB IN Equity","CAP_EXPEND_RATIO","FY 2008","FY 2008","Currency=INR","Period=FY","BEST_FPERIOD_OVERRIDE=FY","FILING_STATUS=MR","EQY_CONSOLIDATED=Y","Sort=A","Dates=H","DateFormat=P","Fill=—","Direction=H","UseDPDF=Y")</f>
        <v>-18.968900000000001</v>
      </c>
      <c r="F16" s="18">
        <f>_xll.BDH("HDFCB IN Equity","CAP_EXPEND_RATIO","FY 2009","FY 2009","Currency=INR","Period=FY","BEST_FPERIOD_OVERRIDE=FY","FILING_STATUS=MR","EQY_CONSOLIDATED=Y","Sort=A","Dates=H","DateFormat=P","Fill=—","Direction=H","UseDPDF=Y")</f>
        <v>-0.81969999999999998</v>
      </c>
      <c r="G16" s="18">
        <f>_xll.BDH("HDFCB IN Equity","CAP_EXPEND_RATIO","FY 2010","FY 2010","Currency=INR","Period=FY","BEST_FPERIOD_OVERRIDE=FY","FILING_STATUS=MR","EQY_CONSOLIDATED=Y","Sort=A","Dates=H","DateFormat=P","Fill=—","Direction=H","UseDPDF=Y")</f>
        <v>24.363</v>
      </c>
      <c r="H16" s="18">
        <f>_xll.BDH("HDFCB IN Equity","CAP_EXPEND_RATIO","FY 2011","FY 2011","Currency=INR","Period=FY","BEST_FPERIOD_OVERRIDE=FY","FILING_STATUS=MR","EQY_CONSOLIDATED=Y","Sort=A","Dates=H","DateFormat=P","Fill=—","Direction=H","UseDPDF=Y")</f>
        <v>-11.613799999999999</v>
      </c>
      <c r="I16" s="18">
        <f>_xll.BDH("HDFCB IN Equity","CAP_EXPEND_RATIO","FY 2012","FY 2012","Currency=INR","Period=FY","BEST_FPERIOD_OVERRIDE=FY","FILING_STATUS=MR","EQY_CONSOLIDATED=Y","Sort=A","Dates=H","DateFormat=P","Fill=—","Direction=H","UseDPDF=Y")</f>
        <v>-15.841699999999999</v>
      </c>
      <c r="J16" s="18">
        <f>_xll.BDH("HDFCB IN Equity","CAP_EXPEND_RATIO","FY 2013","FY 2013","Currency=INR","Period=FY","BEST_FPERIOD_OVERRIDE=FY","FILING_STATUS=MR","EQY_CONSOLIDATED=Y","Sort=A","Dates=H","DateFormat=P","Fill=—","Direction=H","UseDPDF=Y")</f>
        <v>-6.2348999999999997</v>
      </c>
      <c r="K16" s="18">
        <f>_xll.BDH("HDFCB IN Equity","CAP_EXPEND_RATIO","FY 2014","FY 2014","Currency=INR","Period=FY","BEST_FPERIOD_OVERRIDE=FY","FILING_STATUS=MR","EQY_CONSOLIDATED=Y","Sort=A","Dates=H","DateFormat=P","Fill=—","Direction=H","UseDPDF=Y")</f>
        <v>3.8256000000000001</v>
      </c>
      <c r="L16" s="18">
        <f>_xll.BDH("HDFCB IN Equity","CAP_EXPEND_RATIO","FY 2015","FY 2015","Currency=INR","Period=FY","BEST_FPERIOD_OVERRIDE=FY","FILING_STATUS=MR","EQY_CONSOLIDATED=Y","Sort=A","Dates=H","DateFormat=P","Fill=—","Direction=H","UseDPDF=Y")</f>
        <v>-44.187199999999997</v>
      </c>
      <c r="M16" s="18">
        <f>_xll.BDH("HDFCB IN Equity","CAP_EXPEND_RATIO","FY 2016","FY 2016","Currency=INR","Period=FY","BEST_FPERIOD_OVERRIDE=FY","FILING_STATUS=MR","EQY_CONSOLIDATED=Y","Sort=A","Dates=H","DateFormat=P","Fill=—","Direction=H","UseDPDF=Y")</f>
        <v>-26.703900000000001</v>
      </c>
      <c r="N16" s="18">
        <f>_xll.BDH("HDFCB IN Equity","CAP_EXPEND_RATIO","FY 2017","FY 2017","Currency=INR","Period=FY","BEST_FPERIOD_OVERRIDE=FY","FILING_STATUS=MR","EQY_CONSOLIDATED=Y","Sort=A","Dates=H","DateFormat=P","Fill=—","Direction=H","UseDPDF=Y")</f>
        <v>18.9255</v>
      </c>
      <c r="O16" s="18">
        <f>_xll.BDH("HDFCB IN Equity","CAP_EXPEND_RATIO","FY 2018","FY 2018","Currency=INR","Period=FY","BEST_FPERIOD_OVERRIDE=FY","FILING_STATUS=MR","EQY_CONSOLIDATED=Y","Sort=A","Dates=H","DateFormat=P","Fill=—","Direction=H","UseDPDF=Y")</f>
        <v>-4.8011999999999997</v>
      </c>
      <c r="P16" s="18">
        <f>_xll.BDH("HDFCB IN Equity","CAP_EXPEND_RATIO","FY 2019","FY 2019","Currency=INR","Period=FY","BEST_FPERIOD_OVERRIDE=FY","FILING_STATUS=MR","EQY_CONSOLIDATED=Y","Sort=A","Dates=H","DateFormat=P","Fill=—","Direction=H","UseDPDF=Y")</f>
        <v>-12.582599999999999</v>
      </c>
      <c r="Q16" s="18">
        <f>_xll.BDH("HDFCB IN Equity","CAP_EXPEND_RATIO","FY 2020","FY 2020","Currency=INR","Period=FY","BEST_FPERIOD_OVERRIDE=FY","FILING_STATUS=MR","EQY_CONSOLIDATED=Y","Sort=A","Dates=H","DateFormat=P","Fill=—","Direction=H","UseDPDF=Y")</f>
        <v>-33.665999999999997</v>
      </c>
      <c r="R16" s="18">
        <f>_xll.BDH("HDFCB IN Equity","CAP_EXPEND_RATIO","FY 2021","FY 2021","Currency=INR","Period=FY","BEST_FPERIOD_OVERRIDE=FY","FILING_STATUS=MR","EQY_CONSOLIDATED=Y","Sort=A","Dates=H","DateFormat=P","Fill=—","Direction=H","UseDPDF=Y")</f>
        <v>6.2752999999999997</v>
      </c>
      <c r="S16" s="18">
        <f>_xll.BDH("HDFCB IN Equity","CAP_EXPEND_RATIO","FY 2022","FY 2022","Currency=INR","Period=FY","BEST_FPERIOD_OVERRIDE=FY","FILING_STATUS=MR","EQY_CONSOLIDATED=Y","Sort=A","Dates=H","DateFormat=P","Fill=—","Direction=H","UseDPDF=Y")</f>
        <v>5.6810999999999998</v>
      </c>
      <c r="T16" s="18">
        <f>_xll.BDH("HDFCB IN Equity","CAP_EXPEND_RATIO","FY 2023","FY 2023","Currency=INR","Period=FY","BEST_FPERIOD_OVERRIDE=FY","FILING_STATUS=MR","EQY_CONSOLIDATED=Y","Sort=A","Dates=H","DateFormat=P","Fill=—","Direction=H","UseDPDF=Y")</f>
        <v>-14.2149</v>
      </c>
    </row>
    <row r="17" spans="1:20" x14ac:dyDescent="0.25">
      <c r="A17" s="3" t="s">
        <v>87</v>
      </c>
      <c r="B17" s="3" t="s">
        <v>88</v>
      </c>
      <c r="C17" s="18">
        <f>_xll.BDH("HDFCB IN Equity","COM_EQY_TO_TOT_ASSET","FY 2006","FY 2006","Currency=INR","Period=FY","BEST_FPERIOD_OVERRIDE=FY","FILING_STATUS=MR","EQY_CONSOLIDATED=Y","Sort=A","Dates=H","DateFormat=P","Fill=—","Direction=H","UseDPDF=Y")</f>
        <v>7.2382</v>
      </c>
      <c r="D17" s="18">
        <f>_xll.BDH("HDFCB IN Equity","COM_EQY_TO_TOT_ASSET","FY 2007","FY 2007","Currency=INR","Period=FY","BEST_FPERIOD_OVERRIDE=FY","FILING_STATUS=MR","EQY_CONSOLIDATED=Y","Sort=A","Dates=H","DateFormat=P","Fill=—","Direction=H","UseDPDF=Y")</f>
        <v>7.0862999999999996</v>
      </c>
      <c r="E17" s="18">
        <f>_xll.BDH("HDFCB IN Equity","COM_EQY_TO_TOT_ASSET","FY 2008","FY 2008","Currency=INR","Period=FY","BEST_FPERIOD_OVERRIDE=FY","FILING_STATUS=MR","EQY_CONSOLIDATED=Y","Sort=A","Dates=H","DateFormat=P","Fill=—","Direction=H","UseDPDF=Y")</f>
        <v>8.6605000000000008</v>
      </c>
      <c r="F17" s="18">
        <f>_xll.BDH("HDFCB IN Equity","COM_EQY_TO_TOT_ASSET","FY 2009","FY 2009","Currency=INR","Period=FY","BEST_FPERIOD_OVERRIDE=FY","FILING_STATUS=MR","EQY_CONSOLIDATED=Y","Sort=A","Dates=H","DateFormat=P","Fill=—","Direction=H","UseDPDF=Y")</f>
        <v>8.2302999999999997</v>
      </c>
      <c r="G17" s="18">
        <f>_xll.BDH("HDFCB IN Equity","COM_EQY_TO_TOT_ASSET","FY 2010","FY 2010","Currency=INR","Period=FY","BEST_FPERIOD_OVERRIDE=FY","FILING_STATUS=MR","EQY_CONSOLIDATED=Y","Sort=A","Dates=H","DateFormat=P","Fill=—","Direction=H","UseDPDF=Y")</f>
        <v>9.6967999999999996</v>
      </c>
      <c r="H17" s="18">
        <f>_xll.BDH("HDFCB IN Equity","COM_EQY_TO_TOT_ASSET","FY 2011","FY 2011","Currency=INR","Period=FY","BEST_FPERIOD_OVERRIDE=FY","FILING_STATUS=MR","EQY_CONSOLIDATED=Y","Sort=A","Dates=H","DateFormat=P","Fill=—","Direction=H","UseDPDF=Y")</f>
        <v>9.2048000000000005</v>
      </c>
      <c r="I17" s="18">
        <f>_xll.BDH("HDFCB IN Equity","COM_EQY_TO_TOT_ASSET","FY 2012","FY 2012","Currency=INR","Period=FY","BEST_FPERIOD_OVERRIDE=FY","FILING_STATUS=MR","EQY_CONSOLIDATED=Y","Sort=A","Dates=H","DateFormat=P","Fill=—","Direction=H","UseDPDF=Y")</f>
        <v>8.8580000000000005</v>
      </c>
      <c r="J17" s="18">
        <f>_xll.BDH("HDFCB IN Equity","COM_EQY_TO_TOT_ASSET","FY 2013","FY 2013","Currency=INR","Period=FY","BEST_FPERIOD_OVERRIDE=FY","FILING_STATUS=MR","EQY_CONSOLIDATED=Y","Sort=A","Dates=H","DateFormat=P","Fill=—","Direction=H","UseDPDF=Y")</f>
        <v>8.9871999999999996</v>
      </c>
      <c r="K17" s="18">
        <f>_xll.BDH("HDFCB IN Equity","COM_EQY_TO_TOT_ASSET","FY 2014","FY 2014","Currency=INR","Period=FY","BEST_FPERIOD_OVERRIDE=FY","FILING_STATUS=MR","EQY_CONSOLIDATED=Y","Sort=A","Dates=H","DateFormat=P","Fill=—","Direction=H","UseDPDF=Y")</f>
        <v>8.7698</v>
      </c>
      <c r="L17" s="18">
        <f>_xll.BDH("HDFCB IN Equity","COM_EQY_TO_TOT_ASSET","FY 2015","FY 2015","Currency=INR","Period=FY","BEST_FPERIOD_OVERRIDE=FY","FILING_STATUS=MR","EQY_CONSOLIDATED=Y","Sort=A","Dates=H","DateFormat=P","Fill=—","Direction=H","UseDPDF=Y")</f>
        <v>10.4026</v>
      </c>
      <c r="M17" s="18">
        <f>_xll.BDH("HDFCB IN Equity","COM_EQY_TO_TOT_ASSET","FY 2016","FY 2016","Currency=INR","Period=FY","BEST_FPERIOD_OVERRIDE=FY","FILING_STATUS=MR","EQY_CONSOLIDATED=Y","Sort=A","Dates=H","DateFormat=P","Fill=—","Direction=H","UseDPDF=Y")</f>
        <v>9.7484999999999999</v>
      </c>
      <c r="N17" s="18">
        <f>_xll.BDH("HDFCB IN Equity","COM_EQY_TO_TOT_ASSET","FY 2017","FY 2017","Currency=INR","Period=FY","BEST_FPERIOD_OVERRIDE=FY","FILING_STATUS=MR","EQY_CONSOLIDATED=Y","Sort=A","Dates=H","DateFormat=P","Fill=—","Direction=H","UseDPDF=Y")</f>
        <v>10.286799999999999</v>
      </c>
      <c r="O17" s="18">
        <f>_xll.BDH("HDFCB IN Equity","COM_EQY_TO_TOT_ASSET","FY 2018","FY 2018","Currency=INR","Period=FY","BEST_FPERIOD_OVERRIDE=FY","FILING_STATUS=MR","EQY_CONSOLIDATED=Y","Sort=A","Dates=H","DateFormat=P","Fill=—","Direction=H","UseDPDF=Y")</f>
        <v>9.9347999999999992</v>
      </c>
      <c r="P17" s="18">
        <f>_xll.BDH("HDFCB IN Equity","COM_EQY_TO_TOT_ASSET","FY 2019","FY 2019","Currency=INR","Period=FY","BEST_FPERIOD_OVERRIDE=FY","FILING_STATUS=MR","EQY_CONSOLIDATED=Y","Sort=A","Dates=H","DateFormat=P","Fill=—","Direction=H","UseDPDF=Y")</f>
        <v>11.886799999999999</v>
      </c>
      <c r="Q17" s="18">
        <f>_xll.BDH("HDFCB IN Equity","COM_EQY_TO_TOT_ASSET","FY 2020","FY 2020","Currency=INR","Period=FY","BEST_FPERIOD_OVERRIDE=FY","FILING_STATUS=MR","EQY_CONSOLIDATED=Y","Sort=A","Dates=H","DateFormat=P","Fill=—","Direction=H","UseDPDF=Y")</f>
        <v>11.1561</v>
      </c>
      <c r="R17" s="18">
        <f>_xll.BDH("HDFCB IN Equity","COM_EQY_TO_TOT_ASSET","FY 2021","FY 2021","Currency=INR","Period=FY","BEST_FPERIOD_OVERRIDE=FY","FILING_STATUS=MR","EQY_CONSOLIDATED=Y","Sort=A","Dates=H","DateFormat=P","Fill=—","Direction=H","UseDPDF=Y")</f>
        <v>11.6593</v>
      </c>
      <c r="S17" s="18">
        <f>_xll.BDH("HDFCB IN Equity","COM_EQY_TO_TOT_ASSET","FY 2022","FY 2022","Currency=INR","Period=FY","BEST_FPERIOD_OVERRIDE=FY","FILING_STATUS=MR","EQY_CONSOLIDATED=Y","Sort=A","Dates=H","DateFormat=P","Fill=—","Direction=H","UseDPDF=Y")</f>
        <v>11.6502</v>
      </c>
      <c r="T17" s="18">
        <f>_xll.BDH("HDFCB IN Equity","COM_EQY_TO_TOT_ASSET","FY 2023","FY 2023","Currency=INR","Period=FY","BEST_FPERIOD_OVERRIDE=FY","FILING_STATUS=MR","EQY_CONSOLIDATED=Y","Sort=A","Dates=H","DateFormat=P","Fill=—","Direction=H","UseDPDF=Y")</f>
        <v>11.4383</v>
      </c>
    </row>
    <row r="18" spans="1:20" x14ac:dyDescent="0.25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x14ac:dyDescent="0.25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3" t="s">
        <v>77</v>
      </c>
      <c r="B20" s="13"/>
      <c r="C20" s="13" t="s"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Profitability_TCS</vt:lpstr>
      <vt:lpstr>Profitability_TataSteel</vt:lpstr>
      <vt:lpstr>Profitability_SBI</vt:lpstr>
      <vt:lpstr>Profitability_HDFC</vt:lpstr>
      <vt:lpstr>Liquidity_TCS</vt:lpstr>
      <vt:lpstr>Liquidity_TataSteel</vt:lpstr>
      <vt:lpstr>Liquidity_SBI</vt:lpstr>
      <vt:lpstr>Liquidity_HDFC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2023-11-23T10:09:37Z</dcterms:modified>
</cp:coreProperties>
</file>