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38DF731-4A02-44E7-A7D8-F8B351B89AE4}" xr6:coauthVersionLast="36" xr6:coauthVersionMax="36" xr10:uidLastSave="{00000000-0000-0000-0000-000000000000}"/>
  <bookViews>
    <workbookView xWindow="10395" yWindow="-105" windowWidth="14850" windowHeight="12735" firstSheet="6" activeTab="11" xr2:uid="{00000000-000D-0000-FFFF-FFFF00000000}"/>
  </bookViews>
  <sheets>
    <sheet name="Profitability_SCS" sheetId="2" r:id="rId1"/>
    <sheet name="Profitability_BhushanSteel" sheetId="4" r:id="rId2"/>
    <sheet name="Profitaility_DEWAN" sheetId="6" r:id="rId3"/>
    <sheet name="Profitability_YesBank" sheetId="8" r:id="rId4"/>
    <sheet name="Profitability_Kingfisher" sheetId="10" r:id="rId5"/>
    <sheet name="Profitabilty_Cox&amp;King" sheetId="12" r:id="rId6"/>
    <sheet name="Liquidity_SCS" sheetId="3" r:id="rId7"/>
    <sheet name="Liquidity_BhushanSteel" sheetId="5" r:id="rId8"/>
    <sheet name="Liquidity_DEWAN" sheetId="7" r:id="rId9"/>
    <sheet name="Liquidity_YesBank" sheetId="9" r:id="rId10"/>
    <sheet name="Liquidity_Kingfisher" sheetId="11" r:id="rId11"/>
    <sheet name="Liquidity_Cox&amp;King" sheetId="13" r:id="rId12"/>
  </sheets>
  <calcPr calcId="191029"/>
</workbook>
</file>

<file path=xl/calcChain.xml><?xml version="1.0" encoding="utf-8"?>
<calcChain xmlns="http://schemas.openxmlformats.org/spreadsheetml/2006/main">
  <c r="R22" i="13" l="1"/>
  <c r="N21" i="13"/>
  <c r="J20" i="13"/>
  <c r="F18" i="13"/>
  <c r="R16" i="13"/>
  <c r="N14" i="13"/>
  <c r="J13" i="13"/>
  <c r="F12" i="13"/>
  <c r="R9" i="13"/>
  <c r="N8" i="13"/>
  <c r="J7" i="13"/>
  <c r="F6" i="13"/>
  <c r="G20" i="13"/>
  <c r="K14" i="13"/>
  <c r="C12" i="13"/>
  <c r="C6" i="13"/>
  <c r="F20" i="13"/>
  <c r="J14" i="13"/>
  <c r="N9" i="13"/>
  <c r="F7" i="13"/>
  <c r="E20" i="13"/>
  <c r="I14" i="13"/>
  <c r="M9" i="13"/>
  <c r="L22" i="13"/>
  <c r="P17" i="13"/>
  <c r="D13" i="13"/>
  <c r="H8" i="13"/>
  <c r="G21" i="13"/>
  <c r="K16" i="13"/>
  <c r="K9" i="13"/>
  <c r="J22" i="13"/>
  <c r="N17" i="13"/>
  <c r="R12" i="13"/>
  <c r="F8" i="13"/>
  <c r="E21" i="13"/>
  <c r="E14" i="13"/>
  <c r="I9" i="13"/>
  <c r="H22" i="13"/>
  <c r="L17" i="13"/>
  <c r="P12" i="13"/>
  <c r="D8" i="13"/>
  <c r="G22" i="13"/>
  <c r="K17" i="13"/>
  <c r="C14" i="13"/>
  <c r="G9" i="13"/>
  <c r="F22" i="13"/>
  <c r="J17" i="13"/>
  <c r="N12" i="13"/>
  <c r="F9" i="13"/>
  <c r="Q20" i="13"/>
  <c r="E16" i="13"/>
  <c r="I10" i="13"/>
  <c r="M6" i="13"/>
  <c r="L18" i="13"/>
  <c r="D16" i="13"/>
  <c r="L12" i="13"/>
  <c r="P7" i="13"/>
  <c r="L6" i="13"/>
  <c r="K18" i="13"/>
  <c r="C16" i="13"/>
  <c r="G10" i="13"/>
  <c r="K6" i="13"/>
  <c r="J18" i="13"/>
  <c r="N13" i="13"/>
  <c r="R8" i="13"/>
  <c r="Q21" i="13"/>
  <c r="E17" i="13"/>
  <c r="I12" i="13"/>
  <c r="I6" i="13"/>
  <c r="H18" i="13"/>
  <c r="L13" i="13"/>
  <c r="P8" i="13"/>
  <c r="O21" i="13"/>
  <c r="C17" i="13"/>
  <c r="G12" i="13"/>
  <c r="K7" i="13"/>
  <c r="Q22" i="13"/>
  <c r="M21" i="13"/>
  <c r="I20" i="13"/>
  <c r="E18" i="13"/>
  <c r="Q16" i="13"/>
  <c r="M14" i="13"/>
  <c r="I13" i="13"/>
  <c r="E12" i="13"/>
  <c r="Q9" i="13"/>
  <c r="M8" i="13"/>
  <c r="I7" i="13"/>
  <c r="E6" i="13"/>
  <c r="K21" i="13"/>
  <c r="C18" i="13"/>
  <c r="G13" i="13"/>
  <c r="G7" i="13"/>
  <c r="J21" i="13"/>
  <c r="N16" i="13"/>
  <c r="R10" i="13"/>
  <c r="M22" i="13"/>
  <c r="Q17" i="13"/>
  <c r="E13" i="13"/>
  <c r="I8" i="13"/>
  <c r="H21" i="13"/>
  <c r="L16" i="13"/>
  <c r="P10" i="13"/>
  <c r="D7" i="13"/>
  <c r="C20" i="13"/>
  <c r="G14" i="13"/>
  <c r="O10" i="13"/>
  <c r="C7" i="13"/>
  <c r="R18" i="13"/>
  <c r="F14" i="13"/>
  <c r="J9" i="13"/>
  <c r="I22" i="13"/>
  <c r="M17" i="13"/>
  <c r="M10" i="13"/>
  <c r="Q6" i="13"/>
  <c r="P18" i="13"/>
  <c r="H16" i="13"/>
  <c r="L10" i="13"/>
  <c r="C21" i="13"/>
  <c r="G16" i="13"/>
  <c r="K10" i="13"/>
  <c r="C8" i="13"/>
  <c r="R20" i="13"/>
  <c r="R13" i="13"/>
  <c r="R7" i="13"/>
  <c r="E22" i="13"/>
  <c r="I17" i="13"/>
  <c r="M12" i="13"/>
  <c r="Q7" i="13"/>
  <c r="P20" i="13"/>
  <c r="H10" i="13"/>
  <c r="O20" i="13"/>
  <c r="O13" i="13"/>
  <c r="C9" i="13"/>
  <c r="R21" i="13"/>
  <c r="F17" i="13"/>
  <c r="J12" i="13"/>
  <c r="N7" i="13"/>
  <c r="M20" i="13"/>
  <c r="Q14" i="13"/>
  <c r="E10" i="13"/>
  <c r="M7" i="13"/>
  <c r="L20" i="13"/>
  <c r="P14" i="13"/>
  <c r="D10" i="13"/>
  <c r="H6" i="13"/>
  <c r="G18" i="13"/>
  <c r="K13" i="13"/>
  <c r="O8" i="13"/>
  <c r="P22" i="13"/>
  <c r="L21" i="13"/>
  <c r="H20" i="13"/>
  <c r="D18" i="13"/>
  <c r="P16" i="13"/>
  <c r="L14" i="13"/>
  <c r="H13" i="13"/>
  <c r="D12" i="13"/>
  <c r="P9" i="13"/>
  <c r="L8" i="13"/>
  <c r="H7" i="13"/>
  <c r="D6" i="13"/>
  <c r="O22" i="13"/>
  <c r="O16" i="13"/>
  <c r="O9" i="13"/>
  <c r="K8" i="13"/>
  <c r="N22" i="13"/>
  <c r="R17" i="13"/>
  <c r="F13" i="13"/>
  <c r="J8" i="13"/>
  <c r="I21" i="13"/>
  <c r="M16" i="13"/>
  <c r="Q10" i="13"/>
  <c r="E7" i="13"/>
  <c r="D20" i="13"/>
  <c r="H14" i="13"/>
  <c r="L9" i="13"/>
  <c r="K22" i="13"/>
  <c r="O17" i="13"/>
  <c r="C13" i="13"/>
  <c r="G8" i="13"/>
  <c r="F21" i="13"/>
  <c r="J16" i="13"/>
  <c r="N10" i="13"/>
  <c r="R6" i="13"/>
  <c r="Q18" i="13"/>
  <c r="I16" i="13"/>
  <c r="Q12" i="13"/>
  <c r="E8" i="13"/>
  <c r="D21" i="13"/>
  <c r="D14" i="13"/>
  <c r="H9" i="13"/>
  <c r="P6" i="13"/>
  <c r="O18" i="13"/>
  <c r="O12" i="13"/>
  <c r="O6" i="13"/>
  <c r="N18" i="13"/>
  <c r="F16" i="13"/>
  <c r="J10" i="13"/>
  <c r="N6" i="13"/>
  <c r="M18" i="13"/>
  <c r="Q13" i="13"/>
  <c r="E9" i="13"/>
  <c r="D22" i="13"/>
  <c r="H17" i="13"/>
  <c r="P13" i="13"/>
  <c r="D9" i="13"/>
  <c r="C22" i="13"/>
  <c r="G17" i="13"/>
  <c r="K12" i="13"/>
  <c r="O7" i="13"/>
  <c r="N20" i="13"/>
  <c r="R14" i="13"/>
  <c r="F10" i="13"/>
  <c r="J6" i="13"/>
  <c r="I18" i="13"/>
  <c r="M13" i="13"/>
  <c r="Q8" i="13"/>
  <c r="P21" i="13"/>
  <c r="D17" i="13"/>
  <c r="H12" i="13"/>
  <c r="L7" i="13"/>
  <c r="K20" i="13"/>
  <c r="O14" i="13"/>
  <c r="C10" i="13"/>
  <c r="G6" i="13"/>
  <c r="R24" i="12"/>
  <c r="N23" i="12"/>
  <c r="J22" i="12"/>
  <c r="F19" i="12"/>
  <c r="R17" i="12"/>
  <c r="N16" i="12"/>
  <c r="J15" i="12"/>
  <c r="F14" i="12"/>
  <c r="R10" i="12"/>
  <c r="N9" i="12"/>
  <c r="J8" i="12"/>
  <c r="F7" i="12"/>
  <c r="N24" i="12"/>
  <c r="N17" i="12"/>
  <c r="N10" i="12"/>
  <c r="I23" i="12"/>
  <c r="E15" i="12"/>
  <c r="E8" i="12"/>
  <c r="P18" i="12"/>
  <c r="P13" i="12"/>
  <c r="K24" i="12"/>
  <c r="K17" i="12"/>
  <c r="K10" i="12"/>
  <c r="R19" i="12"/>
  <c r="N13" i="12"/>
  <c r="R7" i="12"/>
  <c r="M18" i="12"/>
  <c r="M13" i="12"/>
  <c r="H24" i="12"/>
  <c r="H17" i="12"/>
  <c r="L13" i="12"/>
  <c r="G24" i="12"/>
  <c r="G17" i="12"/>
  <c r="G10" i="12"/>
  <c r="R22" i="12"/>
  <c r="J13" i="12"/>
  <c r="E24" i="12"/>
  <c r="E17" i="12"/>
  <c r="E10" i="12"/>
  <c r="P22" i="12"/>
  <c r="H13" i="12"/>
  <c r="C24" i="12"/>
  <c r="K14" i="12"/>
  <c r="R23" i="12"/>
  <c r="N15" i="12"/>
  <c r="N8" i="12"/>
  <c r="E18" i="12"/>
  <c r="E13" i="12"/>
  <c r="P23" i="12"/>
  <c r="P16" i="12"/>
  <c r="P9" i="12"/>
  <c r="G19" i="12"/>
  <c r="C13" i="12"/>
  <c r="Q24" i="12"/>
  <c r="M23" i="12"/>
  <c r="I22" i="12"/>
  <c r="E19" i="12"/>
  <c r="Q17" i="12"/>
  <c r="M16" i="12"/>
  <c r="I15" i="12"/>
  <c r="E14" i="12"/>
  <c r="Q10" i="12"/>
  <c r="M9" i="12"/>
  <c r="I8" i="12"/>
  <c r="E7" i="12"/>
  <c r="C7" i="12"/>
  <c r="F22" i="12"/>
  <c r="J16" i="12"/>
  <c r="J9" i="12"/>
  <c r="E22" i="12"/>
  <c r="I16" i="12"/>
  <c r="I9" i="12"/>
  <c r="H23" i="12"/>
  <c r="H16" i="12"/>
  <c r="H9" i="12"/>
  <c r="G23" i="12"/>
  <c r="G16" i="12"/>
  <c r="G9" i="12"/>
  <c r="F23" i="12"/>
  <c r="F16" i="12"/>
  <c r="F9" i="12"/>
  <c r="E23" i="12"/>
  <c r="E16" i="12"/>
  <c r="E9" i="12"/>
  <c r="P19" i="12"/>
  <c r="P14" i="12"/>
  <c r="P7" i="12"/>
  <c r="K18" i="12"/>
  <c r="O14" i="12"/>
  <c r="C9" i="12"/>
  <c r="N19" i="12"/>
  <c r="N14" i="12"/>
  <c r="N7" i="12"/>
  <c r="I18" i="12"/>
  <c r="I13" i="12"/>
  <c r="M7" i="12"/>
  <c r="H18" i="12"/>
  <c r="P15" i="12"/>
  <c r="P8" i="12"/>
  <c r="K19" i="12"/>
  <c r="O15" i="12"/>
  <c r="O8" i="12"/>
  <c r="J19" i="12"/>
  <c r="J14" i="12"/>
  <c r="J7" i="12"/>
  <c r="I19" i="12"/>
  <c r="I14" i="12"/>
  <c r="I7" i="12"/>
  <c r="D18" i="12"/>
  <c r="L15" i="12"/>
  <c r="L8" i="12"/>
  <c r="K22" i="12"/>
  <c r="K15" i="12"/>
  <c r="K8" i="12"/>
  <c r="P24" i="12"/>
  <c r="L23" i="12"/>
  <c r="H22" i="12"/>
  <c r="D19" i="12"/>
  <c r="P17" i="12"/>
  <c r="L16" i="12"/>
  <c r="H15" i="12"/>
  <c r="D14" i="12"/>
  <c r="P10" i="12"/>
  <c r="L9" i="12"/>
  <c r="H8" i="12"/>
  <c r="D7" i="12"/>
  <c r="G8" i="12"/>
  <c r="J23" i="12"/>
  <c r="F15" i="12"/>
  <c r="F8" i="12"/>
  <c r="Q18" i="12"/>
  <c r="Q13" i="12"/>
  <c r="L24" i="12"/>
  <c r="L17" i="12"/>
  <c r="L10" i="12"/>
  <c r="C22" i="12"/>
  <c r="C15" i="12"/>
  <c r="C8" i="12"/>
  <c r="N18" i="12"/>
  <c r="R14" i="12"/>
  <c r="I24" i="12"/>
  <c r="I17" i="12"/>
  <c r="I10" i="12"/>
  <c r="D23" i="12"/>
  <c r="D16" i="12"/>
  <c r="H10" i="12"/>
  <c r="C23" i="12"/>
  <c r="C16" i="12"/>
  <c r="O7" i="12"/>
  <c r="J18" i="12"/>
  <c r="R15" i="12"/>
  <c r="R8" i="12"/>
  <c r="M19" i="12"/>
  <c r="Q15" i="12"/>
  <c r="Q8" i="12"/>
  <c r="L19" i="12"/>
  <c r="L14" i="12"/>
  <c r="L7" i="12"/>
  <c r="G18" i="12"/>
  <c r="G13" i="12"/>
  <c r="K7" i="12"/>
  <c r="F18" i="12"/>
  <c r="F13" i="12"/>
  <c r="Q23" i="12"/>
  <c r="Q16" i="12"/>
  <c r="Q9" i="12"/>
  <c r="L22" i="12"/>
  <c r="H14" i="12"/>
  <c r="O23" i="12"/>
  <c r="O16" i="12"/>
  <c r="O9" i="12"/>
  <c r="O24" i="12"/>
  <c r="K23" i="12"/>
  <c r="G22" i="12"/>
  <c r="C19" i="12"/>
  <c r="O17" i="12"/>
  <c r="K16" i="12"/>
  <c r="G15" i="12"/>
  <c r="C14" i="12"/>
  <c r="O10" i="12"/>
  <c r="K9" i="12"/>
  <c r="R18" i="12"/>
  <c r="R13" i="12"/>
  <c r="M24" i="12"/>
  <c r="M17" i="12"/>
  <c r="M10" i="12"/>
  <c r="D22" i="12"/>
  <c r="D15" i="12"/>
  <c r="D8" i="12"/>
  <c r="O18" i="12"/>
  <c r="O13" i="12"/>
  <c r="J24" i="12"/>
  <c r="J17" i="12"/>
  <c r="J10" i="12"/>
  <c r="Q19" i="12"/>
  <c r="Q14" i="12"/>
  <c r="Q7" i="12"/>
  <c r="L18" i="12"/>
  <c r="D9" i="12"/>
  <c r="O19" i="12"/>
  <c r="K13" i="12"/>
  <c r="F24" i="12"/>
  <c r="F17" i="12"/>
  <c r="F10" i="12"/>
  <c r="Q22" i="12"/>
  <c r="M14" i="12"/>
  <c r="D24" i="12"/>
  <c r="D17" i="12"/>
  <c r="D10" i="12"/>
  <c r="O22" i="12"/>
  <c r="C17" i="12"/>
  <c r="C10" i="12"/>
  <c r="N22" i="12"/>
  <c r="R16" i="12"/>
  <c r="R9" i="12"/>
  <c r="M22" i="12"/>
  <c r="M15" i="12"/>
  <c r="M8" i="12"/>
  <c r="H19" i="12"/>
  <c r="D13" i="12"/>
  <c r="H7" i="12"/>
  <c r="C18" i="12"/>
  <c r="G14" i="12"/>
  <c r="G7" i="12"/>
  <c r="M22" i="11"/>
  <c r="D21" i="11"/>
  <c r="F18" i="11"/>
  <c r="H16" i="11"/>
  <c r="J13" i="11"/>
  <c r="L10" i="11"/>
  <c r="C9" i="11"/>
  <c r="E7" i="11"/>
  <c r="M20" i="11"/>
  <c r="D18" i="11"/>
  <c r="H13" i="11"/>
  <c r="L8" i="11"/>
  <c r="J22" i="11"/>
  <c r="C18" i="11"/>
  <c r="G13" i="11"/>
  <c r="I10" i="11"/>
  <c r="M6" i="11"/>
  <c r="K20" i="11"/>
  <c r="F13" i="11"/>
  <c r="J8" i="11"/>
  <c r="H22" i="11"/>
  <c r="L17" i="11"/>
  <c r="E13" i="11"/>
  <c r="I8" i="11"/>
  <c r="G20" i="11"/>
  <c r="M12" i="11"/>
  <c r="H6" i="11"/>
  <c r="H17" i="11"/>
  <c r="C10" i="11"/>
  <c r="C22" i="11"/>
  <c r="G17" i="11"/>
  <c r="M9" i="11"/>
  <c r="D20" i="11"/>
  <c r="H14" i="11"/>
  <c r="C8" i="11"/>
  <c r="E17" i="11"/>
  <c r="I12" i="11"/>
  <c r="D6" i="11"/>
  <c r="D17" i="11"/>
  <c r="L7" i="11"/>
  <c r="L18" i="11"/>
  <c r="I9" i="11"/>
  <c r="K18" i="11"/>
  <c r="F12" i="11"/>
  <c r="H21" i="11"/>
  <c r="C14" i="11"/>
  <c r="I7" i="11"/>
  <c r="K16" i="11"/>
  <c r="F9" i="11"/>
  <c r="H18" i="11"/>
  <c r="C12" i="11"/>
  <c r="E21" i="11"/>
  <c r="M10" i="11"/>
  <c r="L22" i="11"/>
  <c r="C21" i="11"/>
  <c r="E18" i="11"/>
  <c r="G16" i="11"/>
  <c r="I13" i="11"/>
  <c r="K10" i="11"/>
  <c r="M8" i="11"/>
  <c r="D7" i="11"/>
  <c r="K22" i="11"/>
  <c r="F16" i="11"/>
  <c r="J10" i="11"/>
  <c r="C7" i="11"/>
  <c r="L20" i="11"/>
  <c r="E16" i="11"/>
  <c r="K8" i="11"/>
  <c r="I22" i="11"/>
  <c r="M17" i="11"/>
  <c r="D16" i="11"/>
  <c r="H10" i="11"/>
  <c r="L6" i="11"/>
  <c r="J20" i="11"/>
  <c r="C16" i="11"/>
  <c r="G10" i="11"/>
  <c r="K6" i="11"/>
  <c r="I17" i="11"/>
  <c r="D10" i="11"/>
  <c r="D22" i="11"/>
  <c r="L12" i="11"/>
  <c r="G6" i="11"/>
  <c r="K12" i="11"/>
  <c r="F6" i="11"/>
  <c r="F17" i="11"/>
  <c r="L9" i="11"/>
  <c r="C20" i="11"/>
  <c r="K9" i="11"/>
  <c r="K21" i="11"/>
  <c r="H12" i="11"/>
  <c r="J21" i="11"/>
  <c r="G12" i="11"/>
  <c r="M16" i="11"/>
  <c r="H9" i="11"/>
  <c r="J18" i="11"/>
  <c r="E12" i="11"/>
  <c r="I18" i="11"/>
  <c r="M13" i="11"/>
  <c r="H7" i="11"/>
  <c r="J16" i="11"/>
  <c r="E9" i="11"/>
  <c r="I16" i="11"/>
  <c r="D9" i="11"/>
  <c r="G22" i="11"/>
  <c r="I20" i="11"/>
  <c r="K17" i="11"/>
  <c r="M14" i="11"/>
  <c r="D13" i="11"/>
  <c r="F10" i="11"/>
  <c r="H8" i="11"/>
  <c r="J6" i="11"/>
  <c r="F22" i="11"/>
  <c r="H20" i="11"/>
  <c r="J17" i="11"/>
  <c r="L14" i="11"/>
  <c r="C13" i="11"/>
  <c r="E10" i="11"/>
  <c r="G8" i="11"/>
  <c r="I6" i="11"/>
  <c r="E22" i="11"/>
  <c r="K14" i="11"/>
  <c r="F8" i="11"/>
  <c r="F20" i="11"/>
  <c r="J14" i="11"/>
  <c r="E8" i="11"/>
  <c r="E20" i="11"/>
  <c r="I14" i="11"/>
  <c r="D8" i="11"/>
  <c r="M21" i="11"/>
  <c r="J12" i="11"/>
  <c r="E6" i="11"/>
  <c r="L21" i="11"/>
  <c r="G14" i="11"/>
  <c r="M7" i="11"/>
  <c r="M18" i="11"/>
  <c r="F14" i="11"/>
  <c r="J9" i="11"/>
  <c r="C6" i="11"/>
  <c r="C17" i="11"/>
  <c r="E14" i="11"/>
  <c r="K7" i="11"/>
  <c r="I21" i="11"/>
  <c r="D14" i="11"/>
  <c r="J7" i="11"/>
  <c r="L16" i="11"/>
  <c r="G9" i="11"/>
  <c r="G21" i="11"/>
  <c r="D12" i="11"/>
  <c r="F21" i="11"/>
  <c r="L13" i="11"/>
  <c r="G7" i="11"/>
  <c r="G18" i="11"/>
  <c r="K13" i="11"/>
  <c r="F7" i="11"/>
  <c r="M24" i="10"/>
  <c r="D23" i="10"/>
  <c r="F19" i="10"/>
  <c r="H17" i="10"/>
  <c r="J15" i="10"/>
  <c r="L13" i="10"/>
  <c r="C10" i="10"/>
  <c r="E8" i="10"/>
  <c r="C19" i="10"/>
  <c r="I13" i="10"/>
  <c r="M18" i="10"/>
  <c r="J9" i="10"/>
  <c r="J22" i="10"/>
  <c r="E15" i="10"/>
  <c r="G24" i="10"/>
  <c r="F13" i="10"/>
  <c r="H22" i="10"/>
  <c r="G9" i="10"/>
  <c r="K16" i="10"/>
  <c r="F9" i="10"/>
  <c r="H18" i="10"/>
  <c r="G7" i="10"/>
  <c r="I16" i="10"/>
  <c r="F7" i="10"/>
  <c r="H16" i="10"/>
  <c r="E7" i="10"/>
  <c r="M8" i="10"/>
  <c r="D18" i="10"/>
  <c r="L8" i="10"/>
  <c r="C18" i="10"/>
  <c r="I23" i="10"/>
  <c r="H10" i="10"/>
  <c r="C16" i="10"/>
  <c r="G23" i="10"/>
  <c r="D14" i="10"/>
  <c r="L15" i="10"/>
  <c r="E23" i="10"/>
  <c r="M13" i="10"/>
  <c r="L24" i="10"/>
  <c r="C23" i="10"/>
  <c r="E19" i="10"/>
  <c r="G17" i="10"/>
  <c r="I15" i="10"/>
  <c r="K13" i="10"/>
  <c r="M9" i="10"/>
  <c r="D8" i="10"/>
  <c r="L22" i="10"/>
  <c r="E17" i="10"/>
  <c r="K9" i="10"/>
  <c r="I24" i="10"/>
  <c r="F15" i="10"/>
  <c r="L7" i="10"/>
  <c r="L18" i="10"/>
  <c r="G13" i="10"/>
  <c r="I9" i="10"/>
  <c r="K18" i="10"/>
  <c r="M16" i="10"/>
  <c r="J7" i="10"/>
  <c r="L16" i="10"/>
  <c r="E13" i="10"/>
  <c r="E24" i="10"/>
  <c r="M14" i="10"/>
  <c r="D24" i="10"/>
  <c r="C13" i="10"/>
  <c r="E22" i="10"/>
  <c r="M10" i="10"/>
  <c r="M23" i="10"/>
  <c r="J14" i="10"/>
  <c r="L23" i="10"/>
  <c r="I14" i="10"/>
  <c r="K23" i="10"/>
  <c r="F16" i="10"/>
  <c r="C7" i="10"/>
  <c r="E16" i="10"/>
  <c r="I10" i="10"/>
  <c r="M17" i="10"/>
  <c r="J8" i="10"/>
  <c r="L17" i="10"/>
  <c r="I8" i="10"/>
  <c r="M15" i="10"/>
  <c r="F23" i="10"/>
  <c r="C14" i="10"/>
  <c r="G19" i="10"/>
  <c r="K24" i="10"/>
  <c r="M22" i="10"/>
  <c r="D19" i="10"/>
  <c r="F17" i="10"/>
  <c r="H15" i="10"/>
  <c r="J13" i="10"/>
  <c r="L9" i="10"/>
  <c r="C8" i="10"/>
  <c r="J24" i="10"/>
  <c r="G15" i="10"/>
  <c r="M7" i="10"/>
  <c r="K22" i="10"/>
  <c r="H13" i="10"/>
  <c r="H24" i="10"/>
  <c r="C17" i="10"/>
  <c r="K7" i="10"/>
  <c r="D15" i="10"/>
  <c r="F24" i="10"/>
  <c r="C15" i="10"/>
  <c r="G22" i="10"/>
  <c r="D13" i="10"/>
  <c r="F22" i="10"/>
  <c r="L14" i="10"/>
  <c r="C24" i="10"/>
  <c r="K14" i="10"/>
  <c r="D22" i="10"/>
  <c r="L10" i="10"/>
  <c r="C22" i="10"/>
  <c r="G16" i="10"/>
  <c r="D7" i="10"/>
  <c r="H14" i="10"/>
  <c r="J23" i="10"/>
  <c r="G14" i="10"/>
  <c r="K19" i="10"/>
  <c r="F14" i="10"/>
  <c r="J19" i="10"/>
  <c r="G10" i="10"/>
  <c r="K17" i="10"/>
  <c r="F10" i="10"/>
  <c r="H19" i="10"/>
  <c r="E10" i="10"/>
  <c r="K15" i="10"/>
  <c r="F8" i="10"/>
  <c r="D17" i="10"/>
  <c r="I22" i="10"/>
  <c r="H9" i="10"/>
  <c r="J18" i="10"/>
  <c r="I7" i="10"/>
  <c r="I18" i="10"/>
  <c r="H7" i="10"/>
  <c r="J16" i="10"/>
  <c r="E9" i="10"/>
  <c r="G18" i="10"/>
  <c r="D9" i="10"/>
  <c r="F18" i="10"/>
  <c r="C9" i="10"/>
  <c r="E18" i="10"/>
  <c r="K10" i="10"/>
  <c r="M19" i="10"/>
  <c r="J10" i="10"/>
  <c r="L19" i="10"/>
  <c r="K8" i="10"/>
  <c r="D16" i="10"/>
  <c r="H23" i="10"/>
  <c r="E14" i="10"/>
  <c r="I19" i="10"/>
  <c r="H8" i="10"/>
  <c r="J17" i="10"/>
  <c r="G8" i="10"/>
  <c r="I17" i="10"/>
  <c r="D10" i="10"/>
  <c r="Q20" i="9"/>
  <c r="L17" i="9"/>
  <c r="G16" i="9"/>
  <c r="Q13" i="9"/>
  <c r="L12" i="9"/>
  <c r="G11" i="9"/>
  <c r="Q8" i="9"/>
  <c r="L7" i="9"/>
  <c r="D16" i="9"/>
  <c r="N8" i="9"/>
  <c r="H17" i="9"/>
  <c r="H12" i="9"/>
  <c r="H7" i="9"/>
  <c r="Q15" i="9"/>
  <c r="L8" i="9"/>
  <c r="F17" i="9"/>
  <c r="F12" i="9"/>
  <c r="E17" i="9"/>
  <c r="E12" i="9"/>
  <c r="I20" i="9"/>
  <c r="I8" i="9"/>
  <c r="M15" i="9"/>
  <c r="C7" i="9"/>
  <c r="G13" i="9"/>
  <c r="F20" i="9"/>
  <c r="P11" i="9"/>
  <c r="O16" i="9"/>
  <c r="O11" i="9"/>
  <c r="I15" i="9"/>
  <c r="I9" i="9"/>
  <c r="H15" i="9"/>
  <c r="H9" i="9"/>
  <c r="G15" i="9"/>
  <c r="G9" i="9"/>
  <c r="K16" i="9"/>
  <c r="P7" i="9"/>
  <c r="E15" i="9"/>
  <c r="O7" i="9"/>
  <c r="N12" i="9"/>
  <c r="M17" i="9"/>
  <c r="H11" i="9"/>
  <c r="P20" i="9"/>
  <c r="K17" i="9"/>
  <c r="F16" i="9"/>
  <c r="P13" i="9"/>
  <c r="K12" i="9"/>
  <c r="F11" i="9"/>
  <c r="P8" i="9"/>
  <c r="K7" i="9"/>
  <c r="I17" i="9"/>
  <c r="I12" i="9"/>
  <c r="I7" i="9"/>
  <c r="C16" i="9"/>
  <c r="M8" i="9"/>
  <c r="G17" i="9"/>
  <c r="Q9" i="9"/>
  <c r="P15" i="9"/>
  <c r="P9" i="9"/>
  <c r="J20" i="9"/>
  <c r="O9" i="9"/>
  <c r="D17" i="9"/>
  <c r="N9" i="9"/>
  <c r="C17" i="9"/>
  <c r="H8" i="9"/>
  <c r="L15" i="9"/>
  <c r="L9" i="9"/>
  <c r="K15" i="9"/>
  <c r="E20" i="9"/>
  <c r="J9" i="9"/>
  <c r="N16" i="9"/>
  <c r="D8" i="9"/>
  <c r="C13" i="9"/>
  <c r="Q17" i="9"/>
  <c r="L11" i="9"/>
  <c r="F15" i="9"/>
  <c r="F9" i="9"/>
  <c r="O12" i="9"/>
  <c r="N17" i="9"/>
  <c r="I11" i="9"/>
  <c r="H16" i="9"/>
  <c r="C9" i="9"/>
  <c r="O20" i="9"/>
  <c r="J17" i="9"/>
  <c r="E16" i="9"/>
  <c r="O13" i="9"/>
  <c r="J12" i="9"/>
  <c r="E11" i="9"/>
  <c r="O8" i="9"/>
  <c r="J7" i="9"/>
  <c r="N20" i="9"/>
  <c r="D11" i="9"/>
  <c r="M20" i="9"/>
  <c r="M13" i="9"/>
  <c r="C11" i="9"/>
  <c r="L20" i="9"/>
  <c r="L13" i="9"/>
  <c r="G7" i="9"/>
  <c r="K13" i="9"/>
  <c r="K8" i="9"/>
  <c r="O15" i="9"/>
  <c r="J8" i="9"/>
  <c r="I13" i="9"/>
  <c r="D7" i="9"/>
  <c r="H13" i="9"/>
  <c r="M9" i="9"/>
  <c r="Q16" i="9"/>
  <c r="G8" i="9"/>
  <c r="F13" i="9"/>
  <c r="F8" i="9"/>
  <c r="J15" i="9"/>
  <c r="E8" i="9"/>
  <c r="D13" i="9"/>
  <c r="C20" i="9"/>
  <c r="M11" i="9"/>
  <c r="L16" i="9"/>
  <c r="Q7" i="9"/>
  <c r="P12" i="9"/>
  <c r="O17" i="9"/>
  <c r="J11" i="9"/>
  <c r="D15" i="9"/>
  <c r="D9" i="9"/>
  <c r="C15" i="9"/>
  <c r="N13" i="9"/>
  <c r="G12" i="9"/>
  <c r="K20" i="9"/>
  <c r="F7" i="9"/>
  <c r="J13" i="9"/>
  <c r="E7" i="9"/>
  <c r="N15" i="9"/>
  <c r="D12" i="9"/>
  <c r="H20" i="9"/>
  <c r="C12" i="9"/>
  <c r="G20" i="9"/>
  <c r="Q11" i="9"/>
  <c r="P16" i="9"/>
  <c r="K9" i="9"/>
  <c r="E13" i="9"/>
  <c r="D20" i="9"/>
  <c r="N11" i="9"/>
  <c r="M16" i="9"/>
  <c r="C8" i="9"/>
  <c r="Q12" i="9"/>
  <c r="P17" i="9"/>
  <c r="K11" i="9"/>
  <c r="J16" i="9"/>
  <c r="E9" i="9"/>
  <c r="I16" i="9"/>
  <c r="N7" i="9"/>
  <c r="M12" i="9"/>
  <c r="M7" i="9"/>
  <c r="Q22" i="8"/>
  <c r="L21" i="8"/>
  <c r="G20" i="8"/>
  <c r="Q16" i="8"/>
  <c r="L15" i="8"/>
  <c r="G14" i="8"/>
  <c r="Q12" i="8"/>
  <c r="L9" i="8"/>
  <c r="G8" i="8"/>
  <c r="N22" i="8"/>
  <c r="I15" i="8"/>
  <c r="I9" i="8"/>
  <c r="H21" i="8"/>
  <c r="M16" i="8"/>
  <c r="H9" i="8"/>
  <c r="G21" i="8"/>
  <c r="G15" i="8"/>
  <c r="G9" i="8"/>
  <c r="F21" i="8"/>
  <c r="P13" i="8"/>
  <c r="P7" i="8"/>
  <c r="O17" i="8"/>
  <c r="J12" i="8"/>
  <c r="D21" i="8"/>
  <c r="D15" i="8"/>
  <c r="D9" i="8"/>
  <c r="C21" i="8"/>
  <c r="M13" i="8"/>
  <c r="Q20" i="8"/>
  <c r="L13" i="8"/>
  <c r="F22" i="8"/>
  <c r="P14" i="8"/>
  <c r="O20" i="8"/>
  <c r="E12" i="8"/>
  <c r="N20" i="8"/>
  <c r="N8" i="8"/>
  <c r="H17" i="8"/>
  <c r="C12" i="8"/>
  <c r="L20" i="8"/>
  <c r="G13" i="8"/>
  <c r="P21" i="8"/>
  <c r="K14" i="8"/>
  <c r="F7" i="8"/>
  <c r="O15" i="8"/>
  <c r="J8" i="8"/>
  <c r="D17" i="8"/>
  <c r="N9" i="8"/>
  <c r="H20" i="8"/>
  <c r="M9" i="8"/>
  <c r="P22" i="8"/>
  <c r="K21" i="8"/>
  <c r="F20" i="8"/>
  <c r="P16" i="8"/>
  <c r="K15" i="8"/>
  <c r="F14" i="8"/>
  <c r="P12" i="8"/>
  <c r="K9" i="8"/>
  <c r="F8" i="8"/>
  <c r="D20" i="8"/>
  <c r="D14" i="8"/>
  <c r="M22" i="8"/>
  <c r="C14" i="8"/>
  <c r="C8" i="8"/>
  <c r="Q17" i="8"/>
  <c r="Q13" i="8"/>
  <c r="K22" i="8"/>
  <c r="F15" i="8"/>
  <c r="K12" i="8"/>
  <c r="E21" i="8"/>
  <c r="E15" i="8"/>
  <c r="E9" i="8"/>
  <c r="N17" i="8"/>
  <c r="I12" i="8"/>
  <c r="M17" i="8"/>
  <c r="H12" i="8"/>
  <c r="G22" i="8"/>
  <c r="Q14" i="8"/>
  <c r="L7" i="8"/>
  <c r="F16" i="8"/>
  <c r="F12" i="8"/>
  <c r="K7" i="8"/>
  <c r="E16" i="8"/>
  <c r="J13" i="8"/>
  <c r="J7" i="8"/>
  <c r="I17" i="8"/>
  <c r="I13" i="8"/>
  <c r="C22" i="8"/>
  <c r="M14" i="8"/>
  <c r="H7" i="8"/>
  <c r="Q15" i="8"/>
  <c r="L8" i="8"/>
  <c r="F17" i="8"/>
  <c r="P9" i="8"/>
  <c r="J20" i="8"/>
  <c r="E13" i="8"/>
  <c r="E7" i="8"/>
  <c r="N15" i="8"/>
  <c r="I8" i="8"/>
  <c r="C17" i="8"/>
  <c r="C13" i="8"/>
  <c r="C7" i="8"/>
  <c r="O22" i="8"/>
  <c r="J21" i="8"/>
  <c r="E20" i="8"/>
  <c r="O16" i="8"/>
  <c r="J15" i="8"/>
  <c r="E14" i="8"/>
  <c r="O12" i="8"/>
  <c r="J9" i="8"/>
  <c r="E8" i="8"/>
  <c r="I21" i="8"/>
  <c r="N16" i="8"/>
  <c r="N12" i="8"/>
  <c r="C20" i="8"/>
  <c r="H15" i="8"/>
  <c r="M12" i="8"/>
  <c r="L22" i="8"/>
  <c r="L16" i="8"/>
  <c r="Q7" i="8"/>
  <c r="K16" i="8"/>
  <c r="F9" i="8"/>
  <c r="J16" i="8"/>
  <c r="O7" i="8"/>
  <c r="I16" i="8"/>
  <c r="H22" i="8"/>
  <c r="C15" i="8"/>
  <c r="M7" i="8"/>
  <c r="G16" i="8"/>
  <c r="Q8" i="8"/>
  <c r="K17" i="8"/>
  <c r="P8" i="8"/>
  <c r="J17" i="8"/>
  <c r="O14" i="8"/>
  <c r="D22" i="8"/>
  <c r="N14" i="8"/>
  <c r="I7" i="8"/>
  <c r="C16" i="8"/>
  <c r="M8" i="8"/>
  <c r="G17" i="8"/>
  <c r="Q9" i="8"/>
  <c r="K20" i="8"/>
  <c r="F13" i="8"/>
  <c r="O21" i="8"/>
  <c r="J14" i="8"/>
  <c r="I20" i="8"/>
  <c r="D13" i="8"/>
  <c r="M21" i="8"/>
  <c r="H14" i="8"/>
  <c r="D8" i="8"/>
  <c r="L12" i="8"/>
  <c r="P17" i="8"/>
  <c r="J22" i="8"/>
  <c r="O13" i="8"/>
  <c r="I22" i="8"/>
  <c r="N13" i="8"/>
  <c r="N7" i="8"/>
  <c r="H16" i="8"/>
  <c r="C9" i="8"/>
  <c r="L17" i="8"/>
  <c r="G12" i="8"/>
  <c r="P20" i="8"/>
  <c r="K13" i="8"/>
  <c r="E22" i="8"/>
  <c r="O8" i="8"/>
  <c r="D16" i="8"/>
  <c r="D12" i="8"/>
  <c r="M20" i="8"/>
  <c r="H13" i="8"/>
  <c r="Q21" i="8"/>
  <c r="L14" i="8"/>
  <c r="G7" i="8"/>
  <c r="P15" i="8"/>
  <c r="K8" i="8"/>
  <c r="E17" i="8"/>
  <c r="O9" i="8"/>
  <c r="N21" i="8"/>
  <c r="I14" i="8"/>
  <c r="D7" i="8"/>
  <c r="M15" i="8"/>
  <c r="H8" i="8"/>
  <c r="U20" i="7"/>
  <c r="T17" i="7"/>
  <c r="S16" i="7"/>
  <c r="R15" i="7"/>
  <c r="Q13" i="7"/>
  <c r="P12" i="7"/>
  <c r="O11" i="7"/>
  <c r="N9" i="7"/>
  <c r="M8" i="7"/>
  <c r="L7" i="7"/>
  <c r="P16" i="7"/>
  <c r="N13" i="7"/>
  <c r="K9" i="7"/>
  <c r="Q20" i="7"/>
  <c r="M13" i="7"/>
  <c r="J9" i="7"/>
  <c r="H7" i="7"/>
  <c r="N16" i="7"/>
  <c r="K12" i="7"/>
  <c r="G7" i="7"/>
  <c r="L15" i="7"/>
  <c r="I11" i="7"/>
  <c r="N20" i="7"/>
  <c r="J13" i="7"/>
  <c r="F8" i="7"/>
  <c r="M20" i="7"/>
  <c r="F9" i="7"/>
  <c r="K17" i="7"/>
  <c r="H13" i="7"/>
  <c r="D8" i="7"/>
  <c r="H15" i="7"/>
  <c r="D9" i="7"/>
  <c r="H16" i="7"/>
  <c r="F13" i="7"/>
  <c r="U7" i="7"/>
  <c r="F15" i="7"/>
  <c r="U8" i="7"/>
  <c r="F16" i="7"/>
  <c r="D13" i="7"/>
  <c r="S7" i="7"/>
  <c r="D15" i="7"/>
  <c r="S8" i="7"/>
  <c r="E17" i="7"/>
  <c r="T11" i="7"/>
  <c r="E20" i="7"/>
  <c r="S11" i="7"/>
  <c r="D20" i="7"/>
  <c r="Q9" i="7"/>
  <c r="U16" i="7"/>
  <c r="P9" i="7"/>
  <c r="T16" i="7"/>
  <c r="Q12" i="7"/>
  <c r="T20" i="7"/>
  <c r="S17" i="7"/>
  <c r="R16" i="7"/>
  <c r="Q15" i="7"/>
  <c r="P13" i="7"/>
  <c r="O12" i="7"/>
  <c r="N11" i="7"/>
  <c r="M9" i="7"/>
  <c r="L8" i="7"/>
  <c r="K7" i="7"/>
  <c r="Q17" i="7"/>
  <c r="O15" i="7"/>
  <c r="L11" i="7"/>
  <c r="I7" i="7"/>
  <c r="O16" i="7"/>
  <c r="L12" i="7"/>
  <c r="I8" i="7"/>
  <c r="O17" i="7"/>
  <c r="L13" i="7"/>
  <c r="H8" i="7"/>
  <c r="M16" i="7"/>
  <c r="H9" i="7"/>
  <c r="M17" i="7"/>
  <c r="I12" i="7"/>
  <c r="K16" i="7"/>
  <c r="I13" i="7"/>
  <c r="E8" i="7"/>
  <c r="I15" i="7"/>
  <c r="E9" i="7"/>
  <c r="J17" i="7"/>
  <c r="G13" i="7"/>
  <c r="C8" i="7"/>
  <c r="G15" i="7"/>
  <c r="C9" i="7"/>
  <c r="H17" i="7"/>
  <c r="D12" i="7"/>
  <c r="T7" i="7"/>
  <c r="E15" i="7"/>
  <c r="T8" i="7"/>
  <c r="E16" i="7"/>
  <c r="T9" i="7"/>
  <c r="D16" i="7"/>
  <c r="S9" i="7"/>
  <c r="C16" i="7"/>
  <c r="Q8" i="7"/>
  <c r="U15" i="7"/>
  <c r="R11" i="7"/>
  <c r="C20" i="7"/>
  <c r="R12" i="7"/>
  <c r="N7" i="7"/>
  <c r="R13" i="7"/>
  <c r="N8" i="7"/>
  <c r="S20" i="7"/>
  <c r="R17" i="7"/>
  <c r="Q16" i="7"/>
  <c r="P15" i="7"/>
  <c r="O13" i="7"/>
  <c r="N12" i="7"/>
  <c r="M11" i="7"/>
  <c r="L9" i="7"/>
  <c r="K8" i="7"/>
  <c r="J7" i="7"/>
  <c r="R20" i="7"/>
  <c r="M12" i="7"/>
  <c r="J8" i="7"/>
  <c r="P17" i="7"/>
  <c r="K11" i="7"/>
  <c r="P20" i="7"/>
  <c r="M15" i="7"/>
  <c r="I9" i="7"/>
  <c r="O20" i="7"/>
  <c r="K13" i="7"/>
  <c r="G8" i="7"/>
  <c r="K15" i="7"/>
  <c r="H11" i="7"/>
  <c r="L17" i="7"/>
  <c r="G11" i="7"/>
  <c r="L20" i="7"/>
  <c r="G12" i="7"/>
  <c r="K20" i="7"/>
  <c r="F12" i="7"/>
  <c r="I17" i="7"/>
  <c r="D11" i="7"/>
  <c r="G16" i="7"/>
  <c r="C11" i="7"/>
  <c r="G17" i="7"/>
  <c r="C12" i="7"/>
  <c r="F17" i="7"/>
  <c r="U11" i="7"/>
  <c r="F20" i="7"/>
  <c r="U12" i="7"/>
  <c r="Q7" i="7"/>
  <c r="U13" i="7"/>
  <c r="R9" i="7"/>
  <c r="C17" i="7"/>
  <c r="S12" i="7"/>
  <c r="O7" i="7"/>
  <c r="S13" i="7"/>
  <c r="O8" i="7"/>
  <c r="S15" i="7"/>
  <c r="O9" i="7"/>
  <c r="N15" i="7"/>
  <c r="J11" i="7"/>
  <c r="N17" i="7"/>
  <c r="J12" i="7"/>
  <c r="F7" i="7"/>
  <c r="L16" i="7"/>
  <c r="G9" i="7"/>
  <c r="E7" i="7"/>
  <c r="J15" i="7"/>
  <c r="H12" i="7"/>
  <c r="D7" i="7"/>
  <c r="J16" i="7"/>
  <c r="F11" i="7"/>
  <c r="C7" i="7"/>
  <c r="I16" i="7"/>
  <c r="E11" i="7"/>
  <c r="J20" i="7"/>
  <c r="E12" i="7"/>
  <c r="I20" i="7"/>
  <c r="E13" i="7"/>
  <c r="H20" i="7"/>
  <c r="U9" i="7"/>
  <c r="G20" i="7"/>
  <c r="C13" i="7"/>
  <c r="R7" i="7"/>
  <c r="C15" i="7"/>
  <c r="R8" i="7"/>
  <c r="D17" i="7"/>
  <c r="T12" i="7"/>
  <c r="P7" i="7"/>
  <c r="T13" i="7"/>
  <c r="P8" i="7"/>
  <c r="T15" i="7"/>
  <c r="Q11" i="7"/>
  <c r="U17" i="7"/>
  <c r="P11" i="7"/>
  <c r="M7" i="7"/>
  <c r="U23" i="6"/>
  <c r="T22" i="6"/>
  <c r="S21" i="6"/>
  <c r="R18" i="6"/>
  <c r="Q17" i="6"/>
  <c r="P16" i="6"/>
  <c r="O15" i="6"/>
  <c r="N14" i="6"/>
  <c r="M13" i="6"/>
  <c r="L12" i="6"/>
  <c r="K9" i="6"/>
  <c r="J8" i="6"/>
  <c r="I7" i="6"/>
  <c r="R22" i="6"/>
  <c r="Q21" i="6"/>
  <c r="O17" i="6"/>
  <c r="M15" i="6"/>
  <c r="K13" i="6"/>
  <c r="I9" i="6"/>
  <c r="G7" i="6"/>
  <c r="J13" i="6"/>
  <c r="G8" i="6"/>
  <c r="Q23" i="6"/>
  <c r="N18" i="6"/>
  <c r="J14" i="6"/>
  <c r="F8" i="6"/>
  <c r="O22" i="6"/>
  <c r="L17" i="6"/>
  <c r="I14" i="6"/>
  <c r="E8" i="6"/>
  <c r="N22" i="6"/>
  <c r="L18" i="6"/>
  <c r="I15" i="6"/>
  <c r="F12" i="6"/>
  <c r="C7" i="6"/>
  <c r="L21" i="6"/>
  <c r="I16" i="6"/>
  <c r="F13" i="6"/>
  <c r="C8" i="6"/>
  <c r="K21" i="6"/>
  <c r="H16" i="6"/>
  <c r="E13" i="6"/>
  <c r="U7" i="6"/>
  <c r="J21" i="6"/>
  <c r="G16" i="6"/>
  <c r="D13" i="6"/>
  <c r="T7" i="6"/>
  <c r="I21" i="6"/>
  <c r="F16" i="6"/>
  <c r="T8" i="6"/>
  <c r="I22" i="6"/>
  <c r="F17" i="6"/>
  <c r="U12" i="6"/>
  <c r="R7" i="6"/>
  <c r="G21" i="6"/>
  <c r="D16" i="6"/>
  <c r="T12" i="6"/>
  <c r="Q7" i="6"/>
  <c r="F21" i="6"/>
  <c r="C16" i="6"/>
  <c r="S12" i="6"/>
  <c r="P7" i="6"/>
  <c r="E21" i="6"/>
  <c r="U15" i="6"/>
  <c r="R12" i="6"/>
  <c r="O7" i="6"/>
  <c r="D21" i="6"/>
  <c r="T15" i="6"/>
  <c r="Q12" i="6"/>
  <c r="N7" i="6"/>
  <c r="C21" i="6"/>
  <c r="S15" i="6"/>
  <c r="P12" i="6"/>
  <c r="M7" i="6"/>
  <c r="U18" i="6"/>
  <c r="R15" i="6"/>
  <c r="O12" i="6"/>
  <c r="L7" i="6"/>
  <c r="T18" i="6"/>
  <c r="Q15" i="6"/>
  <c r="N12" i="6"/>
  <c r="K7" i="6"/>
  <c r="S18" i="6"/>
  <c r="P15" i="6"/>
  <c r="M12" i="6"/>
  <c r="J7" i="6"/>
  <c r="T23" i="6"/>
  <c r="S22" i="6"/>
  <c r="R21" i="6"/>
  <c r="Q18" i="6"/>
  <c r="P17" i="6"/>
  <c r="O16" i="6"/>
  <c r="N15" i="6"/>
  <c r="M14" i="6"/>
  <c r="L13" i="6"/>
  <c r="K12" i="6"/>
  <c r="J9" i="6"/>
  <c r="I8" i="6"/>
  <c r="H7" i="6"/>
  <c r="S23" i="6"/>
  <c r="P18" i="6"/>
  <c r="N16" i="6"/>
  <c r="L14" i="6"/>
  <c r="J12" i="6"/>
  <c r="H8" i="6"/>
  <c r="K14" i="6"/>
  <c r="H9" i="6"/>
  <c r="F7" i="6"/>
  <c r="O21" i="6"/>
  <c r="L16" i="6"/>
  <c r="K15" i="6"/>
  <c r="H12" i="6"/>
  <c r="E7" i="6"/>
  <c r="N21" i="6"/>
  <c r="K16" i="6"/>
  <c r="H13" i="6"/>
  <c r="F9" i="6"/>
  <c r="O23" i="6"/>
  <c r="K17" i="6"/>
  <c r="H14" i="6"/>
  <c r="E9" i="6"/>
  <c r="N23" i="6"/>
  <c r="K18" i="6"/>
  <c r="H15" i="6"/>
  <c r="E12" i="6"/>
  <c r="L22" i="6"/>
  <c r="I17" i="6"/>
  <c r="F14" i="6"/>
  <c r="C9" i="6"/>
  <c r="L23" i="6"/>
  <c r="H17" i="6"/>
  <c r="E14" i="6"/>
  <c r="U8" i="6"/>
  <c r="J22" i="6"/>
  <c r="G17" i="6"/>
  <c r="D14" i="6"/>
  <c r="U9" i="6"/>
  <c r="J23" i="6"/>
  <c r="G18" i="6"/>
  <c r="D15" i="6"/>
  <c r="T9" i="6"/>
  <c r="I23" i="6"/>
  <c r="F18" i="6"/>
  <c r="U13" i="6"/>
  <c r="R8" i="6"/>
  <c r="G22" i="6"/>
  <c r="E18" i="6"/>
  <c r="U14" i="6"/>
  <c r="R9" i="6"/>
  <c r="G23" i="6"/>
  <c r="C17" i="6"/>
  <c r="S13" i="6"/>
  <c r="P8" i="6"/>
  <c r="E22" i="6"/>
  <c r="C18" i="6"/>
  <c r="S14" i="6"/>
  <c r="P9" i="6"/>
  <c r="E23" i="6"/>
  <c r="T16" i="6"/>
  <c r="Q13" i="6"/>
  <c r="N8" i="6"/>
  <c r="C22" i="6"/>
  <c r="S16" i="6"/>
  <c r="P13" i="6"/>
  <c r="N9" i="6"/>
  <c r="C23" i="6"/>
  <c r="R16" i="6"/>
  <c r="O13" i="6"/>
  <c r="L8" i="6"/>
  <c r="U22" i="6"/>
  <c r="R17" i="6"/>
  <c r="O14" i="6"/>
  <c r="L9" i="6"/>
  <c r="R23" i="6"/>
  <c r="Q22" i="6"/>
  <c r="P21" i="6"/>
  <c r="O18" i="6"/>
  <c r="N17" i="6"/>
  <c r="M16" i="6"/>
  <c r="L15" i="6"/>
  <c r="I12" i="6"/>
  <c r="P22" i="6"/>
  <c r="M17" i="6"/>
  <c r="I13" i="6"/>
  <c r="G9" i="6"/>
  <c r="P23" i="6"/>
  <c r="M18" i="6"/>
  <c r="J15" i="6"/>
  <c r="G12" i="6"/>
  <c r="D7" i="6"/>
  <c r="M21" i="6"/>
  <c r="J16" i="6"/>
  <c r="G13" i="6"/>
  <c r="D8" i="6"/>
  <c r="M22" i="6"/>
  <c r="J17" i="6"/>
  <c r="G14" i="6"/>
  <c r="D9" i="6"/>
  <c r="M23" i="6"/>
  <c r="J18" i="6"/>
  <c r="G15" i="6"/>
  <c r="D12" i="6"/>
  <c r="K22" i="6"/>
  <c r="I18" i="6"/>
  <c r="F15" i="6"/>
  <c r="C12" i="6"/>
  <c r="K23" i="6"/>
  <c r="H18" i="6"/>
  <c r="E15" i="6"/>
  <c r="C13" i="6"/>
  <c r="S7" i="6"/>
  <c r="H21" i="6"/>
  <c r="E16" i="6"/>
  <c r="C14" i="6"/>
  <c r="S8" i="6"/>
  <c r="H22" i="6"/>
  <c r="E17" i="6"/>
  <c r="C15" i="6"/>
  <c r="S9" i="6"/>
  <c r="H23" i="6"/>
  <c r="D17" i="6"/>
  <c r="T13" i="6"/>
  <c r="Q8" i="6"/>
  <c r="F22" i="6"/>
  <c r="D18" i="6"/>
  <c r="T14" i="6"/>
  <c r="Q9" i="6"/>
  <c r="F23" i="6"/>
  <c r="U16" i="6"/>
  <c r="R13" i="6"/>
  <c r="O8" i="6"/>
  <c r="D22" i="6"/>
  <c r="U17" i="6"/>
  <c r="R14" i="6"/>
  <c r="O9" i="6"/>
  <c r="D23" i="6"/>
  <c r="T17" i="6"/>
  <c r="Q14" i="6"/>
  <c r="M8" i="6"/>
  <c r="U21" i="6"/>
  <c r="S17" i="6"/>
  <c r="P14" i="6"/>
  <c r="M9" i="6"/>
  <c r="T21" i="6"/>
  <c r="Q16" i="6"/>
  <c r="N13" i="6"/>
  <c r="K8" i="6"/>
  <c r="R25" i="5"/>
  <c r="N22" i="5"/>
  <c r="J21" i="5"/>
  <c r="F20" i="5"/>
  <c r="R17" i="5"/>
  <c r="N16" i="5"/>
  <c r="J14" i="5"/>
  <c r="F13" i="5"/>
  <c r="R10" i="5"/>
  <c r="N9" i="5"/>
  <c r="J8" i="5"/>
  <c r="F7" i="5"/>
  <c r="M9" i="5"/>
  <c r="L22" i="5"/>
  <c r="D20" i="5"/>
  <c r="P17" i="5"/>
  <c r="H14" i="5"/>
  <c r="D13" i="5"/>
  <c r="H8" i="5"/>
  <c r="O25" i="5"/>
  <c r="G21" i="5"/>
  <c r="C20" i="5"/>
  <c r="O17" i="5"/>
  <c r="G14" i="5"/>
  <c r="C13" i="5"/>
  <c r="K9" i="5"/>
  <c r="C7" i="5"/>
  <c r="J22" i="5"/>
  <c r="F21" i="5"/>
  <c r="R18" i="5"/>
  <c r="J16" i="5"/>
  <c r="N10" i="5"/>
  <c r="F8" i="5"/>
  <c r="R6" i="5"/>
  <c r="M25" i="5"/>
  <c r="M17" i="5"/>
  <c r="I16" i="5"/>
  <c r="E14" i="5"/>
  <c r="M10" i="5"/>
  <c r="E8" i="5"/>
  <c r="Q6" i="5"/>
  <c r="H22" i="5"/>
  <c r="P18" i="5"/>
  <c r="L17" i="5"/>
  <c r="D14" i="5"/>
  <c r="L10" i="5"/>
  <c r="D8" i="5"/>
  <c r="E22" i="5"/>
  <c r="I17" i="5"/>
  <c r="Q13" i="5"/>
  <c r="I10" i="5"/>
  <c r="M6" i="5"/>
  <c r="H25" i="5"/>
  <c r="L18" i="5"/>
  <c r="P13" i="5"/>
  <c r="H10" i="5"/>
  <c r="P7" i="5"/>
  <c r="G25" i="5"/>
  <c r="K18" i="5"/>
  <c r="C16" i="5"/>
  <c r="O13" i="5"/>
  <c r="G10" i="5"/>
  <c r="O7" i="5"/>
  <c r="K6" i="5"/>
  <c r="F25" i="5"/>
  <c r="R14" i="5"/>
  <c r="F10" i="5"/>
  <c r="J6" i="5"/>
  <c r="Q21" i="5"/>
  <c r="E17" i="5"/>
  <c r="M13" i="5"/>
  <c r="Q8" i="5"/>
  <c r="I6" i="5"/>
  <c r="L20" i="5"/>
  <c r="H18" i="5"/>
  <c r="L13" i="5"/>
  <c r="H12" i="5"/>
  <c r="L7" i="5"/>
  <c r="O21" i="5"/>
  <c r="O14" i="5"/>
  <c r="G12" i="5"/>
  <c r="K7" i="5"/>
  <c r="R22" i="5"/>
  <c r="F18" i="5"/>
  <c r="J13" i="5"/>
  <c r="N8" i="5"/>
  <c r="F6" i="5"/>
  <c r="E18" i="5"/>
  <c r="M14" i="5"/>
  <c r="E12" i="5"/>
  <c r="I7" i="5"/>
  <c r="P22" i="5"/>
  <c r="P16" i="5"/>
  <c r="D12" i="5"/>
  <c r="H7" i="5"/>
  <c r="G20" i="5"/>
  <c r="O16" i="5"/>
  <c r="C12" i="5"/>
  <c r="G7" i="5"/>
  <c r="Q25" i="5"/>
  <c r="M22" i="5"/>
  <c r="I21" i="5"/>
  <c r="E20" i="5"/>
  <c r="Q17" i="5"/>
  <c r="M16" i="5"/>
  <c r="I14" i="5"/>
  <c r="E13" i="5"/>
  <c r="Q10" i="5"/>
  <c r="I8" i="5"/>
  <c r="E7" i="5"/>
  <c r="H21" i="5"/>
  <c r="L16" i="5"/>
  <c r="P10" i="5"/>
  <c r="L9" i="5"/>
  <c r="D7" i="5"/>
  <c r="K22" i="5"/>
  <c r="K16" i="5"/>
  <c r="O10" i="5"/>
  <c r="G8" i="5"/>
  <c r="N25" i="5"/>
  <c r="N17" i="5"/>
  <c r="F14" i="5"/>
  <c r="R12" i="5"/>
  <c r="J9" i="5"/>
  <c r="I22" i="5"/>
  <c r="Q18" i="5"/>
  <c r="Q12" i="5"/>
  <c r="I9" i="5"/>
  <c r="L25" i="5"/>
  <c r="D21" i="5"/>
  <c r="H16" i="5"/>
  <c r="P12" i="5"/>
  <c r="H9" i="5"/>
  <c r="P6" i="5"/>
  <c r="M18" i="5"/>
  <c r="M12" i="5"/>
  <c r="Q7" i="5"/>
  <c r="P20" i="5"/>
  <c r="H17" i="5"/>
  <c r="L12" i="5"/>
  <c r="L6" i="5"/>
  <c r="O20" i="5"/>
  <c r="C9" i="5"/>
  <c r="N20" i="5"/>
  <c r="F17" i="5"/>
  <c r="N13" i="5"/>
  <c r="R8" i="5"/>
  <c r="E25" i="5"/>
  <c r="I12" i="5"/>
  <c r="D25" i="5"/>
  <c r="D17" i="5"/>
  <c r="D10" i="5"/>
  <c r="C25" i="5"/>
  <c r="C17" i="5"/>
  <c r="C10" i="5"/>
  <c r="G6" i="5"/>
  <c r="J20" i="5"/>
  <c r="R16" i="5"/>
  <c r="F12" i="5"/>
  <c r="J7" i="5"/>
  <c r="M21" i="5"/>
  <c r="Q16" i="5"/>
  <c r="I13" i="5"/>
  <c r="M8" i="5"/>
  <c r="H20" i="5"/>
  <c r="D18" i="5"/>
  <c r="H13" i="5"/>
  <c r="P9" i="5"/>
  <c r="D6" i="5"/>
  <c r="K21" i="5"/>
  <c r="C18" i="5"/>
  <c r="G13" i="5"/>
  <c r="C6" i="5"/>
  <c r="P25" i="5"/>
  <c r="E21" i="5"/>
  <c r="Q20" i="5"/>
  <c r="G17" i="5"/>
  <c r="I18" i="5"/>
  <c r="K20" i="5"/>
  <c r="Q22" i="5"/>
  <c r="O9" i="5"/>
  <c r="K25" i="5"/>
  <c r="G22" i="5"/>
  <c r="C21" i="5"/>
  <c r="O18" i="5"/>
  <c r="K17" i="5"/>
  <c r="G16" i="5"/>
  <c r="C14" i="5"/>
  <c r="O12" i="5"/>
  <c r="K10" i="5"/>
  <c r="G9" i="5"/>
  <c r="C8" i="5"/>
  <c r="O6" i="5"/>
  <c r="J25" i="5"/>
  <c r="F22" i="5"/>
  <c r="R20" i="5"/>
  <c r="N18" i="5"/>
  <c r="J17" i="5"/>
  <c r="F16" i="5"/>
  <c r="R13" i="5"/>
  <c r="N12" i="5"/>
  <c r="J10" i="5"/>
  <c r="F9" i="5"/>
  <c r="R7" i="5"/>
  <c r="N6" i="5"/>
  <c r="I25" i="5"/>
  <c r="E16" i="5"/>
  <c r="E9" i="5"/>
  <c r="D22" i="5"/>
  <c r="D16" i="5"/>
  <c r="D9" i="5"/>
  <c r="C22" i="5"/>
  <c r="K12" i="5"/>
  <c r="R21" i="5"/>
  <c r="J18" i="5"/>
  <c r="J12" i="5"/>
  <c r="N7" i="5"/>
  <c r="M20" i="5"/>
  <c r="Q14" i="5"/>
  <c r="E10" i="5"/>
  <c r="M7" i="5"/>
  <c r="P21" i="5"/>
  <c r="P14" i="5"/>
  <c r="P8" i="5"/>
  <c r="H6" i="5"/>
  <c r="G18" i="5"/>
  <c r="K13" i="5"/>
  <c r="O8" i="5"/>
  <c r="N21" i="5"/>
  <c r="N14" i="5"/>
  <c r="R9" i="5"/>
  <c r="I20" i="5"/>
  <c r="Q9" i="5"/>
  <c r="E6" i="5"/>
  <c r="L21" i="5"/>
  <c r="L14" i="5"/>
  <c r="L8" i="5"/>
  <c r="O22" i="5"/>
  <c r="K14" i="5"/>
  <c r="K8" i="5"/>
  <c r="R24" i="4"/>
  <c r="N23" i="4"/>
  <c r="J22" i="4"/>
  <c r="F19" i="4"/>
  <c r="R17" i="4"/>
  <c r="N16" i="4"/>
  <c r="J15" i="4"/>
  <c r="F14" i="4"/>
  <c r="R10" i="4"/>
  <c r="N9" i="4"/>
  <c r="J8" i="4"/>
  <c r="F7" i="4"/>
  <c r="C19" i="4"/>
  <c r="K16" i="4"/>
  <c r="C14" i="4"/>
  <c r="C7" i="4"/>
  <c r="F22" i="4"/>
  <c r="F15" i="4"/>
  <c r="F8" i="4"/>
  <c r="Q18" i="4"/>
  <c r="Q13" i="4"/>
  <c r="E8" i="4"/>
  <c r="D22" i="4"/>
  <c r="D15" i="4"/>
  <c r="G23" i="4"/>
  <c r="G16" i="4"/>
  <c r="G9" i="4"/>
  <c r="R19" i="4"/>
  <c r="F16" i="4"/>
  <c r="F9" i="4"/>
  <c r="E23" i="4"/>
  <c r="E16" i="4"/>
  <c r="E9" i="4"/>
  <c r="P19" i="4"/>
  <c r="D16" i="4"/>
  <c r="D9" i="4"/>
  <c r="C23" i="4"/>
  <c r="K13" i="4"/>
  <c r="F24" i="4"/>
  <c r="F17" i="4"/>
  <c r="N7" i="4"/>
  <c r="I18" i="4"/>
  <c r="I13" i="4"/>
  <c r="D24" i="4"/>
  <c r="D17" i="4"/>
  <c r="P8" i="4"/>
  <c r="O22" i="4"/>
  <c r="G13" i="4"/>
  <c r="R23" i="4"/>
  <c r="J14" i="4"/>
  <c r="J7" i="4"/>
  <c r="E18" i="4"/>
  <c r="E13" i="4"/>
  <c r="P23" i="4"/>
  <c r="P16" i="4"/>
  <c r="P9" i="4"/>
  <c r="O23" i="4"/>
  <c r="O16" i="4"/>
  <c r="O9" i="4"/>
  <c r="Q24" i="4"/>
  <c r="M23" i="4"/>
  <c r="I22" i="4"/>
  <c r="E19" i="4"/>
  <c r="Q17" i="4"/>
  <c r="M16" i="4"/>
  <c r="I15" i="4"/>
  <c r="E14" i="4"/>
  <c r="Q10" i="4"/>
  <c r="M9" i="4"/>
  <c r="I8" i="4"/>
  <c r="E7" i="4"/>
  <c r="G22" i="4"/>
  <c r="O17" i="4"/>
  <c r="K9" i="4"/>
  <c r="N24" i="4"/>
  <c r="N17" i="4"/>
  <c r="R13" i="4"/>
  <c r="M24" i="4"/>
  <c r="M17" i="4"/>
  <c r="M10" i="4"/>
  <c r="H23" i="4"/>
  <c r="H16" i="4"/>
  <c r="H9" i="4"/>
  <c r="C22" i="4"/>
  <c r="C15" i="4"/>
  <c r="C8" i="4"/>
  <c r="N18" i="4"/>
  <c r="N13" i="4"/>
  <c r="R7" i="4"/>
  <c r="Q19" i="4"/>
  <c r="M13" i="4"/>
  <c r="H24" i="4"/>
  <c r="H17" i="4"/>
  <c r="H10" i="4"/>
  <c r="O19" i="4"/>
  <c r="O14" i="4"/>
  <c r="O7" i="4"/>
  <c r="R22" i="4"/>
  <c r="J13" i="4"/>
  <c r="E24" i="4"/>
  <c r="E17" i="4"/>
  <c r="E10" i="4"/>
  <c r="P22" i="4"/>
  <c r="P15" i="4"/>
  <c r="D10" i="4"/>
  <c r="G18" i="4"/>
  <c r="K14" i="4"/>
  <c r="K7" i="4"/>
  <c r="F18" i="4"/>
  <c r="N15" i="4"/>
  <c r="N8" i="4"/>
  <c r="M22" i="4"/>
  <c r="I14" i="4"/>
  <c r="I7" i="4"/>
  <c r="D18" i="4"/>
  <c r="H14" i="4"/>
  <c r="H7" i="4"/>
  <c r="C18" i="4"/>
  <c r="G14" i="4"/>
  <c r="G7" i="4"/>
  <c r="P24" i="4"/>
  <c r="L23" i="4"/>
  <c r="H22" i="4"/>
  <c r="D19" i="4"/>
  <c r="P17" i="4"/>
  <c r="L16" i="4"/>
  <c r="H15" i="4"/>
  <c r="D14" i="4"/>
  <c r="P10" i="4"/>
  <c r="L9" i="4"/>
  <c r="H8" i="4"/>
  <c r="D7" i="4"/>
  <c r="K23" i="4"/>
  <c r="G15" i="4"/>
  <c r="G8" i="4"/>
  <c r="J23" i="4"/>
  <c r="J16" i="4"/>
  <c r="J9" i="4"/>
  <c r="E22" i="4"/>
  <c r="I16" i="4"/>
  <c r="I9" i="4"/>
  <c r="P18" i="4"/>
  <c r="P13" i="4"/>
  <c r="D8" i="4"/>
  <c r="O18" i="4"/>
  <c r="O13" i="4"/>
  <c r="J24" i="4"/>
  <c r="J17" i="4"/>
  <c r="J10" i="4"/>
  <c r="M18" i="4"/>
  <c r="Q14" i="4"/>
  <c r="Q7" i="4"/>
  <c r="L18" i="4"/>
  <c r="L13" i="4"/>
  <c r="P7" i="4"/>
  <c r="K18" i="4"/>
  <c r="C16" i="4"/>
  <c r="G10" i="4"/>
  <c r="J18" i="4"/>
  <c r="N14" i="4"/>
  <c r="R8" i="4"/>
  <c r="M19" i="4"/>
  <c r="M14" i="4"/>
  <c r="Q8" i="4"/>
  <c r="L19" i="4"/>
  <c r="L14" i="4"/>
  <c r="L7" i="4"/>
  <c r="K19" i="4"/>
  <c r="O15" i="4"/>
  <c r="O8" i="4"/>
  <c r="J19" i="4"/>
  <c r="R16" i="4"/>
  <c r="R9" i="4"/>
  <c r="I19" i="4"/>
  <c r="M15" i="4"/>
  <c r="M8" i="4"/>
  <c r="H19" i="4"/>
  <c r="D13" i="4"/>
  <c r="K22" i="4"/>
  <c r="K15" i="4"/>
  <c r="K8" i="4"/>
  <c r="O24" i="4"/>
  <c r="O10" i="4"/>
  <c r="R18" i="4"/>
  <c r="N10" i="4"/>
  <c r="I23" i="4"/>
  <c r="E15" i="4"/>
  <c r="L24" i="4"/>
  <c r="L17" i="4"/>
  <c r="L10" i="4"/>
  <c r="K24" i="4"/>
  <c r="K17" i="4"/>
  <c r="K10" i="4"/>
  <c r="F23" i="4"/>
  <c r="R14" i="4"/>
  <c r="I24" i="4"/>
  <c r="I17" i="4"/>
  <c r="I10" i="4"/>
  <c r="D23" i="4"/>
  <c r="P14" i="4"/>
  <c r="G24" i="4"/>
  <c r="G17" i="4"/>
  <c r="C9" i="4"/>
  <c r="N19" i="4"/>
  <c r="R15" i="4"/>
  <c r="F10" i="4"/>
  <c r="Q22" i="4"/>
  <c r="Q15" i="4"/>
  <c r="M7" i="4"/>
  <c r="H18" i="4"/>
  <c r="H13" i="4"/>
  <c r="C24" i="4"/>
  <c r="C17" i="4"/>
  <c r="C10" i="4"/>
  <c r="N22" i="4"/>
  <c r="F13" i="4"/>
  <c r="Q23" i="4"/>
  <c r="Q16" i="4"/>
  <c r="Q9" i="4"/>
  <c r="L22" i="4"/>
  <c r="L15" i="4"/>
  <c r="L8" i="4"/>
  <c r="G19" i="4"/>
  <c r="C13" i="4"/>
  <c r="N22" i="3"/>
  <c r="F21" i="3"/>
  <c r="J18" i="3"/>
  <c r="N16" i="3"/>
  <c r="F14" i="3"/>
  <c r="J12" i="3"/>
  <c r="N9" i="3"/>
  <c r="F8" i="3"/>
  <c r="J6" i="3"/>
  <c r="K16" i="3"/>
  <c r="C14" i="3"/>
  <c r="G6" i="3"/>
  <c r="F18" i="3"/>
  <c r="F12" i="3"/>
  <c r="I22" i="3"/>
  <c r="E12" i="3"/>
  <c r="H22" i="3"/>
  <c r="L13" i="3"/>
  <c r="D6" i="3"/>
  <c r="G16" i="3"/>
  <c r="C12" i="3"/>
  <c r="C6" i="3"/>
  <c r="F16" i="3"/>
  <c r="J7" i="3"/>
  <c r="M17" i="3"/>
  <c r="M10" i="3"/>
  <c r="H20" i="3"/>
  <c r="L10" i="3"/>
  <c r="C22" i="3"/>
  <c r="G13" i="3"/>
  <c r="N21" i="3"/>
  <c r="J10" i="3"/>
  <c r="E20" i="3"/>
  <c r="I10" i="3"/>
  <c r="D20" i="3"/>
  <c r="C20" i="3"/>
  <c r="C13" i="3"/>
  <c r="J21" i="3"/>
  <c r="N12" i="3"/>
  <c r="M18" i="3"/>
  <c r="I8" i="3"/>
  <c r="L18" i="3"/>
  <c r="D10" i="3"/>
  <c r="K18" i="3"/>
  <c r="C10" i="3"/>
  <c r="M22" i="3"/>
  <c r="E21" i="3"/>
  <c r="I18" i="3"/>
  <c r="M16" i="3"/>
  <c r="E14" i="3"/>
  <c r="I12" i="3"/>
  <c r="M9" i="3"/>
  <c r="E8" i="3"/>
  <c r="I6" i="3"/>
  <c r="G18" i="3"/>
  <c r="G12" i="3"/>
  <c r="J22" i="3"/>
  <c r="J16" i="3"/>
  <c r="N7" i="3"/>
  <c r="E18" i="3"/>
  <c r="M13" i="3"/>
  <c r="E6" i="3"/>
  <c r="H16" i="3"/>
  <c r="H9" i="3"/>
  <c r="G22" i="3"/>
  <c r="K13" i="3"/>
  <c r="F22" i="3"/>
  <c r="J13" i="3"/>
  <c r="E22" i="3"/>
  <c r="I13" i="3"/>
  <c r="D22" i="3"/>
  <c r="H13" i="3"/>
  <c r="G20" i="3"/>
  <c r="K10" i="3"/>
  <c r="F20" i="3"/>
  <c r="F13" i="3"/>
  <c r="M21" i="3"/>
  <c r="E13" i="3"/>
  <c r="L21" i="3"/>
  <c r="D13" i="3"/>
  <c r="D7" i="3"/>
  <c r="G17" i="3"/>
  <c r="K8" i="3"/>
  <c r="F17" i="3"/>
  <c r="J8" i="3"/>
  <c r="E17" i="3"/>
  <c r="M12" i="3"/>
  <c r="H21" i="3"/>
  <c r="L12" i="3"/>
  <c r="G21" i="3"/>
  <c r="K12" i="3"/>
  <c r="L22" i="3"/>
  <c r="D21" i="3"/>
  <c r="H18" i="3"/>
  <c r="L16" i="3"/>
  <c r="D14" i="3"/>
  <c r="H12" i="3"/>
  <c r="L9" i="3"/>
  <c r="D8" i="3"/>
  <c r="H6" i="3"/>
  <c r="C21" i="3"/>
  <c r="C8" i="3"/>
  <c r="N20" i="3"/>
  <c r="J9" i="3"/>
  <c r="M20" i="3"/>
  <c r="I9" i="3"/>
  <c r="L20" i="3"/>
  <c r="D12" i="3"/>
  <c r="K20" i="3"/>
  <c r="K7" i="3"/>
  <c r="N17" i="3"/>
  <c r="F9" i="3"/>
  <c r="I20" i="3"/>
  <c r="E9" i="3"/>
  <c r="L17" i="3"/>
  <c r="D9" i="3"/>
  <c r="C16" i="3"/>
  <c r="G7" i="3"/>
  <c r="N14" i="3"/>
  <c r="F7" i="3"/>
  <c r="M14" i="3"/>
  <c r="E7" i="3"/>
  <c r="L14" i="3"/>
  <c r="L8" i="3"/>
  <c r="K14" i="3"/>
  <c r="C7" i="3"/>
  <c r="J14" i="3"/>
  <c r="N6" i="3"/>
  <c r="I14" i="3"/>
  <c r="M6" i="3"/>
  <c r="H14" i="3"/>
  <c r="L6" i="3"/>
  <c r="G14" i="3"/>
  <c r="K6" i="3"/>
  <c r="K22" i="3"/>
  <c r="K9" i="3"/>
  <c r="N13" i="3"/>
  <c r="F6" i="3"/>
  <c r="I16" i="3"/>
  <c r="M7" i="3"/>
  <c r="D18" i="3"/>
  <c r="L7" i="3"/>
  <c r="C18" i="3"/>
  <c r="G9" i="3"/>
  <c r="J20" i="3"/>
  <c r="N10" i="3"/>
  <c r="E16" i="3"/>
  <c r="I7" i="3"/>
  <c r="D16" i="3"/>
  <c r="H7" i="3"/>
  <c r="K17" i="3"/>
  <c r="C9" i="3"/>
  <c r="J17" i="3"/>
  <c r="N8" i="3"/>
  <c r="I17" i="3"/>
  <c r="M8" i="3"/>
  <c r="H17" i="3"/>
  <c r="H10" i="3"/>
  <c r="K21" i="3"/>
  <c r="G10" i="3"/>
  <c r="N18" i="3"/>
  <c r="F10" i="3"/>
  <c r="I21" i="3"/>
  <c r="E10" i="3"/>
  <c r="D17" i="3"/>
  <c r="H8" i="3"/>
  <c r="C17" i="3"/>
  <c r="G8" i="3"/>
  <c r="G10" i="2"/>
  <c r="L8" i="2"/>
  <c r="M20" i="2"/>
  <c r="G19" i="2"/>
  <c r="L14" i="2"/>
  <c r="H19" i="2"/>
  <c r="E9" i="2"/>
  <c r="F23" i="2"/>
  <c r="C9" i="2"/>
  <c r="N15" i="2"/>
  <c r="H17" i="2"/>
  <c r="E14" i="2"/>
  <c r="F14" i="2"/>
  <c r="H14" i="2"/>
  <c r="N10" i="2"/>
  <c r="D8" i="2"/>
  <c r="K14" i="2"/>
  <c r="I19" i="2"/>
  <c r="F16" i="2"/>
  <c r="C19" i="2"/>
  <c r="H24" i="2"/>
  <c r="M15" i="2"/>
  <c r="E18" i="2"/>
  <c r="H23" i="2"/>
  <c r="G23" i="2"/>
  <c r="J16" i="2"/>
  <c r="G25" i="2"/>
  <c r="D20" i="2"/>
  <c r="L24" i="2"/>
  <c r="K16" i="2"/>
  <c r="D15" i="2"/>
  <c r="H7" i="2"/>
  <c r="F13" i="2"/>
  <c r="N20" i="2"/>
  <c r="K8" i="2"/>
  <c r="M7" i="2"/>
  <c r="E13" i="2"/>
  <c r="L23" i="2"/>
  <c r="H13" i="2"/>
  <c r="E7" i="2"/>
  <c r="H25" i="2"/>
  <c r="G7" i="2"/>
  <c r="H18" i="2"/>
  <c r="L16" i="2"/>
  <c r="N9" i="2"/>
  <c r="K13" i="2"/>
  <c r="J17" i="2"/>
  <c r="N7" i="2"/>
  <c r="C10" i="2"/>
  <c r="F20" i="2"/>
  <c r="L9" i="2"/>
  <c r="J19" i="2"/>
  <c r="M19" i="2"/>
  <c r="G8" i="2"/>
  <c r="D18" i="2"/>
  <c r="C13" i="2"/>
  <c r="C25" i="2"/>
  <c r="L10" i="2"/>
  <c r="J23" i="2"/>
  <c r="G14" i="2"/>
  <c r="L15" i="2"/>
  <c r="F7" i="2"/>
  <c r="J7" i="2"/>
  <c r="K9" i="2"/>
  <c r="I14" i="2"/>
  <c r="G24" i="2"/>
  <c r="H15" i="2"/>
  <c r="C14" i="2"/>
  <c r="G15" i="2"/>
  <c r="J10" i="2"/>
  <c r="G13" i="2"/>
  <c r="D14" i="2"/>
  <c r="K17" i="2"/>
  <c r="I10" i="2"/>
  <c r="G20" i="2"/>
  <c r="L17" i="2"/>
  <c r="E23" i="2"/>
  <c r="H8" i="2"/>
  <c r="M9" i="2"/>
  <c r="M10" i="2"/>
  <c r="M23" i="2"/>
  <c r="C17" i="2"/>
  <c r="G18" i="2"/>
  <c r="N17" i="2"/>
  <c r="C7" i="2"/>
  <c r="L25" i="2"/>
  <c r="D9" i="2"/>
  <c r="K25" i="2"/>
  <c r="F18" i="2"/>
  <c r="C16" i="2"/>
  <c r="C24" i="2"/>
  <c r="J14" i="2"/>
  <c r="D13" i="2"/>
  <c r="J9" i="2"/>
  <c r="K20" i="2"/>
  <c r="K18" i="2"/>
  <c r="I16" i="2"/>
  <c r="D10" i="2"/>
  <c r="E15" i="2"/>
  <c r="G17" i="2"/>
  <c r="K7" i="2"/>
  <c r="I24" i="2"/>
  <c r="H10" i="2"/>
  <c r="E24" i="2"/>
  <c r="I17" i="2"/>
  <c r="H20" i="2"/>
  <c r="K24" i="2"/>
  <c r="L13" i="2"/>
  <c r="K19" i="2"/>
  <c r="D25" i="2"/>
  <c r="J24" i="2"/>
  <c r="K23" i="2"/>
  <c r="J13" i="2"/>
  <c r="G9" i="2"/>
  <c r="L20" i="2"/>
  <c r="E20" i="2"/>
  <c r="I8" i="2"/>
  <c r="E16" i="2"/>
  <c r="N23" i="2"/>
  <c r="I15" i="2"/>
  <c r="D24" i="2"/>
  <c r="I9" i="2"/>
  <c r="M13" i="2"/>
  <c r="D23" i="2"/>
  <c r="C18" i="2"/>
  <c r="D17" i="2"/>
  <c r="L7" i="2"/>
  <c r="L18" i="2"/>
  <c r="I23" i="2"/>
  <c r="I25" i="2"/>
  <c r="M16" i="2"/>
  <c r="M25" i="2"/>
  <c r="N19" i="2"/>
  <c r="M14" i="2"/>
  <c r="N18" i="2"/>
  <c r="C8" i="2"/>
  <c r="N8" i="2"/>
  <c r="M24" i="2"/>
  <c r="K15" i="2"/>
  <c r="E17" i="2"/>
  <c r="E8" i="2"/>
  <c r="N14" i="2"/>
  <c r="J18" i="2"/>
  <c r="H16" i="2"/>
  <c r="E25" i="2"/>
  <c r="J15" i="2"/>
  <c r="J20" i="2"/>
  <c r="C15" i="2"/>
  <c r="M17" i="2"/>
  <c r="J8" i="2"/>
  <c r="D19" i="2"/>
  <c r="L19" i="2"/>
  <c r="E10" i="2"/>
  <c r="C20" i="2"/>
  <c r="H9" i="2"/>
  <c r="F19" i="2"/>
  <c r="N25" i="2"/>
  <c r="F10" i="2"/>
  <c r="D7" i="2"/>
  <c r="N24" i="2"/>
  <c r="K10" i="2"/>
  <c r="N13" i="2"/>
  <c r="F15" i="2"/>
  <c r="C23" i="2"/>
  <c r="N16" i="2"/>
  <c r="D16" i="2"/>
  <c r="J25" i="2"/>
  <c r="F25" i="2"/>
  <c r="E19" i="2"/>
  <c r="F17" i="2"/>
  <c r="G16" i="2"/>
  <c r="M18" i="2"/>
  <c r="I20" i="2"/>
  <c r="F9" i="2"/>
  <c r="I13" i="2"/>
  <c r="F24" i="2"/>
  <c r="M8" i="2"/>
  <c r="F8" i="2"/>
  <c r="I18" i="2"/>
  <c r="I7" i="2"/>
</calcChain>
</file>

<file path=xl/sharedStrings.xml><?xml version="1.0" encoding="utf-8"?>
<sst xmlns="http://schemas.openxmlformats.org/spreadsheetml/2006/main" count="752" uniqueCount="127">
  <si>
    <t>Right click to show data transparency (not supported for all values)</t>
  </si>
  <si>
    <t>FY 2005</t>
  </si>
  <si>
    <t>Satyam Computer Services Ltd (SCS IN) - Profitability</t>
  </si>
  <si>
    <t>In Millions of INR except Per Share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</si>
  <si>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</si>
  <si>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</si>
  <si>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</si>
  <si>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</si>
  <si>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</si>
  <si>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</si>
  <si>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</si>
  <si>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</si>
  <si>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</si>
  <si>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</si>
  <si>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</si>
  <si>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12 Months Ending</t>
  </si>
  <si>
    <t>03/31/2002</t>
  </si>
  <si>
    <t>03/31/2003</t>
  </si>
  <si>
    <t>03/31/2004</t>
  </si>
  <si>
    <t>03/31/2005</t>
  </si>
  <si>
    <t>03/31/2006</t>
  </si>
  <si>
    <t>03/31/2007</t>
  </si>
  <si>
    <t>03/31/2008</t>
  </si>
  <si>
    <t>03/31/2009</t>
  </si>
  <si>
    <t>03/31/2010</t>
  </si>
  <si>
    <t>03/31/2011</t>
  </si>
  <si>
    <t>03/31/2012</t>
  </si>
  <si>
    <t>03/31/2013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</si>
  <si>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</si>
  <si>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</si>
  <si>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</si>
  <si>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</si>
  <si>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</si>
  <si>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</si>
  <si>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</si>
  <si>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</si>
  <si>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</si>
  <si>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</si>
  <si>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</si>
  <si>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</si>
  <si>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</si>
  <si>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</si>
  <si>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</si>
  <si>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</si>
  <si>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</si>
  <si>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</si>
  <si>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</si>
  <si>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</si>
  <si>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</si>
  <si>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</si>
  <si>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</si>
  <si>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</si>
  <si>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</si>
  <si>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</si>
  <si>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</si>
  <si>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</si>
  <si>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</si>
  <si>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</si>
  <si>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</si>
  <si>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</si>
  <si>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</si>
  <si>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</si>
  <si>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Satyam Computer Services Ltd (SCS IN) - Liquidity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</si>
  <si>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</si>
  <si>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</si>
  <si>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</si>
  <si>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</si>
  <si>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</si>
  <si>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</si>
  <si>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</si>
  <si>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</si>
  <si>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</si>
  <si>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</si>
  <si>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</si>
  <si>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</si>
  <si>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</si>
  <si>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</si>
  <si>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</si>
  <si>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</si>
  <si>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</si>
  <si>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</si>
  <si>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</si>
  <si>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</si>
  <si>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</si>
  <si>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</si>
  <si>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</si>
  <si>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</si>
  <si>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</si>
  <si>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</si>
  <si>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</si>
  <si>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</si>
  <si>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Tata Steel BSL Ltd (TATASTL IN) - Profitability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</si>
  <si>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</si>
  <si>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</si>
  <si>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</si>
  <si>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</si>
  <si>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</si>
  <si>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</si>
  <si>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</si>
  <si>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</si>
  <si>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</si>
  <si>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</si>
  <si>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</si>
  <si>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</si>
  <si>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</si>
  <si>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</si>
  <si>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</si>
  <si>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03/31/2021</t>
  </si>
  <si>
    <t>Tata Steel BSL Ltd (TATASTL IN) - Liquidity</t>
  </si>
  <si>
    <t>Total Commercial Paper Outstanding</t>
  </si>
  <si>
    <t>BS_TOT_COM_PAPER_ISSUED</t>
  </si>
  <si>
    <t>Piramal Capital &amp; Housing Finance Ltd/India (DEWH IN) - Profitability</t>
  </si>
  <si>
    <t>FY 2022</t>
  </si>
  <si>
    <t>03/31/2022</t>
  </si>
  <si>
    <t>PRETAX_MARGIN</t>
  </si>
  <si>
    <t>Piramal Capital &amp; Housing Finance Ltd/India (DEWH IN) - Liquidity</t>
  </si>
  <si>
    <t>Yes Bank Ltd (YES IN) - Profitability</t>
  </si>
  <si>
    <t>FY 2023</t>
  </si>
  <si>
    <t>03/31/2023</t>
  </si>
  <si>
    <t>Yes Bank Ltd (YES IN) - Liquidity</t>
  </si>
  <si>
    <t>Kingfisher Airlines Ltd (KAIR IN) - Profitability</t>
  </si>
  <si>
    <t>FY 2001</t>
  </si>
  <si>
    <t>03/31/2001</t>
  </si>
  <si>
    <t>06/30/2007</t>
  </si>
  <si>
    <t>Kingfisher Airlines Ltd (KAIR IN) - Liquidity</t>
  </si>
  <si>
    <t>Cox &amp; Kings Ltd (COXK IN) - Profitability</t>
  </si>
  <si>
    <t>Cox &amp; Kings Ltd (COXK IN)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</si>
</sst>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171" fontId="1" fillId="34" borderId="2">
      <alignment horizontal="right"/>
    </xf>
  </cellStyleXfs>
  <cellXfs count="20">
    <xf numFmtId="0" fontId="0" fillId="0" borderId="0" xfId="0"/>
    <xf numFmtId="171" fontId="1" fillId="34" borderId="2" xfId="55" applyNumberFormat="1" applyFont="1" applyFill="1" applyBorder="1" applyAlignment="1" applyProtection="1">
      <alignment horizontal="right"/>
    </xf>
    <xf numFmtId="0" fontId="7" fillId="34" borderId="18" xfId="35" applyNumberFormat="1" applyFont="1" applyFill="1" applyBorder="1" applyAlignment="1" applyProtection="1"/>
    <xf numFmtId="0" fontId="3" fillId="34" borderId="18" xfId="36" applyNumberFormat="1" applyFont="1" applyFill="1" applyBorder="1" applyAlignment="1" applyProtection="1"/>
    <xf numFmtId="0" fontId="6" fillId="33" borderId="17" xfId="30" applyNumberFormat="1" applyFont="1" applyFill="1" applyBorder="1" applyAlignment="1" applyProtection="1">
      <alignment horizontal="right"/>
    </xf>
    <xf numFmtId="0" fontId="6" fillId="33" borderId="16" xfId="32" applyNumberFormat="1" applyFont="1" applyFill="1" applyBorder="1" applyAlignment="1" applyProtection="1">
      <alignment horizontal="right"/>
    </xf>
    <xf numFmtId="0" fontId="6" fillId="33" borderId="16" xfId="33" applyNumberFormat="1" applyFont="1" applyFill="1" applyBorder="1" applyAlignment="1" applyProtection="1">
      <alignment horizontal="left"/>
    </xf>
    <xf numFmtId="0" fontId="2" fillId="33" borderId="0" xfId="26" applyNumberFormat="1" applyFont="1" applyFill="1" applyBorder="1" applyAlignment="1" applyProtection="1"/>
    <xf numFmtId="0" fontId="5" fillId="34" borderId="0" xfId="31" applyFont="1" applyFill="1" applyAlignment="1">
      <alignment horizontal="center"/>
    </xf>
    <xf numFmtId="0" fontId="6" fillId="33" borderId="3" xfId="33" applyNumberFormat="1" applyFont="1" applyFill="1" applyBorder="1" applyAlignment="1" applyProtection="1">
      <alignment horizontal="left"/>
    </xf>
    <xf numFmtId="0" fontId="6" fillId="33" borderId="3" xfId="32" applyNumberFormat="1" applyFont="1" applyFill="1" applyBorder="1" applyAlignment="1" applyProtection="1">
      <alignment horizontal="right"/>
    </xf>
    <xf numFmtId="0" fontId="6" fillId="33" borderId="1" xfId="30" applyNumberFormat="1" applyFont="1" applyFill="1" applyBorder="1" applyAlignment="1" applyProtection="1">
      <alignment horizontal="right"/>
    </xf>
    <xf numFmtId="0" fontId="7" fillId="34" borderId="5" xfId="35" applyNumberFormat="1" applyFont="1" applyFill="1" applyBorder="1" applyAlignment="1" applyProtection="1"/>
    <xf numFmtId="0" fontId="9" fillId="35" borderId="4" xfId="34" applyFont="1" applyFill="1" applyBorder="1"/>
    <xf numFmtId="0" fontId="4" fillId="33" borderId="15" xfId="50" applyFont="1" applyFill="1" applyBorder="1" applyAlignment="1">
      <alignment horizontal="left" vertical="center" readingOrder="1"/>
    </xf>
    <xf numFmtId="0" fontId="6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4" fontId="1" fillId="34" borderId="2" xfId="53" applyNumberFormat="1" applyFont="1" applyFill="1" applyBorder="1" applyAlignment="1" applyProtection="1">
      <alignment horizontal="right"/>
    </xf>
    <xf numFmtId="3" fontId="7" fillId="34" borderId="2" xfId="54" applyNumberFormat="1" applyFont="1" applyFill="1" applyBorder="1" applyAlignment="1" applyProtection="1">
      <alignment horizontal="right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1_grouped" xfId="55" xr:uid="{843F53ED-9749-4A0A-8EF5-8F51C57BB63E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BDH|18111563519086636099</stp>
        <tr r="N13" s="6"/>
      </tp>
      <tp t="s">
        <v>#N/A N/A</v>
        <stp/>
        <stp>BDH|14170638222012836892</stp>
        <tr r="I21" s="8"/>
      </tp>
      <tp t="s">
        <v>#N/A N/A</v>
        <stp/>
        <stp>BDH|15562206528359505690</stp>
        <tr r="C22" s="5"/>
      </tp>
      <tp t="s">
        <v>#N/A N/A</v>
        <stp/>
        <stp>BDH|17919998539083891400</stp>
        <tr r="G20" s="7"/>
      </tp>
      <tp t="s">
        <v>#N/A N/A</v>
        <stp/>
        <stp>BDH|13626661543922799949</stp>
        <tr r="F15" s="6"/>
      </tp>
      <tp t="s">
        <v>#N/A N/A</v>
        <stp/>
        <stp>BDH|15773635622043494821</stp>
        <tr r="I6" s="5"/>
      </tp>
      <tp t="s">
        <v>#N/A N/A</v>
        <stp/>
        <stp>BDH|16710885042570467098</stp>
        <tr r="C6" s="11"/>
      </tp>
      <tp t="s">
        <v>#N/A N/A</v>
        <stp/>
        <stp>BDH|18092719334486510006</stp>
        <tr r="N14" s="5"/>
      </tp>
      <tp t="s">
        <v>#N/A N/A</v>
        <stp/>
        <stp>BDH|10062375891644266440</stp>
        <tr r="C23" s="10"/>
      </tp>
      <tp t="s">
        <v>#N/A N/A</v>
        <stp/>
        <stp>BDH|11086555585917614167</stp>
        <tr r="I10" s="12"/>
      </tp>
      <tp t="s">
        <v>#N/A N/A</v>
        <stp/>
        <stp>BDH|10021216354469781428</stp>
        <tr r="J7" s="8"/>
      </tp>
      <tp t="s">
        <v>#N/A N/A</v>
        <stp/>
        <stp>BDH|10118869222201366155</stp>
        <tr r="F14" s="5"/>
      </tp>
      <tp t="s">
        <v>#N/A N/A</v>
        <stp/>
        <stp>BDH|15004141722535668931</stp>
        <tr r="Q13" s="4"/>
      </tp>
      <tp t="s">
        <v>#N/A N/A</v>
        <stp/>
        <stp>BDH|12492769590296141007</stp>
        <tr r="J16" s="6"/>
      </tp>
      <tp t="s">
        <v>#N/A N/A</v>
        <stp/>
        <stp>BDH|18149954232291457916</stp>
        <tr r="K9" s="13"/>
      </tp>
      <tp t="s">
        <v>#N/A N/A</v>
        <stp/>
        <stp>BDH|18300125061050334507</stp>
        <tr r="K10" s="5"/>
      </tp>
      <tp t="s">
        <v>#N/A N/A</v>
        <stp/>
        <stp>BDH|11347724746269125156</stp>
        <tr r="N9" s="8"/>
      </tp>
      <tp t="s">
        <v>#N/A N/A</v>
        <stp/>
        <stp>BDH|16948884111786540367</stp>
        <tr r="M18" s="13"/>
      </tp>
      <tp t="s">
        <v>#N/A N/A</v>
        <stp/>
        <stp>BDH|16679231042763493914</stp>
        <tr r="C9" s="4"/>
      </tp>
      <tp t="s">
        <v>#N/A N/A</v>
        <stp/>
        <stp>BDH|13687711884111225740</stp>
        <tr r="M16" s="6"/>
      </tp>
      <tp t="s">
        <v>#N/A N/A</v>
        <stp/>
        <stp>BDH|16697555385349366803</stp>
        <tr r="I11" s="7"/>
      </tp>
      <tp t="s">
        <v>#N/A N/A</v>
        <stp/>
        <stp>BDH|14035359668132110992</stp>
        <tr r="H6" s="5"/>
      </tp>
      <tp t="s">
        <v>#N/A N/A</v>
        <stp/>
        <stp>BDH|12436838073583927482</stp>
        <tr r="G13" s="10"/>
      </tp>
      <tp t="s">
        <v>#N/A N/A</v>
        <stp/>
        <stp>BDH|11137271654044689819</stp>
        <tr r="E12" s="8"/>
      </tp>
      <tp t="s">
        <v>#N/A N/A</v>
        <stp/>
        <stp>BDH|11764542606477924992</stp>
        <tr r="I9" s="7"/>
      </tp>
      <tp t="s">
        <v>#N/A N/A</v>
        <stp/>
        <stp>BDH|12011809860203498513</stp>
        <tr r="I10" s="13"/>
      </tp>
      <tp t="s">
        <v>#N/A N/A</v>
        <stp/>
        <stp>BDH|12477232268195315991</stp>
        <tr r="F12" s="7"/>
      </tp>
      <tp t="s">
        <v>#N/A N/A</v>
        <stp/>
        <stp>BDH|14629348311265530928</stp>
        <tr r="M6" s="13"/>
      </tp>
      <tp t="s">
        <v>#N/A N/A</v>
        <stp/>
        <stp>BDH|14104215174479052201</stp>
        <tr r="L8" s="12"/>
      </tp>
      <tp t="s">
        <v>#N/A N/A</v>
        <stp/>
        <stp>BDH|16100914067863220024</stp>
        <tr r="F9" s="3"/>
      </tp>
      <tp t="s">
        <v>#N/A N/A</v>
        <stp/>
        <stp>BDH|18292047430329464851</stp>
        <tr r="L10" s="5"/>
      </tp>
      <tp t="s">
        <v>#N/A N/A</v>
        <stp/>
        <stp>BDH|18247329009084805565</stp>
        <tr r="R9" s="13"/>
      </tp>
      <tp t="s">
        <v>#N/A N/A</v>
        <stp/>
        <stp>BDH|11652869930884539429</stp>
        <tr r="N17" s="5"/>
      </tp>
      <tp t="s">
        <v>#N/A N/A</v>
        <stp/>
        <stp>BDH|10070940906383401019</stp>
        <tr r="U17" s="6"/>
      </tp>
      <tp t="s">
        <v>#N/A N/A</v>
        <stp/>
        <stp>BDH|15262699281884578583</stp>
        <tr r="L15" s="7"/>
      </tp>
      <tp t="s">
        <v>#N/A N/A</v>
        <stp/>
        <stp>BDH|17383020386014665177</stp>
        <tr r="I15" s="8"/>
      </tp>
      <tp t="s">
        <v>#N/A N/A</v>
        <stp/>
        <stp>BDH|16484877344785301526</stp>
        <tr r="G22" s="4"/>
      </tp>
      <tp t="s">
        <v>#N/A N/A</v>
        <stp/>
        <stp>BDH|18351711344111022004</stp>
        <tr r="U11" s="7"/>
      </tp>
      <tp t="s">
        <v>#N/A N/A</v>
        <stp/>
        <stp>BDH|15836555916322473990</stp>
        <tr r="D8" s="7"/>
      </tp>
      <tp t="s">
        <v>#N/A N/A</v>
        <stp/>
        <stp>BDH|15040101197197266037</stp>
        <tr r="M20" s="13"/>
      </tp>
      <tp t="s">
        <v>#N/A N/A</v>
        <stp/>
        <stp>BDH|16517876745558790896</stp>
        <tr r="M17" s="13"/>
      </tp>
      <tp t="s">
        <v>#N/A N/A</v>
        <stp/>
        <stp>BDH|13245880543417411240</stp>
        <tr r="U13" s="7"/>
      </tp>
      <tp t="s">
        <v>#N/A N/A</v>
        <stp/>
        <stp>BDH|10253530166351973877</stp>
        <tr r="E10" s="10"/>
      </tp>
      <tp t="s">
        <v>#N/A N/A</v>
        <stp/>
        <stp>BDH|17143358116808987729</stp>
        <tr r="I10" s="4"/>
      </tp>
      <tp t="s">
        <v>#N/A N/A</v>
        <stp/>
        <stp>BDH|11881838073500886481</stp>
        <tr r="L16" s="4"/>
      </tp>
      <tp t="s">
        <v>#N/A N/A</v>
        <stp/>
        <stp>BDH|15545464109369670241</stp>
        <tr r="Q10" s="12"/>
      </tp>
      <tp t="s">
        <v>#N/A N/A</v>
        <stp/>
        <stp>BDH|16962061466443681941</stp>
        <tr r="C17" s="12"/>
      </tp>
      <tp t="s">
        <v>#N/A N/A</v>
        <stp/>
        <stp>BDH|12066510851789856139</stp>
        <tr r="G22" s="11"/>
      </tp>
      <tp t="s">
        <v>#N/A N/A</v>
        <stp/>
        <stp>BDH|16458880415752207702</stp>
        <tr r="F18" s="2"/>
      </tp>
      <tp t="s">
        <v>#N/A N/A</v>
        <stp/>
        <stp>BDH|18191491760960531065</stp>
        <tr r="N16" s="6"/>
      </tp>
      <tp t="s">
        <v>#N/A N/A</v>
        <stp/>
        <stp>BDH|12057520188203463648</stp>
        <tr r="L10" s="4"/>
      </tp>
      <tp t="s">
        <v>#N/A N/A</v>
        <stp/>
        <stp>BDH|15531470148636045902</stp>
        <tr r="M16" s="9"/>
      </tp>
      <tp t="s">
        <v>#N/A N/A</v>
        <stp/>
        <stp>BDH|17174605951758836620</stp>
        <tr r="E21" s="6"/>
      </tp>
      <tp t="s">
        <v>#N/A N/A</v>
        <stp/>
        <stp>BDH|11839778690583303668</stp>
        <tr r="C7" s="2"/>
      </tp>
      <tp t="s">
        <v>#N/A N/A</v>
        <stp/>
        <stp>BDH|11322289794032767250</stp>
        <tr r="N22" s="5"/>
      </tp>
      <tp t="s">
        <v>#N/A N/A</v>
        <stp/>
        <stp>BDH|11127308698568707938</stp>
        <tr r="P6" s="5"/>
      </tp>
      <tp t="s">
        <v>#N/A N/A</v>
        <stp/>
        <stp>BDH|14805919278433749390</stp>
        <tr r="G7" s="12"/>
      </tp>
      <tp t="s">
        <v>#N/A N/A</v>
        <stp/>
        <stp>BDH|16703989702780163530</stp>
        <tr r="G12" s="3"/>
      </tp>
      <tp t="s">
        <v>#N/A N/A</v>
        <stp/>
        <stp>BDH|13034057558835535971</stp>
        <tr r="C9" s="3"/>
      </tp>
      <tp t="s">
        <v>#N/A N/A</v>
        <stp/>
        <stp>BDH|13268559758290000900</stp>
        <tr r="J24" s="2"/>
      </tp>
      <tp t="s">
        <v>#N/A N/A</v>
        <stp/>
        <stp>BDH|15866545643137991998</stp>
        <tr r="H8" s="13"/>
      </tp>
      <tp t="s">
        <v>#N/A N/A</v>
        <stp/>
        <stp>BDH|16232696216149679245</stp>
        <tr r="F9" s="9"/>
      </tp>
      <tp t="s">
        <v>#N/A N/A</v>
        <stp/>
        <stp>BDH|16432132382071305489</stp>
        <tr r="J7" s="12"/>
      </tp>
      <tp t="s">
        <v>#N/A N/A</v>
        <stp/>
        <stp>BDH|17937151096445035042</stp>
        <tr r="I8" s="5"/>
      </tp>
      <tp t="s">
        <v>#N/A N/A</v>
        <stp/>
        <stp>BDH|16033955254097046600</stp>
        <tr r="Q19" s="12"/>
      </tp>
      <tp t="s">
        <v>#N/A N/A</v>
        <stp/>
        <stp>BDH|17117829472966313535</stp>
        <tr r="D20" s="3"/>
      </tp>
      <tp t="s">
        <v>#N/A N/A</v>
        <stp/>
        <stp>BDH|11986833113590127398</stp>
        <tr r="N21" s="5"/>
      </tp>
      <tp t="s">
        <v>#N/A N/A</v>
        <stp/>
        <stp>BDH|18348126463637623348</stp>
        <tr r="M8" s="8"/>
      </tp>
      <tp t="s">
        <v>#N/A N/A</v>
        <stp/>
        <stp>BDH|17702055485857386346</stp>
        <tr r="C7" s="13"/>
      </tp>
      <tp t="s">
        <v>#N/A N/A</v>
        <stp/>
        <stp>BDH|16387590466758840670</stp>
        <tr r="P14" s="6"/>
      </tp>
      <tp t="s">
        <v>#N/A N/A</v>
        <stp/>
        <stp>BDH|17292257671799627037</stp>
        <tr r="F20" s="11"/>
      </tp>
      <tp t="s">
        <v>#N/A N/A</v>
        <stp/>
        <stp>BDH|14788219492984539029</stp>
        <tr r="F22" s="12"/>
      </tp>
      <tp t="s">
        <v>#N/A N/A</v>
        <stp/>
        <stp>BDH|17398241659902853956</stp>
        <tr r="L17" s="5"/>
      </tp>
      <tp t="s">
        <v>#N/A N/A</v>
        <stp/>
        <stp>BDH|11050952083132098958</stp>
        <tr r="K7" s="11"/>
      </tp>
      <tp t="s">
        <v>#N/A N/A</v>
        <stp/>
        <stp>BDH|11102321356129360550</stp>
        <tr r="Q22" s="12"/>
      </tp>
      <tp t="s">
        <v>#N/A N/A</v>
        <stp/>
        <stp>BDH|18351829424321552821</stp>
        <tr r="M7" s="3"/>
      </tp>
      <tp t="s">
        <v>#N/A N/A</v>
        <stp/>
        <stp>BDH|15179258111105729804</stp>
        <tr r="H7" s="4"/>
      </tp>
      <tp t="s">
        <v>#N/A N/A</v>
        <stp/>
        <stp>BDH|12992505882466902206</stp>
        <tr r="P17" s="12"/>
      </tp>
      <tp t="s">
        <v>#N/A N/A</v>
        <stp/>
        <stp>BDH|14005216298636900226</stp>
        <tr r="J9" s="9"/>
      </tp>
      <tp t="s">
        <v>#N/A N/A</v>
        <stp/>
        <stp>BDH|10188172427840431874</stp>
        <tr r="H9" s="11"/>
      </tp>
      <tp t="s">
        <v>#N/A N/A</v>
        <stp/>
        <stp>BDH|16237434383365435437</stp>
        <tr r="M17" s="12"/>
      </tp>
      <tp t="s">
        <v>#N/A N/A</v>
        <stp/>
        <stp>BDH|13597192631138999217</stp>
        <tr r="P8" s="5"/>
      </tp>
      <tp t="s">
        <v>#N/A N/A</v>
        <stp/>
        <stp>BDH|14075804873366358646</stp>
        <tr r="Q7" s="9"/>
      </tp>
      <tp t="s">
        <v>#N/A N/A</v>
        <stp/>
        <stp>BDH|14633000310229612746</stp>
        <tr r="C8" s="12"/>
      </tp>
      <tp t="s">
        <v>#N/A N/A</v>
        <stp/>
        <stp>BDH|17692604583592347012</stp>
        <tr r="H12" s="3"/>
      </tp>
      <tp t="s">
        <v>#N/A N/A</v>
        <stp/>
        <stp>BDH|12998654728214264915</stp>
        <tr r="E6" s="5"/>
      </tp>
      <tp t="s">
        <v>#N/A N/A</v>
        <stp/>
        <stp>BDH|14663869467695323420</stp>
        <tr r="H12" s="11"/>
      </tp>
      <tp t="s">
        <v>#N/A N/A</v>
        <stp/>
        <stp>BDH|15127335105395971880</stp>
        <tr r="C9" s="10"/>
      </tp>
      <tp t="s">
        <v>#N/A N/A</v>
        <stp/>
        <stp>BDH|16147803693234263865</stp>
        <tr r="K7" s="2"/>
      </tp>
      <tp t="s">
        <v>#N/A N/A</v>
        <stp/>
        <stp>BDH|18088236502384802508</stp>
        <tr r="H9" s="4"/>
      </tp>
      <tp t="s">
        <v>#N/A N/A</v>
        <stp/>
        <stp>BDH|12613920003083785383</stp>
        <tr r="H17" s="7"/>
      </tp>
      <tp t="s">
        <v>#N/A N/A</v>
        <stp/>
        <stp>BDH|12183415473583973926</stp>
        <tr r="N19" s="4"/>
      </tp>
      <tp t="s">
        <v>#N/A N/A</v>
        <stp/>
        <stp>BDH|11692545104376661989</stp>
        <tr r="L14" s="11"/>
      </tp>
      <tp t="s">
        <v>#N/A N/A</v>
        <stp/>
        <stp>BDH|12478583963152429832</stp>
        <tr r="U13" s="6"/>
      </tp>
      <tp t="s">
        <v>#N/A N/A</v>
        <stp/>
        <stp>BDH|15130419287863971156</stp>
        <tr r="G9" s="7"/>
      </tp>
      <tp t="s">
        <v>#N/A N/A</v>
        <stp/>
        <stp>BDH|12784699497782307411</stp>
        <tr r="M6" s="11"/>
      </tp>
      <tp t="s">
        <v>#N/A N/A</v>
        <stp/>
        <stp>BDH|17845130217838193475</stp>
        <tr r="K16" s="8"/>
      </tp>
      <tp t="s">
        <v>#N/A N/A</v>
        <stp/>
        <stp>BDH|12809340003439540306</stp>
        <tr r="D20" s="9"/>
      </tp>
      <tp t="s">
        <v>#N/A N/A</v>
        <stp/>
        <stp>BDH|15498310888186340335</stp>
        <tr r="H17" s="9"/>
      </tp>
      <tp t="s">
        <v>#N/A N/A</v>
        <stp/>
        <stp>BDH|10516398276598782708</stp>
        <tr r="R19" s="4"/>
      </tp>
      <tp t="s">
        <v>#N/A N/A</v>
        <stp/>
        <stp>BDH|14560691153629553575</stp>
        <tr r="E13" s="11"/>
      </tp>
      <tp t="s">
        <v>#N/A N/A</v>
        <stp/>
        <stp>BDH|17015778819079097334</stp>
        <tr r="I13" s="5"/>
      </tp>
      <tp t="s">
        <v>#N/A N/A</v>
        <stp/>
        <stp>BDH|16492434719938120039</stp>
        <tr r="J13" s="9"/>
      </tp>
      <tp t="s">
        <v>#N/A N/A</v>
        <stp/>
        <stp>BDH|10711390841788740440</stp>
        <tr r="L11" s="9"/>
      </tp>
      <tp t="s">
        <v>#N/A N/A</v>
        <stp/>
        <stp>BDH|15662967582637829861</stp>
        <tr r="I19" s="12"/>
      </tp>
      <tp t="s">
        <v>#N/A N/A</v>
        <stp/>
        <stp>BDH|12988273401998775378</stp>
        <tr r="F6" s="5"/>
      </tp>
      <tp t="s">
        <v>#N/A N/A</v>
        <stp/>
        <stp>BDH|10125086416312873880</stp>
        <tr r="L10" s="13"/>
      </tp>
      <tp t="s">
        <v>#N/A N/A</v>
        <stp/>
        <stp>BDH|16472896494898440429</stp>
        <tr r="N8" s="6"/>
      </tp>
      <tp t="s">
        <v>#N/A N/A</v>
        <stp/>
        <stp>BDH|12412782520715552978</stp>
        <tr r="M8" s="3"/>
      </tp>
      <tp t="s">
        <v>#N/A N/A</v>
        <stp/>
        <stp>BDH|11498782806368750534</stp>
        <tr r="R7" s="6"/>
      </tp>
      <tp t="s">
        <v>#N/A N/A</v>
        <stp/>
        <stp>BDH|12604380653897104824</stp>
        <tr r="H8" s="6"/>
      </tp>
      <tp t="s">
        <v>#N/A N/A</v>
        <stp/>
        <stp>BDH|17781523264847851876</stp>
        <tr r="J23" s="12"/>
      </tp>
      <tp t="s">
        <v>#N/A N/A</v>
        <stp/>
        <stp>BDH|13439412722879004461</stp>
        <tr r="E16" s="9"/>
      </tp>
      <tp t="s">
        <v>#N/A N/A</v>
        <stp/>
        <stp>BDH|18336680468858557871</stp>
        <tr r="N12" s="13"/>
      </tp>
      <tp t="s">
        <v>#N/A N/A</v>
        <stp/>
        <stp>BDH|16833732859298744449</stp>
        <tr r="H9" s="12"/>
      </tp>
      <tp t="s">
        <v>#N/A N/A</v>
        <stp/>
        <stp>BDH|10984420066378962253</stp>
        <tr r="O21" s="6"/>
      </tp>
      <tp t="s">
        <v>#N/A N/A</v>
        <stp/>
        <stp>BDH|10473562215605277945</stp>
        <tr r="M24" s="4"/>
      </tp>
      <tp t="s">
        <v>#N/A N/A</v>
        <stp/>
        <stp>BDH|14126102257198365040</stp>
        <tr r="P12" s="5"/>
      </tp>
      <tp t="s">
        <v>#N/A N/A</v>
        <stp/>
        <stp>BDH|16112426087012053054</stp>
        <tr r="L16" s="11"/>
      </tp>
      <tp t="s">
        <v>#N/A N/A</v>
        <stp/>
        <stp>BDH|15997973976887822415</stp>
        <tr r="N13" s="4"/>
      </tp>
      <tp t="s">
        <v>#N/A N/A</v>
        <stp/>
        <stp>BDH|11069071740165377855</stp>
        <tr r="C18" s="5"/>
      </tp>
      <tp t="s">
        <v>#N/A N/A</v>
        <stp/>
        <stp>BDH|15226408667707107841</stp>
        <tr r="F13" s="8"/>
      </tp>
      <tp t="s">
        <v>#N/A N/A</v>
        <stp/>
        <stp>BDH|18305635066371253146</stp>
        <tr r="I16" s="13"/>
      </tp>
      <tp t="s">
        <v>#N/A N/A</v>
        <stp/>
        <stp>BDH|12332678556610807990</stp>
        <tr r="J12" s="5"/>
      </tp>
      <tp t="s">
        <v>#N/A N/A</v>
        <stp/>
        <stp>BDH|11837967178183224477</stp>
        <tr r="J19" s="2"/>
      </tp>
      <tp t="s">
        <v>#N/A N/A</v>
        <stp/>
        <stp>BDH|16677879314896368157</stp>
        <tr r="K9" s="6"/>
      </tp>
      <tp t="s">
        <v>#N/A N/A</v>
        <stp/>
        <stp>BDH|11168051746204939981</stp>
        <tr r="G17" s="13"/>
      </tp>
      <tp t="s">
        <v>#N/A N/A</v>
        <stp/>
        <stp>BDH|16875252016525970804</stp>
        <tr r="I13" s="3"/>
      </tp>
      <tp t="s">
        <v>#N/A N/A</v>
        <stp/>
        <stp>BDH|13490269981876044764</stp>
        <tr r="L18" s="12"/>
      </tp>
      <tp t="s">
        <v>#N/A N/A</v>
        <stp/>
        <stp>BDH|11875908749136033241</stp>
        <tr r="H10" s="13"/>
      </tp>
      <tp t="s">
        <v>#N/A N/A</v>
        <stp/>
        <stp>BDH|16759214383053951797</stp>
        <tr r="Q8" s="5"/>
      </tp>
      <tp t="s">
        <v>#N/A N/A</v>
        <stp/>
        <stp>BDH|15520345987472186428</stp>
        <tr r="L7" s="11"/>
      </tp>
      <tp t="s">
        <v>#N/A N/A</v>
        <stp/>
        <stp>BDH|13405201445069467404</stp>
        <tr r="L14" s="5"/>
      </tp>
      <tp t="s">
        <v>#N/A N/A</v>
        <stp/>
        <stp>BDH|16646081119787684848</stp>
        <tr r="J18" s="5"/>
      </tp>
      <tp t="s">
        <v>#N/A N/A</v>
        <stp/>
        <stp>BDH|10279891368696619003</stp>
        <tr r="O16" s="8"/>
      </tp>
      <tp t="s">
        <v>#N/A N/A</v>
        <stp/>
        <stp>BDH|18138915492395159560</stp>
        <tr r="D9" s="8"/>
      </tp>
      <tp t="s">
        <v>#N/A N/A</v>
        <stp/>
        <stp>BDH|12025462630199118427</stp>
        <tr r="G9" s="10"/>
      </tp>
      <tp t="s">
        <v>#N/A N/A</v>
        <stp/>
        <stp>BDH|15857326838615697801</stp>
        <tr r="C17" s="5"/>
      </tp>
      <tp t="s">
        <v>#N/A N/A</v>
        <stp/>
        <stp>BDH|14372686350746760983</stp>
        <tr r="N17" s="7"/>
      </tp>
      <tp t="s">
        <v>#N/A N/A</v>
        <stp/>
        <stp>BDH|12534698695017890251</stp>
        <tr r="T23" s="6"/>
      </tp>
      <tp t="s">
        <v>#N/A N/A</v>
        <stp/>
        <stp>BDH|18139045446346761202</stp>
        <tr r="R12" s="13"/>
      </tp>
      <tp t="s">
        <v>#N/A N/A</v>
        <stp/>
        <stp>BDH|10239627153759471234</stp>
        <tr r="E20" s="3"/>
      </tp>
      <tp t="s">
        <v>#N/A N/A</v>
        <stp/>
        <stp>BDH|17688662125239191239</stp>
        <tr r="P12" s="9"/>
      </tp>
      <tp t="s">
        <v>#N/A N/A</v>
        <stp/>
        <stp>BDH|14085774880031650269</stp>
        <tr r="L7" s="3"/>
      </tp>
      <tp t="s">
        <v>#N/A N/A</v>
        <stp/>
        <stp>BDH|18217488554467806602</stp>
        <tr r="C21" s="13"/>
      </tp>
      <tp t="s">
        <v>#N/A N/A</v>
        <stp/>
        <stp>BDH|15853424534428162295</stp>
        <tr r="N12" s="9"/>
      </tp>
      <tp t="s">
        <v>#N/A N/A</v>
        <stp/>
        <stp>BDH|11068633117279882750</stp>
        <tr r="F16" s="2"/>
      </tp>
      <tp t="s">
        <v>#N/A N/A</v>
        <stp/>
        <stp>BDH|10843317497966076479</stp>
        <tr r="F20" s="8"/>
      </tp>
      <tp t="s">
        <v>#N/A N/A</v>
        <stp/>
        <stp>BDH|11970151122838453222</stp>
        <tr r="C10" s="5"/>
      </tp>
      <tp t="s">
        <v>#N/A N/A</v>
        <stp/>
        <stp>BDH|15763809490838946451</stp>
        <tr r="R9" s="7"/>
      </tp>
      <tp t="s">
        <v>#N/A N/A</v>
        <stp/>
        <stp>BDH|15101880046323298273</stp>
        <tr r="I14" s="2"/>
      </tp>
      <tp t="s">
        <v>#N/A N/A</v>
        <stp/>
        <stp>BDH|16088452625321338993</stp>
        <tr r="O17" s="5"/>
      </tp>
      <tp t="s">
        <v>#N/A N/A</v>
        <stp/>
        <stp>BDH|16168818075900778188</stp>
        <tr r="P17" s="13"/>
      </tp>
      <tp t="s">
        <v>#N/A N/A</v>
        <stp/>
        <stp>BDH|18273844471296562989</stp>
        <tr r="G8" s="8"/>
      </tp>
      <tp t="s">
        <v>#N/A N/A</v>
        <stp/>
        <stp>BDH|10276649380825917355</stp>
        <tr r="J20" s="13"/>
      </tp>
      <tp t="s">
        <v>#N/A N/A</v>
        <stp/>
        <stp>BDH|12013264210551952853</stp>
        <tr r="C9" s="13"/>
      </tp>
      <tp t="s">
        <v>#N/A N/A</v>
        <stp/>
        <stp>BDH|17445565317518939363</stp>
        <tr r="G10" s="2"/>
      </tp>
      <tp t="s">
        <v>#N/A N/A</v>
        <stp/>
        <stp>BDH|17502252978083451917</stp>
        <tr r="G25" s="2"/>
      </tp>
      <tp t="s">
        <v>#N/A N/A</v>
        <stp/>
        <stp>BDH|14433851750230820144</stp>
        <tr r="C17" s="4"/>
      </tp>
      <tp t="s">
        <v>#N/A N/A</v>
        <stp/>
        <stp>BDH|12919321492302384261</stp>
        <tr r="J10" s="4"/>
      </tp>
      <tp t="s">
        <v>#N/A N/A</v>
        <stp/>
        <stp>BDH|17871005305518934789</stp>
        <tr r="M15" s="2"/>
      </tp>
      <tp t="s">
        <v>#N/A N/A</v>
        <stp/>
        <stp>BDH|14751623133700231980</stp>
        <tr r="R16" s="7"/>
      </tp>
      <tp t="s">
        <v>#N/A N/A</v>
        <stp/>
        <stp>BDH|10543895554040337572</stp>
        <tr r="G17" s="12"/>
      </tp>
      <tp t="s">
        <v>#N/A N/A</v>
        <stp/>
        <stp>BDH|11841125187434011412</stp>
        <tr r="N17" s="13"/>
      </tp>
      <tp t="s">
        <v>#N/A N/A</v>
        <stp/>
        <stp>BDH|17332832250524877647</stp>
        <tr r="D13" s="10"/>
      </tp>
      <tp t="s">
        <v>#N/A N/A</v>
        <stp/>
        <stp>BDH|16971824391076717916</stp>
        <tr r="N12" s="5"/>
      </tp>
      <tp t="s">
        <v>#N/A N/A</v>
        <stp/>
        <stp>BDH|17555983569519892934</stp>
        <tr r="F7" s="2"/>
      </tp>
      <tp t="s">
        <v>#N/A N/A</v>
        <stp/>
        <stp>BDH|15240000594282138688</stp>
        <tr r="E17" s="10"/>
      </tp>
      <tp t="s">
        <v>#N/A N/A</v>
        <stp/>
        <stp>BDH|16381938366328197990</stp>
        <tr r="J21" s="6"/>
      </tp>
      <tp t="s">
        <v>#N/A N/A</v>
        <stp/>
        <stp>BDH|17509625665156888948</stp>
        <tr r="D7" s="11"/>
      </tp>
      <tp t="s">
        <v>#N/A N/A</v>
        <stp/>
        <stp>BDH|16287763215701033805</stp>
        <tr r="M20" s="3"/>
      </tp>
      <tp t="s">
        <v>#N/A N/A</v>
        <stp/>
        <stp>BDH|12048095584275887644</stp>
        <tr r="P10" s="13"/>
      </tp>
      <tp t="s">
        <v>#N/A N/A</v>
        <stp/>
        <stp>BDH|13246829745967638128</stp>
        <tr r="M9" s="13"/>
      </tp>
      <tp t="s">
        <v>#N/A N/A</v>
        <stp/>
        <stp>BDH|14501403650549509519</stp>
        <tr r="G16" s="8"/>
      </tp>
      <tp t="s">
        <v>#N/A N/A</v>
        <stp/>
        <stp>BDH|15334399941243259882</stp>
        <tr r="D22" s="5"/>
      </tp>
      <tp t="s">
        <v>#N/A N/A</v>
        <stp/>
        <stp>BDH|17716066570459159016</stp>
        <tr r="K21" s="6"/>
      </tp>
      <tp t="s">
        <v>#N/A N/A</v>
        <stp/>
        <stp>BDH|15215149482624271165</stp>
        <tr r="G10" s="4"/>
      </tp>
      <tp t="s">
        <v>#N/A N/A</v>
        <stp/>
        <stp>BDH|18118096018871189113</stp>
        <tr r="D13" s="2"/>
      </tp>
      <tp t="s">
        <v>#N/A N/A</v>
        <stp/>
        <stp>BDH|17130781098965204504</stp>
        <tr r="T16" s="6"/>
      </tp>
      <tp t="s">
        <v>#N/A N/A</v>
        <stp/>
        <stp>BDH|13950813327393801344</stp>
        <tr r="C16" s="12"/>
      </tp>
      <tp t="s">
        <v>#N/A N/A</v>
        <stp/>
        <stp>BDH|18348625941312701145</stp>
        <tr r="I9" s="2"/>
      </tp>
      <tp t="s">
        <v>#N/A N/A</v>
        <stp/>
        <stp>BDH|10036571687764007033</stp>
        <tr r="G18" s="5"/>
      </tp>
      <tp t="s">
        <v>#N/A N/A</v>
        <stp/>
        <stp>BDH|14659210094316142016</stp>
        <tr r="J16" s="12"/>
      </tp>
      <tp t="s">
        <v>#N/A N/A</v>
        <stp/>
        <stp>BDH|16651908773581049077</stp>
        <tr r="G10" s="10"/>
      </tp>
      <tp t="s">
        <v>#N/A N/A</v>
        <stp/>
        <stp>BDH|13333629891381270405</stp>
        <tr r="P9" s="9"/>
      </tp>
      <tp t="s">
        <v>#N/A N/A</v>
        <stp/>
        <stp>BDH|11172050390969033867</stp>
        <tr r="F13" s="6"/>
      </tp>
      <tp t="s">
        <v>#N/A N/A</v>
        <stp/>
        <stp>BDH|14461582765538927629</stp>
        <tr r="D8" s="5"/>
      </tp>
      <tp t="s">
        <v>#N/A N/A</v>
        <stp/>
        <stp>BDH|10186969204956509647</stp>
        <tr r="O22" s="13"/>
      </tp>
      <tp t="s">
        <v>#N/A N/A</v>
        <stp/>
        <stp>BDH|14882177878519737224</stp>
        <tr r="J24" s="4"/>
      </tp>
      <tp t="s">
        <v>#N/A N/A</v>
        <stp/>
        <stp>BDH|15718997878496166459</stp>
        <tr r="M10" s="4"/>
      </tp>
      <tp t="s">
        <v>#N/A N/A</v>
        <stp/>
        <stp>BDH|17588582947558166798</stp>
        <tr r="M7" s="13"/>
      </tp>
      <tp t="s">
        <v>#N/A N/A</v>
        <stp/>
        <stp>BDH|10867796815346300928</stp>
        <tr r="L16" s="5"/>
      </tp>
      <tp t="s">
        <v>#N/A N/A</v>
        <stp/>
        <stp>BDH|17541725636128448209</stp>
        <tr r="K18" s="13"/>
      </tp>
      <tp t="s">
        <v>#N/A N/A</v>
        <stp/>
        <stp>BDH|12487422387451756636</stp>
        <tr r="O17" s="7"/>
      </tp>
      <tp t="s">
        <v>#N/A N/A</v>
        <stp/>
        <stp>BDH|12514620097627784334</stp>
        <tr r="C15" s="7"/>
      </tp>
      <tp t="s">
        <v>#N/A N/A</v>
        <stp/>
        <stp>BDH|17926537280182695184</stp>
        <tr r="N13" s="3"/>
      </tp>
      <tp t="s">
        <v>#N/A N/A</v>
        <stp/>
        <stp>BDH|10729157195627726640</stp>
        <tr r="G17" s="8"/>
      </tp>
      <tp t="s">
        <v>#N/A N/A</v>
        <stp/>
        <stp>BDH|10565847349441816445</stp>
        <tr r="M13" s="5"/>
      </tp>
      <tp t="s">
        <v>#N/A N/A</v>
        <stp/>
        <stp>BDH|16162706541838794437</stp>
        <tr r="L18" s="5"/>
      </tp>
      <tp t="s">
        <v>#N/A N/A</v>
        <stp/>
        <stp>BDH|17547328469253984833</stp>
        <tr r="Q20" s="9"/>
      </tp>
      <tp t="s">
        <v>#N/A N/A</v>
        <stp/>
        <stp>BDH|16705884868132582355</stp>
        <tr r="D13" s="5"/>
      </tp>
      <tp t="s">
        <v>#N/A N/A</v>
        <stp/>
        <stp>BDH|11518092454258686591</stp>
        <tr r="Q8" s="7"/>
      </tp>
      <tp t="s">
        <v>#N/A N/A</v>
        <stp/>
        <stp>BDH|16853285105628644542</stp>
        <tr r="E22" s="4"/>
      </tp>
      <tp t="s">
        <v>#N/A N/A</v>
        <stp/>
        <stp>BDH|12742390062876307888</stp>
        <tr r="D12" s="7"/>
      </tp>
      <tp t="s">
        <v>#N/A N/A</v>
        <stp/>
        <stp>BDH|11147623655863374833</stp>
        <tr r="K7" s="9"/>
      </tp>
      <tp t="s">
        <v>#N/A N/A</v>
        <stp/>
        <stp>BDH|18364143460961612774</stp>
        <tr r="J20" s="5"/>
      </tp>
      <tp t="s">
        <v>#N/A N/A</v>
        <stp/>
        <stp>BDH|14859961836981855667</stp>
        <tr r="E17" s="11"/>
      </tp>
      <tp t="s">
        <v>#N/A N/A</v>
        <stp/>
        <stp>BDH|17234487381693477197</stp>
        <tr r="F14" s="11"/>
      </tp>
      <tp t="s">
        <v>#N/A N/A</v>
        <stp/>
        <stp>BDH|17337993447230800336</stp>
        <tr r="J13" s="13"/>
      </tp>
      <tp t="s">
        <v>#N/A N/A</v>
        <stp/>
        <stp>BDH|11121303904478551392</stp>
        <tr r="M24" s="12"/>
      </tp>
      <tp t="s">
        <v>#N/A N/A</v>
        <stp/>
        <stp>BDH|10728899912004110448</stp>
        <tr r="P15" s="4"/>
      </tp>
      <tp t="s">
        <v>#N/A N/A</v>
        <stp/>
        <stp>BDH|10131755889902774438</stp>
        <tr r="L17" s="4"/>
      </tp>
      <tp t="s">
        <v>#N/A N/A</v>
        <stp/>
        <stp>BDH|13755025994901978205</stp>
        <tr r="H17" s="3"/>
      </tp>
      <tp t="s">
        <v>#N/A N/A</v>
        <stp/>
        <stp>BDH|10634205228990761913</stp>
        <tr r="J9" s="2"/>
      </tp>
      <tp t="s">
        <v>#N/A N/A</v>
        <stp/>
        <stp>BDH|15058902913406242295</stp>
        <tr r="Q8" s="13"/>
      </tp>
      <tp t="s">
        <v>#N/A N/A</v>
        <stp/>
        <stp>BDH|14535970641233873331</stp>
        <tr r="O8" s="9"/>
      </tp>
      <tp t="s">
        <v>#N/A N/A</v>
        <stp/>
        <stp>BDH|17108413915852897968</stp>
        <tr r="J9" s="3"/>
      </tp>
      <tp t="s">
        <v>#N/A N/A</v>
        <stp/>
        <stp>BDH|12486038670204825843</stp>
        <tr r="F18" s="3"/>
      </tp>
      <tp t="s">
        <v>#N/A N/A</v>
        <stp/>
        <stp>BDH|11661685359039979253</stp>
        <tr r="H10" s="3"/>
      </tp>
      <tp t="s">
        <v>#N/A N/A</v>
        <stp/>
        <stp>BDH|10910448662692637936</stp>
        <tr r="K14" s="5"/>
      </tp>
      <tp t="s">
        <v>#N/A N/A</v>
        <stp/>
        <stp>BDH|16583574989604538647</stp>
        <tr r="I22" s="11"/>
      </tp>
      <tp t="s">
        <v>#N/A N/A</v>
        <stp/>
        <stp>BDH|12080782485780747404</stp>
        <tr r="D14" s="13"/>
      </tp>
      <tp t="s">
        <v>#N/A N/A</v>
        <stp/>
        <stp>BDH|12285799104788237479</stp>
        <tr r="N17" s="9"/>
      </tp>
      <tp t="s">
        <v>#N/A N/A</v>
        <stp/>
        <stp>BDH|17269598434860613830</stp>
        <tr r="K8" s="12"/>
      </tp>
      <tp t="s">
        <v>#N/A N/A</v>
        <stp/>
        <stp>BDH|15940202273120703973</stp>
        <tr r="O25" s="5"/>
      </tp>
      <tp t="s">
        <v>#N/A N/A</v>
        <stp/>
        <stp>BDH|16414817777741935169</stp>
        <tr r="D7" s="5"/>
      </tp>
      <tp t="s">
        <v>#N/A N/A</v>
        <stp/>
        <stp>BDH|12637340479799544638</stp>
        <tr r="L12" s="9"/>
      </tp>
      <tp t="s">
        <v>#N/A N/A</v>
        <stp/>
        <stp>BDH|10857157207458136068</stp>
        <tr r="E7" s="2"/>
      </tp>
      <tp t="s">
        <v>#N/A N/A</v>
        <stp/>
        <stp>BDH|15581196552830729847</stp>
        <tr r="L6" s="3"/>
      </tp>
      <tp t="s">
        <v>#N/A N/A</v>
        <stp/>
        <stp>BDH|18045684049072872144</stp>
        <tr r="M18" s="3"/>
      </tp>
      <tp t="s">
        <v>#N/A N/A</v>
        <stp/>
        <stp>BDH|16532040069681373865</stp>
        <tr r="L15" s="10"/>
      </tp>
      <tp t="s">
        <v>#N/A N/A</v>
        <stp/>
        <stp>BDH|12131551526668913462</stp>
        <tr r="K12" s="13"/>
      </tp>
      <tp t="s">
        <v>#N/A N/A</v>
        <stp/>
        <stp>BDH|17105320298403667719</stp>
        <tr r="M25" s="5"/>
      </tp>
      <tp t="s">
        <v>#N/A N/A</v>
        <stp/>
        <stp>BDH|15389557319521212913</stp>
        <tr r="L14" s="6"/>
      </tp>
      <tp t="s">
        <v>#N/A N/A</v>
        <stp/>
        <stp>BDH|12341802448122200558</stp>
        <tr r="C23" s="4"/>
      </tp>
      <tp t="s">
        <v>#N/A N/A</v>
        <stp/>
        <stp>BDH|14658741670305720899</stp>
        <tr r="D22" s="6"/>
      </tp>
      <tp t="s">
        <v>#N/A N/A</v>
        <stp/>
        <stp>BDH|13366199586161565254</stp>
        <tr r="L18" s="11"/>
      </tp>
      <tp t="s">
        <v>#N/A N/A</v>
        <stp/>
        <stp>BDH|11344787627385003807</stp>
        <tr r="N16" s="8"/>
      </tp>
      <tp t="s">
        <v>#N/A N/A</v>
        <stp/>
        <stp>BDH|16957876161217017635</stp>
        <tr r="F13" s="13"/>
      </tp>
      <tp t="s">
        <v>#N/A N/A</v>
        <stp/>
        <stp>BDH|17617806759385641654</stp>
        <tr r="J14" s="3"/>
      </tp>
      <tp t="s">
        <v>#N/A N/A</v>
        <stp/>
        <stp>BDH|14457463070129804758</stp>
        <tr r="C18" s="4"/>
      </tp>
      <tp t="s">
        <v>#N/A N/A</v>
        <stp/>
        <stp>BDH|11148382787133300025</stp>
        <tr r="M23" s="10"/>
      </tp>
      <tp t="s">
        <v>#N/A N/A</v>
        <stp/>
        <stp>BDH|12546461958808557203</stp>
        <tr r="C15" s="10"/>
      </tp>
      <tp t="s">
        <v>#N/A N/A</v>
        <stp/>
        <stp>BDH|14343980561854644627</stp>
        <tr r="L17" s="6"/>
      </tp>
      <tp t="s">
        <v>#N/A N/A</v>
        <stp/>
        <stp>BDH|10699023768699703650</stp>
        <tr r="I23" s="10"/>
      </tp>
      <tp t="s">
        <v>#N/A N/A</v>
        <stp/>
        <stp>BDH|12732378198755085464</stp>
        <tr r="J7" s="4"/>
      </tp>
      <tp t="s">
        <v>#N/A N/A</v>
        <stp/>
        <stp>BDH|14708626259779411099</stp>
        <tr r="L9" s="9"/>
      </tp>
      <tp t="s">
        <v>#N/A N/A</v>
        <stp/>
        <stp>BDH|13641190051810711984</stp>
        <tr r="J17" s="5"/>
      </tp>
      <tp t="s">
        <v>#N/A N/A</v>
        <stp/>
        <stp>BDH|15154545624799273528</stp>
        <tr r="L18" s="3"/>
      </tp>
      <tp t="s">
        <v>#N/A N/A</v>
        <stp/>
        <stp>BDH|12909928144758916958</stp>
        <tr r="F10" s="10"/>
      </tp>
      <tp t="s">
        <v>#N/A N/A</v>
        <stp/>
        <stp>BDH|18066415830201126037</stp>
        <tr r="Q20" s="5"/>
      </tp>
      <tp t="s">
        <v>#N/A N/A</v>
        <stp/>
        <stp>BDH|11245937433877416241</stp>
        <tr r="J12" s="8"/>
      </tp>
      <tp t="s">
        <v>#N/A N/A</v>
        <stp/>
        <stp>BDH|17565763161508098001</stp>
        <tr r="N22" s="12"/>
      </tp>
      <tp t="s">
        <v>#N/A N/A</v>
        <stp/>
        <stp>BDH|18049776526391393209</stp>
        <tr r="E25" s="5"/>
      </tp>
      <tp t="s">
        <v>#N/A N/A</v>
        <stp/>
        <stp>BDH|15126377696107343667</stp>
        <tr r="Q12" s="13"/>
      </tp>
      <tp t="s">
        <v>#N/A N/A</v>
        <stp/>
        <stp>BDH|10877951450673901116</stp>
        <tr r="L16" s="7"/>
      </tp>
      <tp t="s">
        <v>#N/A N/A</v>
        <stp/>
        <stp>BDH|14395909720194727516</stp>
        <tr r="O9" s="4"/>
      </tp>
      <tp t="s">
        <v>#N/A N/A</v>
        <stp/>
        <stp>BDH|13710402665979731613</stp>
        <tr r="G8" s="5"/>
      </tp>
      <tp t="s">
        <v>#N/A N/A</v>
        <stp/>
        <stp>BDH|15452372722549632330</stp>
        <tr r="J8" s="4"/>
      </tp>
      <tp t="s">
        <v>#N/A N/A</v>
        <stp/>
        <stp>BDH|14178689789091714504</stp>
        <tr r="M21" s="13"/>
      </tp>
      <tp t="s">
        <v>#N/A N/A</v>
        <stp/>
        <stp>BDH|10095174498761043787</stp>
        <tr r="C10" s="3"/>
      </tp>
      <tp t="s">
        <v>#N/A N/A</v>
        <stp/>
        <stp>BDH|12376142257111547920</stp>
        <tr r="K20" s="7"/>
      </tp>
      <tp t="s">
        <v>#N/A N/A</v>
        <stp/>
        <stp>BDH|10997023698973090451</stp>
        <tr r="G20" s="8"/>
      </tp>
      <tp t="s">
        <v>#N/A N/A</v>
        <stp/>
        <stp>BDH|12261209606306579873</stp>
        <tr r="P7" s="13"/>
      </tp>
      <tp t="s">
        <v>#N/A N/A</v>
        <stp/>
        <stp>BDH|14316776926187221868</stp>
        <tr r="F13" s="2"/>
      </tp>
      <tp t="s">
        <v>#N/A N/A</v>
        <stp/>
        <stp>BDH|17291171393702927379</stp>
        <tr r="I16" s="4"/>
      </tp>
      <tp t="s">
        <v>#N/A N/A</v>
        <stp/>
        <stp>BDH|10601794394295909598</stp>
        <tr r="C12" s="11"/>
      </tp>
      <tp t="s">
        <v>#N/A N/A</v>
        <stp/>
        <stp>BDH|16807346936551076912</stp>
        <tr r="N9" s="4"/>
      </tp>
      <tp t="s">
        <v>#N/A N/A</v>
        <stp/>
        <stp>BDH|11875442857846561843</stp>
        <tr r="O18" s="4"/>
      </tp>
      <tp t="s">
        <v>#N/A N/A</v>
        <stp/>
        <stp>BDH|11588420238021415916</stp>
        <tr r="J21" s="11"/>
      </tp>
      <tp t="s">
        <v>#N/A N/A</v>
        <stp/>
        <stp>BDH|14075706531849324785</stp>
        <tr r="M15" s="6"/>
      </tp>
      <tp t="s">
        <v>#N/A N/A</v>
        <stp/>
        <stp>BDH|10683849601303923578</stp>
        <tr r="P7" s="6"/>
      </tp>
      <tp t="s">
        <v>#N/A N/A</v>
        <stp/>
        <stp>BDH|11176578229178150038</stp>
        <tr r="F22" s="3"/>
      </tp>
      <tp t="s">
        <v>#N/A N/A</v>
        <stp/>
        <stp>BDH|14550411900457089998</stp>
        <tr r="D16" s="6"/>
      </tp>
      <tp t="s">
        <v>#N/A N/A</v>
        <stp/>
        <stp>BDH|10875641930113831889</stp>
        <tr r="I18" s="11"/>
      </tp>
      <tp t="s">
        <v>#N/A N/A</v>
        <stp/>
        <stp>BDH|18087596271891785506</stp>
        <tr r="H16" s="12"/>
      </tp>
      <tp t="s">
        <v>#N/A N/A</v>
        <stp/>
        <stp>BDH|16565420189235909189</stp>
        <tr r="L14" s="8"/>
      </tp>
      <tp t="s">
        <v>#N/A N/A</v>
        <stp/>
        <stp>BDH|17585934501065067588</stp>
        <tr r="Q21" s="6"/>
      </tp>
      <tp t="s">
        <v>#N/A N/A</v>
        <stp/>
        <stp>BDH|11338541588413615161</stp>
        <tr r="N7" s="13"/>
      </tp>
      <tp t="s">
        <v>#N/A N/A</v>
        <stp/>
        <stp>BDH|11874210496261847599</stp>
        <tr r="L7" s="4"/>
      </tp>
      <tp t="s">
        <v>#N/A N/A</v>
        <stp/>
        <stp>BDH|14462459655238866326</stp>
        <tr r="Q23" s="4"/>
      </tp>
      <tp t="s">
        <v>#N/A N/A</v>
        <stp/>
        <stp>BDH|10018664887685759581</stp>
        <tr r="E16" s="2"/>
      </tp>
      <tp t="s">
        <v>#N/A N/A</v>
        <stp/>
        <stp>BDH|13992847263721821372</stp>
        <tr r="C22" s="4"/>
      </tp>
      <tp t="s">
        <v>#N/A N/A</v>
        <stp/>
        <stp>BDH|16702847612068377838</stp>
        <tr r="D15" s="7"/>
      </tp>
      <tp t="s">
        <v>#N/A N/A</v>
        <stp/>
        <stp>BDH|15545593499100412604</stp>
        <tr r="I7" s="5"/>
      </tp>
      <tp t="s">
        <v>#N/A N/A</v>
        <stp/>
        <stp>BDH|15416399899705422502</stp>
        <tr r="T18" s="6"/>
      </tp>
      <tp t="s">
        <v>#N/A N/A</v>
        <stp/>
        <stp>BDH|14483411352738055276</stp>
        <tr r="K19" s="2"/>
      </tp>
      <tp t="s">
        <v>#N/A N/A</v>
        <stp/>
        <stp>BDH|13864739547476516997</stp>
        <tr r="H10" s="12"/>
      </tp>
      <tp t="s">
        <v>#N/A N/A</v>
        <stp/>
        <stp>BDH|13267171245901749879</stp>
        <tr r="N9" s="13"/>
      </tp>
      <tp t="s">
        <v>#N/A N/A</v>
        <stp/>
        <stp>BDH|10505922830117483239</stp>
        <tr r="G15" s="7"/>
      </tp>
      <tp t="s">
        <v>#N/A N/A</v>
        <stp/>
        <stp>BDH|16568478519468849406</stp>
        <tr r="N10" s="13"/>
      </tp>
      <tp t="s">
        <v>#N/A N/A</v>
        <stp/>
        <stp>BDH|15658009821551255963</stp>
        <tr r="E22" s="10"/>
      </tp>
      <tp t="s">
        <v>#N/A N/A</v>
        <stp/>
        <stp>BDH|17578077511159693066</stp>
        <tr r="R20" s="13"/>
      </tp>
      <tp t="s">
        <v>#N/A N/A</v>
        <stp/>
        <stp>BDH|13478037509818534486</stp>
        <tr r="L15" s="6"/>
      </tp>
      <tp t="s">
        <v>#N/A N/A</v>
        <stp/>
        <stp>BDH|16092826774220770627</stp>
        <tr r="Q9" s="4"/>
      </tp>
      <tp t="s">
        <v>#N/A N/A</v>
        <stp/>
        <stp>BDH|15137651862623668930</stp>
        <tr r="P13" s="4"/>
      </tp>
      <tp t="s">
        <v>#N/A N/A</v>
        <stp/>
        <stp>BDH|17390449266412164832</stp>
        <tr r="D13" s="9"/>
      </tp>
      <tp t="s">
        <v>#N/A N/A</v>
        <stp/>
        <stp>BDH|16541479415278618429</stp>
        <tr r="G22" s="10"/>
      </tp>
      <tp t="s">
        <v>#N/A N/A</v>
        <stp/>
        <stp>BDH|11693040329228072489</stp>
        <tr r="L22" s="4"/>
      </tp>
      <tp t="s">
        <v>#N/A N/A</v>
        <stp/>
        <stp>BDH|14761951430118437950</stp>
        <tr r="H17" s="13"/>
      </tp>
      <tp t="s">
        <v>#N/A N/A</v>
        <stp/>
        <stp>BDH|16633939284719748148</stp>
        <tr r="P22" s="8"/>
      </tp>
      <tp t="s">
        <v>#N/A N/A</v>
        <stp/>
        <stp>BDH|11619825233493087659</stp>
        <tr r="I7" s="10"/>
      </tp>
      <tp t="s">
        <v>#N/A N/A</v>
        <stp/>
        <stp>BDH|14847277578548362661</stp>
        <tr r="J7" s="6"/>
      </tp>
      <tp t="s">
        <v>#N/A N/A</v>
        <stp/>
        <stp>BDH|15987835125784904433</stp>
        <tr r="D14" s="11"/>
      </tp>
      <tp t="s">
        <v>#N/A N/A</v>
        <stp/>
        <stp>BDH|17428931469515910229</stp>
        <tr r="L16" s="10"/>
      </tp>
      <tp t="s">
        <v>#N/A N/A</v>
        <stp/>
        <stp>BDH|10808233688202068762</stp>
        <tr r="E14" s="13"/>
      </tp>
      <tp t="s">
        <v>#N/A N/A</v>
        <stp/>
        <stp>BDH|11593209966919440337</stp>
        <tr r="C20" s="8"/>
      </tp>
      <tp t="s">
        <v>#N/A N/A</v>
        <stp/>
        <stp>BDH|15344825203957259547</stp>
        <tr r="C15" s="4"/>
      </tp>
      <tp t="s">
        <v>#N/A N/A</v>
        <stp/>
        <stp>BDH|13541890001916860216</stp>
        <tr r="M22" s="4"/>
      </tp>
      <tp t="s">
        <v>#N/A N/A</v>
        <stp/>
        <stp>BDH|14003623515414485847</stp>
        <tr r="E8" s="12"/>
      </tp>
      <tp t="s">
        <v>#N/A N/A</v>
        <stp/>
        <stp>BDH|11693945900394792328</stp>
        <tr r="O17" s="4"/>
      </tp>
      <tp t="s">
        <v>#N/A N/A</v>
        <stp/>
        <stp>BDH|14304114141859048749</stp>
        <tr r="G23" s="6"/>
      </tp>
      <tp t="s">
        <v>#N/A N/A</v>
        <stp/>
        <stp>BDH|17247931561615329244</stp>
        <tr r="G22" s="5"/>
      </tp>
      <tp t="s">
        <v>#N/A N/A</v>
        <stp/>
        <stp>BDH|15363958042874204313</stp>
        <tr r="K8" s="13"/>
      </tp>
      <tp t="s">
        <v>#N/A N/A</v>
        <stp/>
        <stp>BDH|15627173093570012250</stp>
        <tr r="K8" s="11"/>
      </tp>
      <tp t="s">
        <v>#N/A N/A</v>
        <stp/>
        <stp>BDH|17748740040683249862</stp>
        <tr r="P9" s="12"/>
      </tp>
      <tp t="s">
        <v>#N/A N/A</v>
        <stp/>
        <stp>BDH|18241319039274420386</stp>
        <tr r="R13" s="6"/>
      </tp>
      <tp t="s">
        <v>#N/A N/A</v>
        <stp/>
        <stp>BDH|14134315786978504853</stp>
        <tr r="J22" s="4"/>
      </tp>
      <tp t="s">
        <v>#N/A N/A</v>
        <stp/>
        <stp>BDH|14767383037503746897</stp>
        <tr r="N21" s="6"/>
      </tp>
      <tp t="s">
        <v>#N/A N/A</v>
        <stp/>
        <stp>BDH|13439720351636321827</stp>
        <tr r="Q7" s="8"/>
      </tp>
      <tp t="s">
        <v>#N/A N/A</v>
        <stp/>
        <stp>BDH|15386661352340291933</stp>
        <tr r="D18" s="12"/>
      </tp>
      <tp t="s">
        <v>#N/A N/A</v>
        <stp/>
        <stp>BDH|13895499423622644825</stp>
        <tr r="M18" s="4"/>
      </tp>
      <tp t="s">
        <v>#N/A N/A</v>
        <stp/>
        <stp>BDH|17538390262995856809</stp>
        <tr r="I17" s="10"/>
      </tp>
      <tp t="s">
        <v>#N/A N/A</v>
        <stp/>
        <stp>BDH|12222518257365465894</stp>
        <tr r="J20" s="8"/>
      </tp>
      <tp t="s">
        <v>#N/A N/A</v>
        <stp/>
        <stp>BDH|11530496275325482847</stp>
        <tr r="J22" s="8"/>
      </tp>
      <tp t="s">
        <v>#N/A N/A</v>
        <stp/>
        <stp>BDH|14007992931930019112</stp>
        <tr r="Q17" s="8"/>
      </tp>
      <tp t="s">
        <v>#N/A N/A</v>
        <stp/>
        <stp>BDH|13725186935207151923</stp>
        <tr r="K9" s="3"/>
      </tp>
      <tp t="s">
        <v>#N/A N/A</v>
        <stp/>
        <stp>BDH|16980815335727466514</stp>
        <tr r="C9" s="9"/>
      </tp>
      <tp t="s">
        <v>#N/A N/A</v>
        <stp/>
        <stp>BDH|11543500314609022392</stp>
        <tr r="K16" s="3"/>
      </tp>
      <tp t="s">
        <v>#N/A N/A</v>
        <stp/>
        <stp>BDH|10366315011784818935</stp>
        <tr r="P25" s="5"/>
      </tp>
      <tp t="s">
        <v>#N/A N/A</v>
        <stp/>
        <stp>BDH|16743563547600751890</stp>
        <tr r="T8" s="6"/>
      </tp>
      <tp t="s">
        <v>#N/A N/A</v>
        <stp/>
        <stp>BDH|16990206592150352231</stp>
        <tr r="G10" s="5"/>
      </tp>
      <tp t="s">
        <v>#N/A N/A</v>
        <stp/>
        <stp>BDH|15811028422109109126</stp>
        <tr r="F20" s="13"/>
      </tp>
      <tp t="s">
        <v>#N/A N/A</v>
        <stp/>
        <stp>BDH|10742971867508406880</stp>
        <tr r="J22" s="3"/>
      </tp>
      <tp t="s">
        <v>#N/A N/A</v>
        <stp/>
        <stp>BDH|11176792860328209716</stp>
        <tr r="E22" s="5"/>
      </tp>
      <tp t="s">
        <v>#N/A N/A</v>
        <stp/>
        <stp>BDH|11075292205528075477</stp>
        <tr r="L20" s="8"/>
      </tp>
      <tp t="s">
        <v>#N/A N/A</v>
        <stp/>
        <stp>BDH|14250847318687460515</stp>
        <tr r="I23" s="2"/>
      </tp>
      <tp t="s">
        <v>#N/A N/A</v>
        <stp/>
        <stp>BDH|12282595790887237621</stp>
        <tr r="D17" s="2"/>
      </tp>
      <tp t="s">
        <v>#N/A N/A</v>
        <stp/>
        <stp>BDH|12497891419161844564</stp>
        <tr r="I18" s="12"/>
      </tp>
      <tp t="s">
        <v>#N/A N/A</v>
        <stp/>
        <stp>BDH|12223879499408728411</stp>
        <tr r="M13" s="11"/>
      </tp>
      <tp t="s">
        <v>#N/A N/A</v>
        <stp/>
        <stp>BDH|12660944414430541592</stp>
        <tr r="Q18" s="13"/>
      </tp>
      <tp t="s">
        <v>#N/A N/A</v>
        <stp/>
        <stp>BDH|12043006332929912761</stp>
        <tr r="L14" s="2"/>
      </tp>
      <tp t="s">
        <v>#N/A N/A</v>
        <stp/>
        <stp>BDH|16808483628907745821</stp>
        <tr r="F17" s="9"/>
      </tp>
      <tp t="s">
        <v>#N/A N/A</v>
        <stp/>
        <stp>BDH|10406806512874238290</stp>
        <tr r="F13" s="9"/>
      </tp>
      <tp t="s">
        <v>#N/A N/A</v>
        <stp/>
        <stp>BDH|12799849188499053467</stp>
        <tr r="P21" s="5"/>
      </tp>
      <tp t="s">
        <v>#N/A N/A</v>
        <stp/>
        <stp>BDH|18272269359950504052</stp>
        <tr r="T17" s="7"/>
      </tp>
      <tp t="s">
        <v>#N/A N/A</v>
        <stp/>
        <stp>BDH|10542033129878237516</stp>
        <tr r="C18" s="3"/>
      </tp>
      <tp t="s">
        <v>#N/A N/A</v>
        <stp/>
        <stp>BDH|13655529353599813536</stp>
        <tr r="M9" s="3"/>
      </tp>
      <tp t="s">
        <v>#N/A N/A</v>
        <stp/>
        <stp>BDH|16780417730878339698</stp>
        <tr r="J10" s="13"/>
      </tp>
      <tp t="s">
        <v>#N/A N/A</v>
        <stp/>
        <stp>BDH|10886637820989648211</stp>
        <tr r="H8" s="4"/>
      </tp>
      <tp t="s">
        <v>#N/A N/A</v>
        <stp/>
        <stp>BDH|16002727230149763492</stp>
        <tr r="G13" s="7"/>
      </tp>
      <tp t="s">
        <v>#N/A N/A</v>
        <stp/>
        <stp>BDH|14200892706135878690</stp>
        <tr r="P10" s="4"/>
      </tp>
      <tp t="s">
        <v>#N/A N/A</v>
        <stp/>
        <stp>BDH|12875391389906252051</stp>
        <tr r="P20" s="5"/>
      </tp>
      <tp t="s">
        <v>#N/A N/A</v>
        <stp/>
        <stp>BDH|18167504944282387490</stp>
        <tr r="K7" s="12"/>
      </tp>
      <tp t="s">
        <v>#N/A N/A</v>
        <stp/>
        <stp>BDH|12946288128384642905</stp>
        <tr r="C10" s="10"/>
      </tp>
      <tp t="s">
        <v>#N/A N/A</v>
        <stp/>
        <stp>BDH|11277935330353862769</stp>
        <tr r="D16" s="2"/>
      </tp>
      <tp t="s">
        <v>#N/A N/A</v>
        <stp/>
        <stp>BDH|15854002162275096950</stp>
        <tr r="P17" s="6"/>
      </tp>
      <tp t="s">
        <v>#N/A N/A</v>
        <stp/>
        <stp>BDH|16497118498991532079</stp>
        <tr r="H14" s="5"/>
      </tp>
      <tp t="s">
        <v>#N/A N/A</v>
        <stp/>
        <stp>BDH|11626198310118282623</stp>
        <tr r="D6" s="13"/>
      </tp>
      <tp t="s">
        <v>#N/A N/A</v>
        <stp/>
        <stp>BDH|11328905814061914710</stp>
        <tr r="C17" s="2"/>
      </tp>
      <tp t="s">
        <v>#N/A N/A</v>
        <stp/>
        <stp>BDH|14005599688717779182</stp>
        <tr r="R14" s="6"/>
      </tp>
      <tp t="s">
        <v>#N/A N/A</v>
        <stp/>
        <stp>BDH|17624136359335284905</stp>
        <tr r="D9" s="2"/>
      </tp>
      <tp t="s">
        <v>#N/A N/A</v>
        <stp/>
        <stp>BDH|12839479277177043960</stp>
        <tr r="G21" s="11"/>
      </tp>
      <tp t="s">
        <v>#N/A N/A</v>
        <stp/>
        <stp>BDH|11051138984393868415</stp>
        <tr r="K14" s="13"/>
      </tp>
      <tp t="s">
        <v>#N/A N/A</v>
        <stp/>
        <stp>BDH|12089688553758271670</stp>
        <tr r="H8" s="10"/>
      </tp>
      <tp t="s">
        <v>#N/A N/A</v>
        <stp/>
        <stp>BDH|15554828199853677862</stp>
        <tr r="P7" s="12"/>
      </tp>
      <tp t="s">
        <v>#N/A N/A</v>
        <stp/>
        <stp>BDH|13616118289736979066</stp>
        <tr r="E24" s="4"/>
      </tp>
      <tp t="s">
        <v>#N/A N/A</v>
        <stp/>
        <stp>BDH|13194019540702427958</stp>
        <tr r="P9" s="6"/>
      </tp>
      <tp t="s">
        <v>#N/A N/A</v>
        <stp/>
        <stp>BDH|12345703496431471109</stp>
        <tr r="O21" s="8"/>
      </tp>
      <tp t="s">
        <v>#N/A N/A</v>
        <stp/>
        <stp>BDH|16089103557247054970</stp>
        <tr r="D12" s="13"/>
      </tp>
      <tp t="s">
        <v>#N/A N/A</v>
        <stp/>
        <stp>BDH|13022858812807330143</stp>
        <tr r="Q9" s="6"/>
      </tp>
      <tp t="s">
        <v>#N/A N/A</v>
        <stp/>
        <stp>BDH|11840768629631493931</stp>
        <tr r="M14" s="6"/>
      </tp>
      <tp t="s">
        <v>#N/A N/A</v>
        <stp/>
        <stp>BDH|12529008751778433337</stp>
        <tr r="E19" s="10"/>
      </tp>
      <tp t="s">
        <v>#N/A N/A</v>
        <stp/>
        <stp>BDH|10195460006059427169</stp>
        <tr r="F7" s="4"/>
      </tp>
      <tp t="s">
        <v>#N/A N/A</v>
        <stp/>
        <stp>BDH|11370094675233547994</stp>
        <tr r="D17" s="5"/>
      </tp>
      <tp t="s">
        <v>#N/A N/A</v>
        <stp/>
        <stp>BDH|15228897308195126411</stp>
        <tr r="S13" s="7"/>
      </tp>
      <tp t="s">
        <v>#N/A N/A</v>
        <stp/>
        <stp>BDH|12795947694879323773</stp>
        <tr r="J18" s="6"/>
      </tp>
      <tp t="s">
        <v>#N/A N/A</v>
        <stp/>
        <stp>BDH|15654306493125443623</stp>
        <tr r="M7" s="9"/>
      </tp>
      <tp t="s">
        <v>#N/A N/A</v>
        <stp/>
        <stp>BDH|13411691599711482121</stp>
        <tr r="M9" s="10"/>
      </tp>
      <tp t="s">
        <v>#N/A N/A</v>
        <stp/>
        <stp>BDH|17714796061908451296</stp>
        <tr r="K8" s="10"/>
      </tp>
      <tp t="s">
        <v>#N/A N/A</v>
        <stp/>
        <stp>BDH|15178789436608933531</stp>
        <tr r="H7" s="12"/>
      </tp>
      <tp t="s">
        <v>#N/A N/A</v>
        <stp/>
        <stp>BDH|10425304301417043808</stp>
        <tr r="I8" s="8"/>
      </tp>
      <tp t="s">
        <v>#N/A N/A</v>
        <stp/>
        <stp>BDH|11266508337288992399</stp>
        <tr r="J12" s="9"/>
      </tp>
      <tp t="s">
        <v>#N/A N/A</v>
        <stp/>
        <stp>BDH|16301647454669050067</stp>
        <tr r="N14" s="6"/>
      </tp>
      <tp t="s">
        <v>#N/A N/A</v>
        <stp/>
        <stp>BDH|16028214480680003041</stp>
        <tr r="R9" s="4"/>
      </tp>
      <tp t="s">
        <v>#N/A N/A</v>
        <stp/>
        <stp>BDH|16494803008580873218</stp>
        <tr r="I24" s="4"/>
      </tp>
      <tp t="s">
        <v>#N/A N/A</v>
        <stp/>
        <stp>BDH|18190717317733391110</stp>
        <tr r="I24" s="10"/>
      </tp>
      <tp t="s">
        <v>#N/A N/A</v>
        <stp/>
        <stp>BDH|14700279755929857685</stp>
        <tr r="D9" s="6"/>
      </tp>
      <tp t="s">
        <v>#N/A N/A</v>
        <stp/>
        <stp>BDH|17013045144006749927</stp>
        <tr r="D11" s="9"/>
      </tp>
      <tp t="s">
        <v>#N/A N/A</v>
        <stp/>
        <stp>BDH|13208277837597747902</stp>
        <tr r="D18" s="11"/>
      </tp>
      <tp t="s">
        <v>#N/A N/A</v>
        <stp/>
        <stp>BDH|12906840477128759980</stp>
        <tr r="Q9" s="9"/>
      </tp>
      <tp t="s">
        <v>#N/A N/A</v>
        <stp/>
        <stp>BDH|13762474819573815958</stp>
        <tr r="I13" s="12"/>
      </tp>
      <tp t="s">
        <v>#N/A N/A</v>
        <stp/>
        <stp>BDH|14584130712898356034</stp>
        <tr r="O7" s="5"/>
      </tp>
      <tp t="s">
        <v>#N/A N/A</v>
        <stp/>
        <stp>BDH|17513100071684315931</stp>
        <tr r="F22" s="10"/>
      </tp>
      <tp t="s">
        <v>#N/A N/A</v>
        <stp/>
        <stp>BDH|14365888605397394792</stp>
        <tr r="M13" s="6"/>
      </tp>
      <tp t="s">
        <v>#N/A N/A</v>
        <stp/>
        <stp>BDH|16457622822446045801</stp>
        <tr r="G15" s="2"/>
      </tp>
      <tp t="s">
        <v>#N/A N/A</v>
        <stp/>
        <stp>BDH|14922538441618685190</stp>
        <tr r="G22" s="8"/>
      </tp>
      <tp t="s">
        <v>#N/A N/A</v>
        <stp/>
        <stp>BDH|16040493883994437296</stp>
        <tr r="O14" s="12"/>
      </tp>
      <tp t="s">
        <v>#N/A N/A</v>
        <stp/>
        <stp>BDH|15540568303928497436</stp>
        <tr r="J23" s="10"/>
      </tp>
      <tp t="s">
        <v>#N/A N/A</v>
        <stp/>
        <stp>BDH|15032802215153582370</stp>
        <tr r="F9" s="4"/>
      </tp>
      <tp t="s">
        <v>#N/A N/A</v>
        <stp/>
        <stp>BDH|18054928549201949858</stp>
        <tr r="C14" s="10"/>
      </tp>
      <tp t="s">
        <v>#N/A N/A</v>
        <stp/>
        <stp>BDH|16270617082361575537</stp>
        <tr r="F20" s="7"/>
      </tp>
      <tp t="s">
        <v>#N/A N/A</v>
        <stp/>
        <stp>BDH|12660261852268301167</stp>
        <tr r="O12" s="8"/>
      </tp>
      <tp t="s">
        <v>#N/A N/A</v>
        <stp/>
        <stp>BDH|11311669683933034013</stp>
        <tr r="L13" s="3"/>
      </tp>
      <tp t="s">
        <v>#N/A N/A</v>
        <stp/>
        <stp>BDH|18366455352440626553</stp>
        <tr r="D14" s="5"/>
      </tp>
      <tp t="s">
        <v>#N/A N/A</v>
        <stp/>
        <stp>BDH|12890794385954588570</stp>
        <tr r="F13" s="4"/>
      </tp>
      <tp t="s">
        <v>#N/A N/A</v>
        <stp/>
        <stp>BDH|15692875924207498474</stp>
        <tr r="H25" s="5"/>
      </tp>
      <tp t="s">
        <v>#N/A N/A</v>
        <stp/>
        <stp>BDH|17339566286455587309</stp>
        <tr r="C17" s="9"/>
      </tp>
      <tp t="s">
        <v>#N/A N/A</v>
        <stp/>
        <stp>BDH|17037948500525502778</stp>
        <tr r="I15" s="12"/>
      </tp>
      <tp t="s">
        <v>#N/A N/A</v>
        <stp/>
        <stp>BDH|17885721190796128324</stp>
        <tr r="K17" s="5"/>
      </tp>
      <tp t="s">
        <v>#N/A N/A</v>
        <stp/>
        <stp>BDH|15561991362854289254</stp>
        <tr r="O9" s="6"/>
      </tp>
      <tp t="s">
        <v>#N/A N/A</v>
        <stp/>
        <stp>BDH|12998021044918046264</stp>
        <tr r="Q24" s="12"/>
      </tp>
      <tp t="s">
        <v>#N/A N/A</v>
        <stp/>
        <stp>BDH|17615157679355659850</stp>
        <tr r="P20" s="9"/>
      </tp>
      <tp t="s">
        <v>#N/A N/A</v>
        <stp/>
        <stp>BDH|16307242878336085969</stp>
        <tr r="L17" s="13"/>
      </tp>
      <tp t="s">
        <v>#N/A N/A</v>
        <stp/>
        <stp>BDH|13514780927458358218</stp>
        <tr r="K8" s="5"/>
      </tp>
      <tp t="s">
        <v>#N/A N/A</v>
        <stp/>
        <stp>BDH|13674549187506404497</stp>
        <tr r="D16" s="13"/>
      </tp>
      <tp t="s">
        <v>#N/A N/A</v>
        <stp/>
        <stp>BDH|10357195388796379391</stp>
        <tr r="H15" s="10"/>
      </tp>
      <tp t="s">
        <v>#N/A N/A</v>
        <stp/>
        <stp>BDH|11194707371265350883</stp>
        <tr r="C18" s="13"/>
      </tp>
      <tp t="s">
        <v>#N/A N/A</v>
        <stp/>
        <stp>BDH|17222418139994669872</stp>
        <tr r="E16" s="10"/>
      </tp>
      <tp t="s">
        <v>#N/A N/A</v>
        <stp/>
        <stp>BDH|12050439503852800832</stp>
        <tr r="F9" s="5"/>
      </tp>
      <tp t="s">
        <v>#N/A N/A</v>
        <stp/>
        <stp>BDH|14616345154867975950</stp>
        <tr r="I23" s="12"/>
      </tp>
      <tp t="s">
        <v>#N/A N/A</v>
        <stp/>
        <stp>BDH|13659563399624380700</stp>
        <tr r="O19" s="12"/>
      </tp>
      <tp t="s">
        <v>#N/A N/A</v>
        <stp/>
        <stp>BDH|11185302159629481268</stp>
        <tr r="N14" s="8"/>
      </tp>
      <tp t="s">
        <v>#N/A N/A</v>
        <stp/>
        <stp>BDH|17514102788425239757</stp>
        <tr r="L13" s="10"/>
      </tp>
      <tp t="s">
        <v>#N/A N/A</v>
        <stp/>
        <stp>BDH|13094442649137192861</stp>
        <tr r="P8" s="4"/>
      </tp>
      <tp t="s">
        <v>#N/A N/A</v>
        <stp/>
        <stp>BDH|11608413595279042985</stp>
        <tr r="R11" s="7"/>
      </tp>
      <tp t="s">
        <v>#N/A N/A</v>
        <stp/>
        <stp>BDH|15713808884528953170</stp>
        <tr r="I13" s="9"/>
      </tp>
      <tp t="s">
        <v>#N/A N/A</v>
        <stp/>
        <stp>BDH|13280934436414940132</stp>
        <tr r="G7" s="13"/>
      </tp>
      <tp t="s">
        <v>#N/A N/A</v>
        <stp/>
        <stp>BDH|12412977472931584199</stp>
        <tr r="M8" s="6"/>
      </tp>
      <tp t="s">
        <v>#N/A N/A</v>
        <stp/>
        <stp>BDH|14209694996703763468</stp>
        <tr r="M6" s="5"/>
      </tp>
      <tp t="s">
        <v>#N/A N/A</v>
        <stp/>
        <stp>BDH|18044191342999343876</stp>
        <tr r="J14" s="11"/>
      </tp>
      <tp t="s">
        <v>#N/A N/A</v>
        <stp/>
        <stp>BDH|10295241601967087987</stp>
        <tr r="K22" s="5"/>
      </tp>
      <tp t="s">
        <v>#N/A N/A</v>
        <stp/>
        <stp>BDH|11662377379208170161</stp>
        <tr r="D15" s="2"/>
      </tp>
      <tp t="s">
        <v>#N/A N/A</v>
        <stp/>
        <stp>BDH|15715586937356769918</stp>
        <tr r="J22" s="6"/>
      </tp>
      <tp t="s">
        <v>#N/A N/A</v>
        <stp/>
        <stp>BDH|10127444801781364998</stp>
        <tr r="E8" s="4"/>
      </tp>
      <tp t="s">
        <v>#N/A N/A</v>
        <stp/>
        <stp>BDH|13045413912618857255</stp>
        <tr r="F19" s="10"/>
      </tp>
      <tp t="s">
        <v>#N/A N/A</v>
        <stp/>
        <stp>BDH|12822323847838816042</stp>
        <tr r="J17" s="6"/>
      </tp>
      <tp t="s">
        <v>#N/A N/A</v>
        <stp/>
        <stp>BDH|12059222607155245874</stp>
        <tr r="U15" s="7"/>
      </tp>
      <tp t="s">
        <v>#N/A N/A</v>
        <stp/>
        <stp>BDH|13724971245056275571</stp>
        <tr r="M13" s="13"/>
      </tp>
      <tp t="s">
        <v>#N/A N/A</v>
        <stp/>
        <stp>BDH|16763672574762231864</stp>
        <tr r="C13" s="13"/>
      </tp>
      <tp t="s">
        <v>#N/A N/A</v>
        <stp/>
        <stp>BDH|18114081418874260001</stp>
        <tr r="H19" s="2"/>
      </tp>
      <tp t="s">
        <v>#N/A N/A</v>
        <stp/>
        <stp>BDH|13322371555778387005</stp>
        <tr r="K15" s="10"/>
      </tp>
      <tp t="s">
        <v>#N/A N/A</v>
        <stp/>
        <stp>BDH|15103142287146298729</stp>
        <tr r="L12" s="13"/>
      </tp>
      <tp t="s">
        <v>#N/A N/A</v>
        <stp/>
        <stp>BDH|11025132581194131111</stp>
        <tr r="H7" s="8"/>
      </tp>
      <tp t="s">
        <v>#N/A N/A</v>
        <stp/>
        <stp>BDH|13747621982268579807</stp>
        <tr r="L17" s="9"/>
      </tp>
      <tp t="s">
        <v>#N/A N/A</v>
        <stp/>
        <stp>BDH|10477718424599215161</stp>
        <tr r="H14" s="11"/>
      </tp>
      <tp t="s">
        <v>#N/A N/A</v>
        <stp/>
        <stp>BDH|15488653642293711916</stp>
        <tr r="H18" s="13"/>
      </tp>
      <tp t="s">
        <v>#N/A N/A</v>
        <stp/>
        <stp>BDH|15466601905528367676</stp>
        <tr r="J21" s="13"/>
      </tp>
      <tp t="s">
        <v>#N/A N/A</v>
        <stp/>
        <stp>BDH|14875019482661809074</stp>
        <tr r="D10" s="4"/>
      </tp>
      <tp t="s">
        <v>#N/A N/A</v>
        <stp/>
        <stp>BDH|13971567982427148483</stp>
        <tr r="E16" s="8"/>
      </tp>
      <tp t="s">
        <v>#N/A N/A</v>
        <stp/>
        <stp>BDH|15819565235419820773</stp>
        <tr r="F24" s="2"/>
      </tp>
      <tp t="s">
        <v>#N/A N/A</v>
        <stp/>
        <stp>BDH|10293161801715684971</stp>
        <tr r="H21" s="8"/>
      </tp>
      <tp t="s">
        <v>#N/A N/A</v>
        <stp/>
        <stp>BDH|10062976695344773910</stp>
        <tr r="E9" s="10"/>
      </tp>
      <tp t="s">
        <v>#N/A N/A</v>
        <stp/>
        <stp>BDH|12741012016389274759</stp>
        <tr r="O23" s="4"/>
      </tp>
      <tp t="s">
        <v>#N/A N/A</v>
        <stp/>
        <stp>BDH|12574820898226899807</stp>
        <tr r="F9" s="7"/>
      </tp>
      <tp t="s">
        <v>#N/A N/A</v>
        <stp/>
        <stp>BDH|17454770103814195961</stp>
        <tr r="K17" s="10"/>
      </tp>
      <tp t="s">
        <v>#N/A N/A</v>
        <stp/>
        <stp>BDH|15303817604228887898</stp>
        <tr r="G14" s="12"/>
      </tp>
      <tp t="s">
        <v>#N/A N/A</v>
        <stp/>
        <stp>BDH|15183521310749388565</stp>
        <tr r="I10" s="3"/>
      </tp>
      <tp t="s">
        <v>#N/A N/A</v>
        <stp/>
        <stp>BDH|10922568286415787587</stp>
        <tr r="P7" s="4"/>
      </tp>
      <tp t="s">
        <v>#N/A N/A</v>
        <stp/>
        <stp>BDH|14705188986338979896</stp>
        <tr r="J13" s="10"/>
      </tp>
      <tp t="s">
        <v>#N/A N/A</v>
        <stp/>
        <stp>BDH|17636234100829492182</stp>
        <tr r="N16" s="7"/>
      </tp>
      <tp t="s">
        <v>#N/A N/A</v>
        <stp/>
        <stp>BDH|13925247567773711959</stp>
        <tr r="D25" s="5"/>
      </tp>
      <tp t="s">
        <v>#N/A N/A</v>
        <stp/>
        <stp>BDH|14503399662538081468</stp>
        <tr r="O8" s="12"/>
      </tp>
      <tp t="s">
        <v>#N/A N/A</v>
        <stp/>
        <stp>BDH|17625269584141722182</stp>
        <tr r="G13" s="13"/>
      </tp>
      <tp t="s">
        <v>#N/A N/A</v>
        <stp/>
        <stp>BDH|15297205859827935898</stp>
        <tr r="D12" s="11"/>
      </tp>
      <tp t="s">
        <v>#N/A N/A</v>
        <stp/>
        <stp>BDH|11391930501846313396</stp>
        <tr r="F15" s="4"/>
      </tp>
      <tp t="s">
        <v>#N/A N/A</v>
        <stp/>
        <stp>BDH|16125894707255403619</stp>
        <tr r="M21" s="6"/>
      </tp>
      <tp t="s">
        <v>#N/A N/A</v>
        <stp/>
        <stp>BDH|13704091405847226937</stp>
        <tr r="I17" s="12"/>
      </tp>
      <tp t="s">
        <v>#N/A N/A</v>
        <stp/>
        <stp>BDH|12434520916653242882</stp>
        <tr r="I20" s="7"/>
      </tp>
      <tp t="s">
        <v>#N/A N/A</v>
        <stp/>
        <stp>BDH|12948836824176699328</stp>
        <tr r="C17" s="8"/>
      </tp>
      <tp t="s">
        <v>#N/A N/A</v>
        <stp/>
        <stp>BDH|16822078587911125236</stp>
        <tr r="H7" s="9"/>
      </tp>
      <tp t="s">
        <v>#N/A N/A</v>
        <stp/>
        <stp>BDH|12914651281199662812</stp>
        <tr r="F23" s="4"/>
      </tp>
      <tp t="s">
        <v>#N/A N/A</v>
        <stp/>
        <stp>BDH|13001998877366014633</stp>
        <tr r="D8" s="4"/>
      </tp>
      <tp t="s">
        <v>#N/A N/A</v>
        <stp/>
        <stp>BDH|17519308207170720985</stp>
        <tr r="G11" s="7"/>
      </tp>
      <tp t="s">
        <v>#N/A N/A</v>
        <stp/>
        <stp>BDH|16297147326558912049</stp>
        <tr r="G7" s="7"/>
      </tp>
      <tp t="s">
        <v>#N/A N/A</v>
        <stp/>
        <stp>BDH|18064363117014460398</stp>
        <tr r="G23" s="2"/>
      </tp>
      <tp t="s">
        <v>#N/A N/A</v>
        <stp/>
        <stp>BDH|11976947358962973205</stp>
        <tr r="E18" s="13"/>
      </tp>
      <tp t="s">
        <v>#N/A N/A</v>
        <stp/>
        <stp>BDH|13557078107258106685</stp>
        <tr r="S16" s="7"/>
      </tp>
      <tp t="s">
        <v>#N/A N/A</v>
        <stp/>
        <stp>BDH|13753964670893860356</stp>
        <tr r="O14" s="5"/>
      </tp>
      <tp t="s">
        <v>#N/A N/A</v>
        <stp/>
        <stp>BDH|14643245307589990204</stp>
        <tr r="K20" s="13"/>
      </tp>
      <tp t="s">
        <v>#N/A N/A</v>
        <stp/>
        <stp>BDH|15016051672308822731</stp>
        <tr r="E15" s="8"/>
      </tp>
      <tp t="s">
        <v>#N/A N/A</v>
        <stp/>
        <stp>BDH|13390669349528550461</stp>
        <tr r="H16" s="5"/>
      </tp>
      <tp t="s">
        <v>#N/A N/A</v>
        <stp/>
        <stp>BDH|13498734282930368193</stp>
        <tr r="H9" s="9"/>
      </tp>
      <tp t="s">
        <v>#N/A N/A</v>
        <stp/>
        <stp>BDH|15946843425786504425</stp>
        <tr r="G15" s="6"/>
      </tp>
      <tp t="s">
        <v>#N/A N/A</v>
        <stp/>
        <stp>BDH|11160407071897046717</stp>
        <tr r="M9" s="11"/>
      </tp>
      <tp t="s">
        <v>#N/A N/A</v>
        <stp/>
        <stp>BDH|13602313806911753375</stp>
        <tr r="C13" s="11"/>
      </tp>
      <tp t="s">
        <v>#N/A N/A</v>
        <stp/>
        <stp>BDH|12857991580189560859</stp>
        <tr r="F6" s="13"/>
      </tp>
      <tp t="s">
        <v>#N/A N/A</v>
        <stp/>
        <stp>BDH|18251905443932652565</stp>
        <tr r="N22" s="4"/>
      </tp>
      <tp t="s">
        <v>#N/A N/A</v>
        <stp/>
        <stp>BDH|17828685164454301166</stp>
        <tr r="F6" s="3"/>
      </tp>
      <tp t="s">
        <v>#N/A N/A</v>
        <stp/>
        <stp>BDH|16146266123350375463</stp>
        <tr r="J15" s="4"/>
      </tp>
      <tp t="s">
        <v>#N/A N/A</v>
        <stp/>
        <stp>BDH|13402443230995287336</stp>
        <tr r="D12" s="3"/>
      </tp>
      <tp t="s">
        <v>#N/A N/A</v>
        <stp/>
        <stp>BDH|14583558563097723249</stp>
        <tr r="J8" s="5"/>
      </tp>
      <tp t="s">
        <v>#N/A N/A</v>
        <stp/>
        <stp>BDH|11383770812784152171</stp>
        <tr r="E22" s="13"/>
      </tp>
      <tp t="s">
        <v>#N/A N/A</v>
        <stp/>
        <stp>BDH|16301043943899024941</stp>
        <tr r="F17" s="11"/>
      </tp>
      <tp t="s">
        <v>#N/A N/A</v>
        <stp/>
        <stp>BDH|12403343228620053182</stp>
        <tr r="K15" s="4"/>
      </tp>
      <tp t="s">
        <v>#N/A N/A</v>
        <stp/>
        <stp>BDH|15452014647086290508</stp>
        <tr r="M14" s="4"/>
      </tp>
      <tp t="s">
        <v>#N/A N/A</v>
        <stp/>
        <stp>BDH|16975771024705842422</stp>
        <tr r="J16" s="7"/>
      </tp>
      <tp t="s">
        <v>#N/A N/A</v>
        <stp/>
        <stp>BDH|13612775675533154252</stp>
        <tr r="K13" s="7"/>
      </tp>
      <tp t="s">
        <v>#N/A N/A</v>
        <stp/>
        <stp>BDH|11344364581408427035</stp>
        <tr r="E18" s="11"/>
      </tp>
      <tp t="s">
        <v>#N/A N/A</v>
        <stp/>
        <stp>BDH|17317273946170628372</stp>
        <tr r="N12" s="7"/>
      </tp>
      <tp t="s">
        <v>#N/A N/A</v>
        <stp/>
        <stp>BDH|14642568622803542241</stp>
        <tr r="H16" s="4"/>
      </tp>
      <tp t="s">
        <v>#N/A N/A</v>
        <stp/>
        <stp>BDH|15352326732124072301</stp>
        <tr r="G23" s="4"/>
      </tp>
      <tp t="s">
        <v>#N/A N/A</v>
        <stp/>
        <stp>BDH|15284995698655733261</stp>
        <tr r="J12" s="11"/>
      </tp>
      <tp t="s">
        <v>#N/A N/A</v>
        <stp/>
        <stp>BDH|13357355415955054614</stp>
        <tr r="M13" s="7"/>
      </tp>
      <tp t="s">
        <v>#N/A N/A</v>
        <stp/>
        <stp>BDH|12728044161357332135</stp>
        <tr r="J13" s="11"/>
      </tp>
      <tp t="s">
        <v>#N/A N/A</v>
        <stp/>
        <stp>BDH|14538644701490686049</stp>
        <tr r="G21" s="8"/>
      </tp>
      <tp t="s">
        <v>#N/A N/A</v>
        <stp/>
        <stp>BDH|16868202518257274000</stp>
        <tr r="N18" s="12"/>
      </tp>
      <tp t="s">
        <v>#N/A N/A</v>
        <stp/>
        <stp>BDH|12191459458581814063</stp>
        <tr r="J23" s="2"/>
      </tp>
      <tp t="s">
        <v>#N/A N/A</v>
        <stp/>
        <stp>BDH|17307073277191463351</stp>
        <tr r="T13" s="7"/>
      </tp>
      <tp t="s">
        <v>#N/A N/A</v>
        <stp/>
        <stp>BDH|14118262431314191325</stp>
        <tr r="C14" s="12"/>
      </tp>
      <tp t="s">
        <v>#N/A N/A</v>
        <stp/>
        <stp>BDH|17174537922562608039</stp>
        <tr r="L8" s="3"/>
      </tp>
      <tp t="s">
        <v>#N/A N/A</v>
        <stp/>
        <stp>BDH|10960993892103223155</stp>
        <tr r="I16" s="9"/>
      </tp>
      <tp t="s">
        <v>#N/A N/A</v>
        <stp/>
        <stp>BDH|10741723397274763801</stp>
        <tr r="M8" s="10"/>
      </tp>
      <tp t="s">
        <v>#N/A N/A</v>
        <stp/>
        <stp>BDH|10079875081287374506</stp>
        <tr r="K21" s="13"/>
      </tp>
      <tp t="s">
        <v>#N/A N/A</v>
        <stp/>
        <stp>BDH|17719963073342525926</stp>
        <tr r="P19" s="4"/>
      </tp>
      <tp t="s">
        <v>#N/A N/A</v>
        <stp/>
        <stp>BDH|16455153629192993555</stp>
        <tr r="E8" s="3"/>
      </tp>
      <tp t="s">
        <v>#N/A N/A</v>
        <stp/>
        <stp>BDH|17253019916524100007</stp>
        <tr r="F8" s="4"/>
      </tp>
      <tp t="s">
        <v>#N/A N/A</v>
        <stp/>
        <stp>BDH|18263372610690963884</stp>
        <tr r="K16" s="10"/>
      </tp>
      <tp t="s">
        <v>#N/A N/A</v>
        <stp/>
        <stp>BDH|13628755157685822683</stp>
        <tr r="H23" s="10"/>
      </tp>
      <tp t="s">
        <v>#N/A N/A</v>
        <stp/>
        <stp>BDH|11503094771367829321</stp>
        <tr r="R18" s="5"/>
      </tp>
      <tp t="s">
        <v>#N/A N/A</v>
        <stp/>
        <stp>BDH|12960680890199193661</stp>
        <tr r="K18" s="2"/>
      </tp>
      <tp t="s">
        <v>#N/A N/A</v>
        <stp/>
        <stp>BDH|15594339955858103944</stp>
        <tr r="O9" s="8"/>
      </tp>
      <tp t="s">
        <v>#N/A N/A</v>
        <stp/>
        <stp>BDH|13220947773427625851</stp>
        <tr r="G8" s="3"/>
      </tp>
      <tp t="s">
        <v>#N/A N/A</v>
        <stp/>
        <stp>BDH|14368165825322663701</stp>
        <tr r="O7" s="6"/>
      </tp>
      <tp t="s">
        <v>#N/A N/A</v>
        <stp/>
        <stp>BDH|16336376467804881529</stp>
        <tr r="E9" s="12"/>
      </tp>
      <tp t="s">
        <v>#N/A N/A</v>
        <stp/>
        <stp>BDH|16143423216292469384</stp>
        <tr r="F10" s="4"/>
      </tp>
      <tp t="s">
        <v>#N/A N/A</v>
        <stp/>
        <stp>BDH|14830892489577400151</stp>
        <tr r="H10" s="5"/>
      </tp>
      <tp t="s">
        <v>#N/A N/A</v>
        <stp/>
        <stp>BDH|13809312752697121029</stp>
        <tr r="C7" s="8"/>
      </tp>
      <tp t="s">
        <v>#N/A N/A</v>
        <stp/>
        <stp>BDH|14060655324052079097</stp>
        <tr r="D7" s="4"/>
      </tp>
      <tp t="s">
        <v>#N/A N/A</v>
        <stp/>
        <stp>BDH|13578526063107540597</stp>
        <tr r="D16" s="8"/>
      </tp>
      <tp t="s">
        <v>#N/A N/A</v>
        <stp/>
        <stp>BDH|12082687005855221376</stp>
        <tr r="F20" s="3"/>
      </tp>
      <tp t="s">
        <v>#N/A N/A</v>
        <stp/>
        <stp>BDH|13227267169675630031</stp>
        <tr r="I25" s="2"/>
      </tp>
      <tp t="s">
        <v>#N/A N/A</v>
        <stp/>
        <stp>BDH|12462071730680144393</stp>
        <tr r="Q14" s="6"/>
      </tp>
      <tp t="s">
        <v>#N/A N/A</v>
        <stp/>
        <stp>BDH|15042405491279228397</stp>
        <tr r="I10" s="10"/>
      </tp>
      <tp t="s">
        <v>#N/A N/A</v>
        <stp/>
        <stp>BDH|11707234977114974206</stp>
        <tr r="K18" s="5"/>
      </tp>
      <tp t="s">
        <v>#N/A N/A</v>
        <stp/>
        <stp>BDH|16231448767387940157</stp>
        <tr r="F21" s="5"/>
      </tp>
      <tp t="s">
        <v>#N/A N/A</v>
        <stp/>
        <stp>BDH|18410580787031189676</stp>
        <tr r="K10" s="2"/>
      </tp>
      <tp t="s">
        <v>#N/A N/A</v>
        <stp/>
        <stp>BDH|13256724409582724438</stp>
        <tr r="M15" s="4"/>
      </tp>
      <tp t="s">
        <v>#N/A N/A</v>
        <stp/>
        <stp>BDH|10548870680482791087</stp>
        <tr r="D22" s="3"/>
      </tp>
      <tp t="s">
        <v>#N/A N/A</v>
        <stp/>
        <stp>BDH|10753717859161220106</stp>
        <tr r="I12" s="3"/>
      </tp>
      <tp t="s">
        <v>#N/A N/A</v>
        <stp/>
        <stp>BDH|16112355218047716163</stp>
        <tr r="E23" s="6"/>
      </tp>
      <tp t="s">
        <v>#N/A N/A</v>
        <stp/>
        <stp>BDH|15006244805135814040</stp>
        <tr r="R13" s="13"/>
      </tp>
      <tp t="s">
        <v>#N/A N/A</v>
        <stp/>
        <stp>BDH|17495688906987011463</stp>
        <tr r="I15" s="6"/>
      </tp>
      <tp t="s">
        <v>#N/A N/A</v>
        <stp/>
        <stp>BDH|18409797500869704456</stp>
        <tr r="L24" s="12"/>
      </tp>
      <tp t="s">
        <v>#N/A N/A</v>
        <stp/>
        <stp>BDH|15965353531921428667</stp>
        <tr r="J9" s="5"/>
      </tp>
      <tp t="s">
        <v>#N/A N/A</v>
        <stp/>
        <stp>BDH|11802531524636549252</stp>
        <tr r="F8" s="5"/>
      </tp>
      <tp t="s">
        <v>#N/A N/A</v>
        <stp/>
        <stp>BDH|17604230235033726784</stp>
        <tr r="D22" s="13"/>
      </tp>
      <tp t="s">
        <v>#N/A N/A</v>
        <stp/>
        <stp>BDH|18307435168338326042</stp>
        <tr r="L19" s="4"/>
      </tp>
      <tp t="s">
        <v>#N/A N/A</v>
        <stp/>
        <stp>BDH|17181192147067047712</stp>
        <tr r="G18" s="11"/>
      </tp>
      <tp t="s">
        <v>#N/A N/A</v>
        <stp/>
        <stp>BDH|16161115633763532587</stp>
        <tr r="R22" s="4"/>
      </tp>
      <tp t="s">
        <v>#N/A N/A</v>
        <stp/>
        <stp>BDH|10956308468874941364</stp>
        <tr r="E14" s="4"/>
      </tp>
      <tp t="s">
        <v>#N/A N/A</v>
        <stp/>
        <stp>BDH|11307247075244042338</stp>
        <tr r="J10" s="12"/>
      </tp>
      <tp t="s">
        <v>#N/A N/A</v>
        <stp/>
        <stp>BDH|16559720092968574314</stp>
        <tr r="Q23" s="12"/>
      </tp>
      <tp t="s">
        <v>#N/A N/A</v>
        <stp/>
        <stp>BDH|11572452515806520111</stp>
        <tr r="M17" s="7"/>
      </tp>
      <tp t="s">
        <v>#N/A N/A</v>
        <stp/>
        <stp>BDH|12339028583081624857</stp>
        <tr r="C13" s="3"/>
      </tp>
      <tp t="s">
        <v>#N/A N/A</v>
        <stp/>
        <stp>BDH|10610761820463963581</stp>
        <tr r="L22" s="5"/>
      </tp>
      <tp t="s">
        <v>#N/A N/A</v>
        <stp/>
        <stp>BDH|16480789448764508205</stp>
        <tr r="N7" s="12"/>
      </tp>
      <tp t="s">
        <v>#N/A N/A</v>
        <stp/>
        <stp>BDH|17735871694506444312</stp>
        <tr r="L21" s="3"/>
      </tp>
      <tp t="s">
        <v>#N/A N/A</v>
        <stp/>
        <stp>BDH|10325961393051163265</stp>
        <tr r="K23" s="4"/>
      </tp>
      <tp t="s">
        <v>#N/A N/A</v>
        <stp/>
        <stp>BDH|12951323122054170495</stp>
        <tr r="K22" s="10"/>
      </tp>
      <tp t="s">
        <v>#N/A N/A</v>
        <stp/>
        <stp>BDH|10992207464412857557</stp>
        <tr r="E7" s="6"/>
      </tp>
      <tp t="s">
        <v>#N/A N/A</v>
        <stp/>
        <stp>BDH|17766267626774144060</stp>
        <tr r="F23" s="10"/>
      </tp>
      <tp t="s">
        <v>#N/A N/A</v>
        <stp/>
        <stp>BDH|17472063973440350324</stp>
        <tr r="R6" s="13"/>
      </tp>
      <tp t="s">
        <v>#N/A N/A</v>
        <stp/>
        <stp>BDH|13350313172676607259</stp>
        <tr r="P15" s="9"/>
      </tp>
      <tp t="s">
        <v>#N/A N/A</v>
        <stp/>
        <stp>BDH|18044153006242992895</stp>
        <tr r="T9" s="7"/>
      </tp>
      <tp t="s">
        <v>#N/A N/A</v>
        <stp/>
        <stp>BDH|11715644734957072043</stp>
        <tr r="J17" s="12"/>
      </tp>
      <tp t="s">
        <v>#N/A N/A</v>
        <stp/>
        <stp>BDH|17293352720993586617</stp>
        <tr r="F14" s="4"/>
      </tp>
      <tp t="s">
        <v>#N/A N/A</v>
        <stp/>
        <stp>BDH|13957369078663456702</stp>
        <tr r="N20" s="3"/>
      </tp>
      <tp t="s">
        <v>#N/A N/A</v>
        <stp/>
        <stp>BDH|16719785196193804824</stp>
        <tr r="R12" s="5"/>
      </tp>
      <tp t="s">
        <v>#N/A N/A</v>
        <stp/>
        <stp>BDH|14804266002045750082</stp>
        <tr r="O24" s="12"/>
      </tp>
      <tp t="s">
        <v>#N/A N/A</v>
        <stp/>
        <stp>BDH|14176804980784558371</stp>
        <tr r="C7" s="9"/>
      </tp>
      <tp t="s">
        <v>#N/A N/A</v>
        <stp/>
        <stp>BDH|10464433746945690642</stp>
        <tr r="E14" s="5"/>
      </tp>
      <tp t="s">
        <v>#N/A N/A</v>
        <stp/>
        <stp>BDH|17854680439209206881</stp>
        <tr r="K10" s="4"/>
      </tp>
      <tp t="s">
        <v>#N/A N/A</v>
        <stp/>
        <stp>BDH|18074659781211360450</stp>
        <tr r="F9" s="2"/>
      </tp>
      <tp t="s">
        <v>#N/A N/A</v>
        <stp/>
        <stp>BDH|15092390169165665643</stp>
        <tr r="P22" s="4"/>
      </tp>
      <tp t="s">
        <v>#N/A N/A</v>
        <stp/>
        <stp>BDH|12920468130591453799</stp>
        <tr r="C10" s="13"/>
      </tp>
      <tp t="s">
        <v>#N/A N/A</v>
        <stp/>
        <stp>BDH|12077245127441372023</stp>
        <tr r="E11" s="7"/>
      </tp>
      <tp t="s">
        <v>#N/A N/A</v>
        <stp/>
        <stp>BDH|15289646833502135169</stp>
        <tr r="F7" s="7"/>
      </tp>
      <tp t="s">
        <v>#N/A N/A</v>
        <stp/>
        <stp>BDH|15025682770760211781</stp>
        <tr r="N23" s="6"/>
      </tp>
      <tp t="s">
        <v>#N/A N/A</v>
        <stp/>
        <stp>BDH|17329568244060649559</stp>
        <tr r="G9" s="11"/>
      </tp>
      <tp t="s">
        <v>#N/A N/A</v>
        <stp/>
        <stp>BDH|15150506006396032520</stp>
        <tr r="H13" s="11"/>
      </tp>
      <tp t="s">
        <v>#N/A N/A</v>
        <stp/>
        <stp>BDH|12432428045806420721</stp>
        <tr r="C16" s="8"/>
      </tp>
      <tp t="s">
        <v>#N/A N/A</v>
        <stp/>
        <stp>BDH|14788502421681034125</stp>
        <tr r="K8" s="9"/>
      </tp>
      <tp t="s">
        <v>#N/A N/A</v>
        <stp/>
        <stp>BDH|13276135515891364131</stp>
        <tr r="N22" s="13"/>
      </tp>
      <tp t="s">
        <v>#N/A N/A</v>
        <stp/>
        <stp>BDH|10474064786573917894</stp>
        <tr r="I13" s="6"/>
      </tp>
      <tp t="s">
        <v>#N/A N/A</v>
        <stp/>
        <stp>BDH|11265472616874382346</stp>
        <tr r="C13" s="4"/>
      </tp>
      <tp t="s">
        <v>#N/A N/A</v>
        <stp/>
        <stp>BDH|18423536851249747257</stp>
        <tr r="M13" s="2"/>
      </tp>
      <tp t="s">
        <v>#N/A N/A</v>
        <stp/>
        <stp>BDH|13983014737213286092</stp>
        <tr r="P10" s="5"/>
      </tp>
      <tp t="s">
        <v>#N/A N/A</v>
        <stp/>
        <stp>BDH|15825447326288953842</stp>
        <tr r="Q17" s="5"/>
      </tp>
      <tp t="s">
        <v>#N/A N/A</v>
        <stp/>
        <stp>BDH|14748994586603876577</stp>
        <tr r="D10" s="2"/>
      </tp>
      <tp t="s">
        <v>#N/A N/A</v>
        <stp/>
        <stp>BDH|10342751815230048545</stp>
        <tr r="R10" s="5"/>
      </tp>
      <tp t="s">
        <v>#N/A N/A</v>
        <stp/>
        <stp>BDH|14770788369905904383</stp>
        <tr r="K25" s="2"/>
      </tp>
      <tp t="s">
        <v>#N/A N/A</v>
        <stp/>
        <stp>BDH|11969292223715613738</stp>
        <tr r="F15" s="8"/>
      </tp>
      <tp t="s">
        <v>#N/A N/A</v>
        <stp/>
        <stp>BDH|16081339375960618160</stp>
        <tr r="N19" s="2"/>
      </tp>
      <tp t="s">
        <v>#N/A N/A</v>
        <stp/>
        <stp>BDH|10267125422993160353</stp>
        <tr r="F7" s="5"/>
      </tp>
      <tp t="s">
        <v>#N/A N/A</v>
        <stp/>
        <stp>BDH|14689259254897303729</stp>
        <tr r="N7" s="6"/>
      </tp>
      <tp t="s">
        <v>#N/A N/A</v>
        <stp/>
        <stp>BDH|17546348273735983521</stp>
        <tr r="H17" s="6"/>
      </tp>
      <tp t="s">
        <v>#N/A N/A</v>
        <stp/>
        <stp>BDH|10355400018182315415</stp>
        <tr r="D9" s="3"/>
      </tp>
      <tp t="s">
        <v>#N/A N/A</v>
        <stp/>
        <stp>BDH|15227653452483496691</stp>
        <tr r="E19" s="12"/>
      </tp>
      <tp t="s">
        <v>#N/A N/A</v>
        <stp/>
        <stp>BDH|10940220516137084751</stp>
        <tr r="G12" s="13"/>
      </tp>
      <tp t="s">
        <v>#N/A N/A</v>
        <stp/>
        <stp>BDH|15400796273035006362</stp>
        <tr r="D22" s="12"/>
      </tp>
      <tp t="s">
        <v>#N/A N/A</v>
        <stp/>
        <stp>BDH|12826569160571265371</stp>
        <tr r="K8" s="3"/>
      </tp>
      <tp t="s">
        <v>#N/A N/A</v>
        <stp/>
        <stp>BDH|16704872445979812063</stp>
        <tr r="N14" s="4"/>
      </tp>
      <tp t="s">
        <v>#N/A N/A</v>
        <stp/>
        <stp>BDH|17905060374262982193</stp>
        <tr r="R20" s="7"/>
      </tp>
      <tp t="s">
        <v>#N/A N/A</v>
        <stp/>
        <stp>BDH|14889745160552409430</stp>
        <tr r="G8" s="12"/>
      </tp>
      <tp t="s">
        <v>#N/A N/A</v>
        <stp/>
        <stp>BDH|11709670698904230914</stp>
        <tr r="E17" s="5"/>
      </tp>
      <tp t="s">
        <v>#N/A N/A</v>
        <stp/>
        <stp>BDH|18045697172788586252</stp>
        <tr r="M12" s="9"/>
      </tp>
      <tp t="s">
        <v>#N/A N/A</v>
        <stp/>
        <stp>BDH|10898127051252442553</stp>
        <tr r="N17" s="12"/>
      </tp>
      <tp t="s">
        <v>#N/A N/A</v>
        <stp/>
        <stp>BDH|10860751033993217462</stp>
        <tr r="L25" s="5"/>
      </tp>
      <tp t="s">
        <v>#N/A N/A</v>
        <stp/>
        <stp>BDH|14916320304047203371</stp>
        <tr r="C14" s="11"/>
      </tp>
      <tp t="s">
        <v>#N/A N/A</v>
        <stp/>
        <stp>BDH|17794637343165219385</stp>
        <tr r="I20" s="11"/>
      </tp>
      <tp t="s">
        <v>#N/A N/A</v>
        <stp/>
        <stp>BDH|17765286650832105133</stp>
        <tr r="L17" s="12"/>
      </tp>
      <tp t="s">
        <v>#N/A N/A</v>
        <stp/>
        <stp>BDH|13731431798898770567</stp>
        <tr r="H7" s="10"/>
      </tp>
      <tp t="s">
        <v>#N/A N/A</v>
        <stp/>
        <stp>BDH|10146562816340866743</stp>
        <tr r="C15" s="12"/>
      </tp>
      <tp t="s">
        <v>#N/A N/A</v>
        <stp/>
        <stp>BDH|14445010770076057686</stp>
        <tr r="G10" s="13"/>
      </tp>
      <tp t="s">
        <v>#N/A N/A</v>
        <stp/>
        <stp>BDH|12595128198381743850</stp>
        <tr r="K22" s="11"/>
      </tp>
      <tp t="s">
        <v>#N/A N/A</v>
        <stp/>
        <stp>BDH|13980631969546999669</stp>
        <tr r="I21" s="13"/>
      </tp>
      <tp t="s">
        <v>#N/A N/A</v>
        <stp/>
        <stp>BDH|13511778423042850777</stp>
        <tr r="H15" s="8"/>
      </tp>
      <tp t="s">
        <v>#N/A N/A</v>
        <stp/>
        <stp>BDH|15801735561182781536</stp>
        <tr r="M12" s="7"/>
      </tp>
      <tp t="s">
        <v>#N/A N/A</v>
        <stp/>
        <stp>BDH|16558975303179950569</stp>
        <tr r="M20" s="8"/>
      </tp>
      <tp t="s">
        <v>#N/A N/A</v>
        <stp/>
        <stp>BDH|14361042574814492498</stp>
        <tr r="E20" s="11"/>
      </tp>
      <tp t="s">
        <v>#N/A N/A</v>
        <stp/>
        <stp>BDH|17186975268399461244</stp>
        <tr r="G13" s="3"/>
      </tp>
      <tp t="s">
        <v>#N/A N/A</v>
        <stp/>
        <stp>BDH|14016446859290324605</stp>
        <tr r="Q9" s="8"/>
      </tp>
      <tp t="s">
        <v>#N/A N/A</v>
        <stp/>
        <stp>BDH|13332300524930053199</stp>
        <tr r="I12" s="7"/>
      </tp>
      <tp t="s">
        <v>#N/A N/A</v>
        <stp/>
        <stp>BDH|17087422203710206324</stp>
        <tr r="I22" s="3"/>
      </tp>
      <tp t="s">
        <v>#N/A N/A</v>
        <stp/>
        <stp>BDH|12115864736820028907</stp>
        <tr r="C13" s="8"/>
      </tp>
      <tp t="s">
        <v>#N/A N/A</v>
        <stp/>
        <stp>BDH|14138824569263997920</stp>
        <tr r="L17" s="8"/>
      </tp>
      <tp t="s">
        <v>#N/A N/A</v>
        <stp/>
        <stp>BDH|14041468354714133129</stp>
        <tr r="M7" s="4"/>
      </tp>
      <tp t="s">
        <v>#N/A N/A</v>
        <stp/>
        <stp>BDH|14613365781697493858</stp>
        <tr r="E9" s="7"/>
      </tp>
      <tp t="s">
        <v>#N/A N/A</v>
        <stp/>
        <stp>BDH|13640371514245424414</stp>
        <tr r="Q15" s="6"/>
      </tp>
      <tp t="s">
        <v>#N/A N/A</v>
        <stp/>
        <stp>BDH|12331661962056539421</stp>
        <tr r="M23" s="12"/>
      </tp>
      <tp t="s">
        <v>#N/A N/A</v>
        <stp/>
        <stp>BDH|16153045734587209204</stp>
        <tr r="L9" s="2"/>
      </tp>
      <tp t="s">
        <v>#N/A N/A</v>
        <stp/>
        <stp>BDH|14821367374192877213</stp>
        <tr r="G18" s="12"/>
      </tp>
      <tp t="s">
        <v>#N/A N/A</v>
        <stp/>
        <stp>BDH|11485481124033371494</stp>
        <tr r="G12" s="7"/>
      </tp>
      <tp t="s">
        <v>#N/A N/A</v>
        <stp/>
        <stp>BDH|11029429243155629451</stp>
        <tr r="O7" s="4"/>
      </tp>
      <tp t="s">
        <v>#N/A N/A</v>
        <stp/>
        <stp>BDH|11946963389052274263</stp>
        <tr r="J9" s="12"/>
      </tp>
      <tp t="s">
        <v>#N/A N/A</v>
        <stp/>
        <stp>BDH|18272919372325482376</stp>
        <tr r="J18" s="13"/>
      </tp>
      <tp t="s">
        <v>#N/A N/A</v>
        <stp/>
        <stp>BDH|18016162690086465604</stp>
        <tr r="D15" s="6"/>
      </tp>
      <tp t="s">
        <v>#N/A N/A</v>
        <stp/>
        <stp>BDH|11878297261092277706</stp>
        <tr r="D11" s="7"/>
      </tp>
      <tp t="s">
        <v>#N/A N/A</v>
        <stp/>
        <stp>BDH|15217795738478359925</stp>
        <tr r="R8" s="12"/>
      </tp>
      <tp t="s">
        <v>#N/A N/A</v>
        <stp/>
        <stp>BDH|17686780606298833853</stp>
        <tr r="J16" s="4"/>
      </tp>
      <tp t="s">
        <v>#N/A N/A</v>
        <stp/>
        <stp>BDH|16264579845510171749</stp>
        <tr r="H12" s="8"/>
      </tp>
      <tp t="s">
        <v>#N/A N/A</v>
        <stp/>
        <stp>BDH|17341757780431027922</stp>
        <tr r="L9" s="12"/>
      </tp>
      <tp t="s">
        <v>#N/A N/A</v>
        <stp/>
        <stp>BDH|18377173130052441845</stp>
        <tr r="C9" s="11"/>
      </tp>
      <tp t="s">
        <v>#N/A N/A</v>
        <stp/>
        <stp>BDH|11103643758126034495</stp>
        <tr r="Q22" s="8"/>
      </tp>
      <tp t="s">
        <v>#N/A N/A</v>
        <stp/>
        <stp>BDH|16013499187888173284</stp>
        <tr r="F24" s="10"/>
      </tp>
      <tp t="s">
        <v>#N/A N/A</v>
        <stp/>
        <stp>BDH|10081896749255097974</stp>
        <tr r="P15" s="6"/>
      </tp>
      <tp t="s">
        <v>#N/A N/A</v>
        <stp/>
        <stp>BDH|15555742336579286831</stp>
        <tr r="C8" s="6"/>
      </tp>
      <tp t="s">
        <v>#N/A N/A</v>
        <stp/>
        <stp>BDH|15669176460876386448</stp>
        <tr r="E15" s="9"/>
      </tp>
      <tp t="s">
        <v>#N/A N/A</v>
        <stp/>
        <stp>BDH|11670058265602829583</stp>
        <tr r="F20" s="2"/>
      </tp>
      <tp t="s">
        <v>#N/A N/A</v>
        <stp/>
        <stp>BDH|13013269236272262044</stp>
        <tr r="O19" s="4"/>
      </tp>
      <tp t="s">
        <v>#N/A N/A</v>
        <stp/>
        <stp>BDH|14428710973000894488</stp>
        <tr r="K25" s="5"/>
      </tp>
      <tp t="s">
        <v>#N/A N/A</v>
        <stp/>
        <stp>BDH|13767224917735837536</stp>
        <tr r="J20" s="11"/>
      </tp>
      <tp t="s">
        <v>#N/A N/A</v>
        <stp/>
        <stp>BDH|13999409955544388676</stp>
        <tr r="F22" s="5"/>
      </tp>
      <tp t="s">
        <v>#N/A N/A</v>
        <stp/>
        <stp>BDH|12210224745574933048</stp>
        <tr r="Q20" s="8"/>
      </tp>
      <tp t="s">
        <v>#N/A N/A</v>
        <stp/>
        <stp>BDH|14746469960534909201</stp>
        <tr r="Q13" s="6"/>
      </tp>
      <tp t="s">
        <v>#N/A N/A</v>
        <stp/>
        <stp>BDH|14659226477692822338</stp>
        <tr r="M17" s="4"/>
      </tp>
      <tp t="s">
        <v>#N/A N/A</v>
        <stp/>
        <stp>BDH|12266155730468891870</stp>
        <tr r="F9" s="10"/>
      </tp>
      <tp t="s">
        <v>#N/A N/A</v>
        <stp/>
        <stp>BDH|10954999638988459241</stp>
        <tr r="E8" s="8"/>
      </tp>
      <tp t="s">
        <v>#N/A N/A</v>
        <stp/>
        <stp>BDH|11125872938788014266</stp>
        <tr r="G18" s="6"/>
      </tp>
      <tp t="s">
        <v>#N/A N/A</v>
        <stp/>
        <stp>BDH|15955139146627043763</stp>
        <tr r="H13" s="9"/>
      </tp>
      <tp t="s">
        <v>#N/A N/A</v>
        <stp/>
        <stp>BDH|14386981878489808311</stp>
        <tr r="E13" s="3"/>
      </tp>
      <tp t="s">
        <v>#N/A N/A</v>
        <stp/>
        <stp>BDH|14735258011266817164</stp>
        <tr r="D9" s="5"/>
      </tp>
      <tp t="s">
        <v>#N/A N/A</v>
        <stp/>
        <stp>BDH|12760422569231042111</stp>
        <tr r="K8" s="2"/>
      </tp>
      <tp t="s">
        <v>#N/A N/A</v>
        <stp/>
        <stp>BDH|18209711884094981339</stp>
        <tr r="G13" s="8"/>
      </tp>
      <tp t="s">
        <v>#N/A N/A</v>
        <stp/>
        <stp>BDH|12009736279862179072</stp>
        <tr r="K22" s="13"/>
      </tp>
      <tp t="s">
        <v>#N/A N/A</v>
        <stp/>
        <stp>BDH|16183425249596167074</stp>
        <tr r="M11" s="7"/>
      </tp>
      <tp t="s">
        <v>#N/A N/A</v>
        <stp/>
        <stp>BDH|10894625347730149206</stp>
        <tr r="C12" s="8"/>
      </tp>
      <tp t="s">
        <v>#N/A N/A</v>
        <stp/>
        <stp>BDH|14685350385218357791</stp>
        <tr r="G14" s="5"/>
      </tp>
      <tp t="s">
        <v>#N/A N/A</v>
        <stp/>
        <stp>BDH|12374788870542023079</stp>
        <tr r="T22" s="6"/>
      </tp>
      <tp t="s">
        <v>#N/A N/A</v>
        <stp/>
        <stp>BDH|13456152417514823727</stp>
        <tr r="C22" s="13"/>
      </tp>
      <tp t="s">
        <v>#N/A N/A</v>
        <stp/>
        <stp>BDH|12516023059010579770</stp>
        <tr r="E7" s="7"/>
      </tp>
      <tp t="s">
        <v>#N/A N/A</v>
        <stp/>
        <stp>BDH|11790416255869774985</stp>
        <tr r="M21" s="3"/>
      </tp>
      <tp t="s">
        <v>#N/A N/A</v>
        <stp/>
        <stp>BDH|16532914286690679783</stp>
        <tr r="O23" s="6"/>
      </tp>
      <tp t="s">
        <v>#N/A N/A</v>
        <stp/>
        <stp>BDH|15116656739535477551</stp>
        <tr r="K24" s="12"/>
      </tp>
      <tp t="s">
        <v>#N/A N/A</v>
        <stp/>
        <stp>BDH|15069967092247884230</stp>
        <tr r="K14" s="6"/>
      </tp>
      <tp t="s">
        <v>#N/A N/A</v>
        <stp/>
        <stp>BDH|13402424159015981793</stp>
        <tr r="Q7" s="7"/>
      </tp>
      <tp t="s">
        <v>#N/A N/A</v>
        <stp/>
        <stp>BDH|16808727963926789118</stp>
        <tr r="Q9" s="5"/>
      </tp>
      <tp t="s">
        <v>#N/A N/A</v>
        <stp/>
        <stp>BDH|11622123022987021599</stp>
        <tr r="N21" s="13"/>
      </tp>
      <tp t="s">
        <v>#N/A N/A</v>
        <stp/>
        <stp>BDH|11930824552109771512</stp>
        <tr r="D15" s="12"/>
      </tp>
      <tp t="s">
        <v>#N/A N/A</v>
        <stp/>
        <stp>BDH|16232691110292786339</stp>
        <tr r="O10" s="5"/>
      </tp>
      <tp t="s">
        <v>#N/A N/A</v>
        <stp/>
        <stp>BDH|14921005643185444513</stp>
        <tr r="J18" s="2"/>
      </tp>
      <tp t="s">
        <v>#N/A N/A</v>
        <stp/>
        <stp>BDH|12215450558116584559</stp>
        <tr r="R21" s="13"/>
      </tp>
      <tp t="s">
        <v>#N/A N/A</v>
        <stp/>
        <stp>BDH|11944889929898144366</stp>
        <tr r="E19" s="2"/>
      </tp>
      <tp t="s">
        <v>#N/A N/A</v>
        <stp/>
        <stp>BDH|16194660498081996896</stp>
        <tr r="P14" s="12"/>
      </tp>
      <tp t="s">
        <v>#N/A N/A</v>
        <stp/>
        <stp>BDH|14562711959311387718</stp>
        <tr r="H16" s="6"/>
      </tp>
      <tp t="s">
        <v>#N/A N/A</v>
        <stp/>
        <stp>BDH|15412004170037814530</stp>
        <tr r="K15" s="8"/>
      </tp>
      <tp t="s">
        <v>#N/A N/A</v>
        <stp/>
        <stp>BDH|11945198190951895860</stp>
        <tr r="L15" s="8"/>
      </tp>
      <tp t="s">
        <v>#N/A N/A</v>
        <stp/>
        <stp>BDH|10310626711711196706</stp>
        <tr r="K7" s="10"/>
      </tp>
      <tp t="s">
        <v>#N/A N/A</v>
        <stp/>
        <stp>BDH|12811168773532504790</stp>
        <tr r="L15" s="12"/>
      </tp>
      <tp t="s">
        <v>#N/A N/A</v>
        <stp/>
        <stp>BDH|10987209414757830547</stp>
        <tr r="R14" s="13"/>
      </tp>
      <tp t="s">
        <v>#N/A N/A</v>
        <stp/>
        <stp>BDH|12881152674263997613</stp>
        <tr r="E21" s="8"/>
      </tp>
      <tp t="s">
        <v>#N/A N/A</v>
        <stp/>
        <stp>BDH|12058751033932238547</stp>
        <tr r="F7" s="12"/>
      </tp>
      <tp t="s">
        <v>#N/A N/A</v>
        <stp/>
        <stp>BDH|15159342044094880790</stp>
        <tr r="M23" s="4"/>
      </tp>
      <tp t="s">
        <v>#N/A N/A</v>
        <stp/>
        <stp>BDH|16192959863680796801</stp>
        <tr r="N8" s="2"/>
      </tp>
      <tp t="s">
        <v>#N/A N/A</v>
        <stp/>
        <stp>BDH|15299992224818793788</stp>
        <tr r="D10" s="10"/>
      </tp>
      <tp t="s">
        <v>#N/A N/A</v>
        <stp/>
        <stp>BDH|11305724691428767671</stp>
        <tr r="H18" s="2"/>
      </tp>
      <tp t="s">
        <v>#N/A N/A</v>
        <stp/>
        <stp>BDH|15513185105383142696</stp>
        <tr r="K16" s="7"/>
      </tp>
      <tp t="s">
        <v>#N/A N/A</v>
        <stp/>
        <stp>BDH|15204285968039780959</stp>
        <tr r="O7" s="9"/>
      </tp>
      <tp t="s">
        <v>#N/A N/A</v>
        <stp/>
        <stp>BDH|12096572156526516570</stp>
        <tr r="G14" s="4"/>
      </tp>
      <tp t="s">
        <v>#N/A N/A</v>
        <stp/>
        <stp>BDH|11611634714782597576</stp>
        <tr r="J7" s="10"/>
      </tp>
      <tp t="s">
        <v>#N/A N/A</v>
        <stp/>
        <stp>BDH|12757348766547482122</stp>
        <tr r="H23" s="4"/>
      </tp>
      <tp t="s">
        <v>#N/A N/A</v>
        <stp/>
        <stp>BDH|14611000569484832747</stp>
        <tr r="G14" s="13"/>
      </tp>
      <tp t="s">
        <v>#N/A N/A</v>
        <stp/>
        <stp>BDH|10719070751146780259</stp>
        <tr r="Q14" s="13"/>
      </tp>
      <tp t="s">
        <v>#N/A N/A</v>
        <stp/>
        <stp>BDH|14792446435806172446</stp>
        <tr r="L25" s="2"/>
      </tp>
      <tp t="s">
        <v>#N/A N/A</v>
        <stp/>
        <stp>BDH|17096884754172667980</stp>
        <tr r="L16" s="6"/>
      </tp>
      <tp t="s">
        <v>#N/A N/A</v>
        <stp/>
        <stp>BDH|11937380276345689136</stp>
        <tr r="N15" s="8"/>
      </tp>
      <tp t="s">
        <v>#N/A N/A</v>
        <stp/>
        <stp>BDH|12536446933623887786</stp>
        <tr r="F10" s="5"/>
      </tp>
      <tp t="s">
        <v>#N/A N/A</v>
        <stp/>
        <stp>BDH|11418102746817788271</stp>
        <tr r="F7" s="9"/>
      </tp>
      <tp t="s">
        <v>#N/A N/A</v>
        <stp/>
        <stp>BDH|13191063862865439149</stp>
        <tr r="I7" s="13"/>
      </tp>
      <tp t="s">
        <v>#N/A N/A</v>
        <stp/>
        <stp>BDH|12419454516685646344</stp>
        <tr r="H9" s="2"/>
      </tp>
      <tp t="s">
        <v>#N/A N/A</v>
        <stp/>
        <stp>BDH|17352334187814596976</stp>
        <tr r="O20" s="5"/>
      </tp>
      <tp t="s">
        <v>#N/A N/A</v>
        <stp/>
        <stp>BDH|14996089867085778642</stp>
        <tr r="D13" s="7"/>
      </tp>
      <tp t="s">
        <v>#N/A N/A</v>
        <stp/>
        <stp>BDH|15288272342576603454</stp>
        <tr r="N11" s="7"/>
      </tp>
      <tp t="s">
        <v>#N/A N/A</v>
        <stp/>
        <stp>BDH|15174731036492458248</stp>
        <tr r="O15" s="6"/>
      </tp>
      <tp t="s">
        <v>#N/A N/A</v>
        <stp/>
        <stp>BDH|11757300865644138171</stp>
        <tr r="K7" s="8"/>
      </tp>
      <tp t="s">
        <v>#N/A N/A</v>
        <stp/>
        <stp>BDH|15231603720375760515</stp>
        <tr r="I9" s="3"/>
      </tp>
      <tp t="s">
        <v>#N/A N/A</v>
        <stp/>
        <stp>BDH|14861395776740153124</stp>
        <tr r="E16" s="4"/>
      </tp>
      <tp t="s">
        <v>#N/A N/A</v>
        <stp/>
        <stp>BDH|10992098727050320306</stp>
        <tr r="I10" s="2"/>
      </tp>
      <tp t="s">
        <v>#N/A N/A</v>
        <stp/>
        <stp>BDH|16222354845078450819</stp>
        <tr r="L9" s="10"/>
      </tp>
      <tp t="s">
        <v>#N/A N/A</v>
        <stp/>
        <stp>BDH|13141806786934905694</stp>
        <tr r="O21" s="5"/>
      </tp>
      <tp t="s">
        <v>#N/A N/A</v>
        <stp/>
        <stp>BDH|14573843336656607861</stp>
        <tr r="L9" s="6"/>
      </tp>
      <tp t="s">
        <v>#N/A N/A</v>
        <stp/>
        <stp>BDH|11386248647273666516</stp>
        <tr r="G10" s="11"/>
      </tp>
      <tp t="s">
        <v>#N/A N/A</v>
        <stp/>
        <stp>BDH|15996428126263240187</stp>
        <tr r="J23" s="6"/>
      </tp>
      <tp t="s">
        <v>#N/A N/A</v>
        <stp/>
        <stp>BDH|12133417705006367115</stp>
        <tr r="H22" s="13"/>
      </tp>
      <tp t="s">
        <v>#N/A N/A</v>
        <stp/>
        <stp>BDH|14483584675630689787</stp>
        <tr r="R12" s="7"/>
      </tp>
      <tp t="s">
        <v>#N/A N/A</v>
        <stp/>
        <stp>BDH|14743974124277404968</stp>
        <tr r="F16" s="3"/>
      </tp>
      <tp t="s">
        <v>#N/A N/A</v>
        <stp/>
        <stp>BDH|13193520549620207317</stp>
        <tr r="J16" s="2"/>
      </tp>
      <tp t="s">
        <v>#N/A N/A</v>
        <stp/>
        <stp>BDH|12022373191391942869</stp>
        <tr r="M14" s="10"/>
      </tp>
      <tp t="s">
        <v>#N/A N/A</v>
        <stp/>
        <stp>BDH|18412750789896609074</stp>
        <tr r="G16" s="9"/>
      </tp>
      <tp t="s">
        <v>#N/A N/A</v>
        <stp/>
        <stp>BDH|12848724945291165178</stp>
        <tr r="G21" s="3"/>
      </tp>
      <tp t="s">
        <v>#N/A N/A</v>
        <stp/>
        <stp>BDH|18433401293466858263</stp>
        <tr r="O17" s="12"/>
      </tp>
      <tp t="s">
        <v>#N/A N/A</v>
        <stp/>
        <stp>BDH|11916581222143206490</stp>
        <tr r="D9" s="7"/>
      </tp>
      <tp t="s">
        <v>#N/A N/A</v>
        <stp/>
        <stp>BDH|10397012978081128739</stp>
        <tr r="M9" s="8"/>
      </tp>
      <tp t="s">
        <v>#N/A N/A</v>
        <stp/>
        <stp>BDH|11367050717568858911</stp>
        <tr r="C9" s="8"/>
      </tp>
      <tp t="s">
        <v>#N/A N/A</v>
        <stp/>
        <stp>BDH|12792706467623843136</stp>
        <tr r="P19" s="12"/>
      </tp>
      <tp t="s">
        <v>#N/A N/A</v>
        <stp/>
        <stp>BDH|13582476513240379794</stp>
        <tr r="E23" s="10"/>
      </tp>
      <tp t="s">
        <v>#N/A N/A</v>
        <stp/>
        <stp>BDH|16827608821275358613</stp>
        <tr r="F16" s="11"/>
      </tp>
      <tp t="s">
        <v>#N/A N/A</v>
        <stp/>
        <stp>BDH|14028151917661888419</stp>
        <tr r="D19" s="2"/>
      </tp>
      <tp t="s">
        <v>#N/A N/A</v>
        <stp/>
        <stp>BDH|13455376938293727177</stp>
        <tr r="R8" s="4"/>
      </tp>
      <tp t="s">
        <v>#N/A N/A</v>
        <stp/>
        <stp>BDH|15315740374885074197</stp>
        <tr r="C12" s="13"/>
      </tp>
      <tp t="s">
        <v>#N/A N/A</v>
        <stp/>
        <stp>BDH|15761850696397191287</stp>
        <tr r="Q16" s="6"/>
      </tp>
      <tp t="s">
        <v>#N/A N/A</v>
        <stp/>
        <stp>BDH|12764575346911997323</stp>
        <tr r="L7" s="12"/>
      </tp>
      <tp t="s">
        <v>#N/A N/A</v>
        <stp/>
        <stp>BDH|16751424638869200929</stp>
        <tr r="H7" s="7"/>
      </tp>
      <tp t="s">
        <v>#N/A N/A</v>
        <stp/>
        <stp>BDH|12838458406246073169</stp>
        <tr r="P18" s="13"/>
      </tp>
      <tp t="s">
        <v>#N/A N/A</v>
        <stp/>
        <stp>BDH|11152852982259239991</stp>
        <tr r="P23" s="12"/>
      </tp>
      <tp t="s">
        <v>#N/A N/A</v>
        <stp/>
        <stp>BDH|16854732223196483401</stp>
        <tr r="N7" s="5"/>
      </tp>
      <tp t="s">
        <v>#N/A N/A</v>
        <stp/>
        <stp>BDH|15808098435763187495</stp>
        <tr r="R10" s="4"/>
      </tp>
      <tp t="s">
        <v>#N/A N/A</v>
        <stp/>
        <stp>BDH|17319760355565928157</stp>
        <tr r="H18" s="4"/>
      </tp>
      <tp t="s">
        <v>#N/A N/A</v>
        <stp/>
        <stp>BDH|18438131097183850242</stp>
        <tr r="N13" s="7"/>
      </tp>
      <tp t="s">
        <v>#N/A N/A</v>
        <stp/>
        <stp>BDH|17077632269871339766</stp>
        <tr r="E8" s="10"/>
      </tp>
      <tp t="s">
        <v>#N/A N/A</v>
        <stp/>
        <stp>BDH|16902074787909637602</stp>
        <tr r="Q16" s="13"/>
      </tp>
      <tp t="s">
        <v>#N/A N/A</v>
        <stp/>
        <stp>BDH|12860942163734814881</stp>
        <tr r="I17" s="9"/>
      </tp>
      <tp t="s">
        <v>#N/A N/A</v>
        <stp/>
        <stp>BDH|18341079299581427172</stp>
        <tr r="N14" s="3"/>
      </tp>
      <tp t="s">
        <v>#N/A N/A</v>
        <stp/>
        <stp>BDH|17366298201667450310</stp>
        <tr r="I21" s="5"/>
      </tp>
      <tp t="s">
        <v>#N/A N/A</v>
        <stp/>
        <stp>BDH|15432380171429055934</stp>
        <tr r="O18" s="5"/>
      </tp>
      <tp t="s">
        <v>#N/A N/A</v>
        <stp/>
        <stp>BDH|17103490301990061584</stp>
        <tr r="G16" s="10"/>
      </tp>
      <tp t="s">
        <v>#N/A N/A</v>
        <stp/>
        <stp>BDH|15757617441829676805</stp>
        <tr r="E11" s="9"/>
      </tp>
      <tp t="s">
        <v>#N/A N/A</v>
        <stp/>
        <stp>BDH|14031877634829535079</stp>
        <tr r="F9" s="12"/>
      </tp>
      <tp t="s">
        <v>#N/A N/A</v>
        <stp/>
        <stp>BDH|14718959307558536305</stp>
        <tr r="C8" s="8"/>
      </tp>
      <tp t="s">
        <v>#N/A N/A</v>
        <stp/>
        <stp>BDH|11652329725564673271</stp>
        <tr r="N15" s="4"/>
      </tp>
      <tp t="s">
        <v>#N/A N/A</v>
        <stp/>
        <stp>BDH|12693692229225144571</stp>
        <tr r="M16" s="11"/>
      </tp>
      <tp t="s">
        <v>#N/A N/A</v>
        <stp/>
        <stp>BDH|16976235734921954072</stp>
        <tr r="M22" s="12"/>
      </tp>
      <tp t="s">
        <v>#N/A N/A</v>
        <stp/>
        <stp>BDH|14235069518605803649</stp>
        <tr r="F10" s="2"/>
      </tp>
      <tp t="s">
        <v>#N/A N/A</v>
        <stp/>
        <stp>BDH|14715416947821032325</stp>
        <tr r="O11" s="7"/>
      </tp>
      <tp t="s">
        <v>#N/A N/A</v>
        <stp/>
        <stp>BDH|12419128521791202667</stp>
        <tr r="M9" s="12"/>
      </tp>
      <tp t="s">
        <v>#N/A N/A</v>
        <stp/>
        <stp>BDH|15997653415325244185</stp>
        <tr r="S12" s="6"/>
      </tp>
      <tp t="s">
        <v>#N/A N/A</v>
        <stp/>
        <stp>BDH|12152368269125834457</stp>
        <tr r="N8" s="5"/>
      </tp>
      <tp t="s">
        <v>#N/A N/A</v>
        <stp/>
        <stp>BDH|13931500716277570698</stp>
        <tr r="C7" s="3"/>
      </tp>
      <tp t="s">
        <v>#N/A N/A</v>
        <stp/>
        <stp>BDH|14019659479122801174</stp>
        <tr r="L20" s="5"/>
      </tp>
      <tp t="s">
        <v>#N/A N/A</v>
        <stp/>
        <stp>BDH|15296996908679409349</stp>
        <tr r="F25" s="5"/>
      </tp>
      <tp t="s">
        <v>#N/A N/A</v>
        <stp/>
        <stp>BDH|10564374881465650871</stp>
        <tr r="L24" s="2"/>
      </tp>
      <tp t="s">
        <v>#N/A N/A</v>
        <stp/>
        <stp>BDH|16452354824896119715</stp>
        <tr r="R23" s="12"/>
      </tp>
      <tp t="s">
        <v>#N/A N/A</v>
        <stp/>
        <stp>BDH|18219675513291347801</stp>
        <tr r="C18" s="11"/>
      </tp>
      <tp t="s">
        <v>#N/A N/A</v>
        <stp/>
        <stp>BDH|15752235499818082081</stp>
        <tr r="M9" s="6"/>
      </tp>
      <tp t="s">
        <v>#N/A N/A</v>
        <stp/>
        <stp>BDH|13486867922036594901</stp>
        <tr r="P9" s="5"/>
      </tp>
      <tp t="s">
        <v>#N/A N/A</v>
        <stp/>
        <stp>BDH|11044821478500773883</stp>
        <tr r="M15" s="9"/>
      </tp>
      <tp t="s">
        <v>#N/A N/A</v>
        <stp/>
        <stp>BDH|12655615105995347756</stp>
        <tr r="J22" s="11"/>
      </tp>
      <tp t="s">
        <v>#N/A N/A</v>
        <stp/>
        <stp>BDH|10367292209654533027</stp>
        <tr r="Q18" s="4"/>
      </tp>
      <tp t="s">
        <v>#N/A N/A</v>
        <stp/>
        <stp>BDH|11119269060100569350</stp>
        <tr r="K12" s="9"/>
      </tp>
      <tp t="s">
        <v>#N/A N/A</v>
        <stp/>
        <stp>BDH|13581871487822148736</stp>
        <tr r="E10" s="12"/>
      </tp>
      <tp t="s">
        <v>#N/A N/A</v>
        <stp/>
        <stp>BDH|11342732577680134712</stp>
        <tr r="G17" s="11"/>
      </tp>
      <tp t="s">
        <v>#N/A N/A</v>
        <stp/>
        <stp>BDH|11412758406769286921</stp>
        <tr r="R18" s="13"/>
      </tp>
      <tp t="s">
        <v>#N/A N/A</v>
        <stp/>
        <stp>BDH|15632945443507207946</stp>
        <tr r="R23" s="4"/>
      </tp>
      <tp t="s">
        <v>#N/A N/A</v>
        <stp/>
        <stp>BDH|12810172818192710668</stp>
        <tr r="Q23" s="6"/>
      </tp>
      <tp t="s">
        <v>#N/A N/A</v>
        <stp/>
        <stp>BDH|16678307037053280355</stp>
        <tr r="S15" s="7"/>
      </tp>
      <tp t="s">
        <v>#N/A N/A</v>
        <stp/>
        <stp>BDH|15729234570001039729</stp>
        <tr r="D7" s="6"/>
      </tp>
      <tp t="s">
        <v>#N/A N/A</v>
        <stp/>
        <stp>BDH|10148911176579378131</stp>
        <tr r="N20" s="7"/>
      </tp>
      <tp t="s">
        <v>#N/A N/A</v>
        <stp/>
        <stp>BDH|16262265551483157426</stp>
        <tr r="D24" s="2"/>
      </tp>
      <tp t="s">
        <v>#N/A N/A</v>
        <stp/>
        <stp>BDH|14096721548782539398</stp>
        <tr r="O15" s="8"/>
      </tp>
      <tp t="s">
        <v>#N/A N/A</v>
        <stp/>
        <stp>BDH|17702293851473451528</stp>
        <tr r="G25" s="5"/>
      </tp>
      <tp t="s">
        <v>#N/A N/A</v>
        <stp/>
        <stp>BDH|11657109955457803421</stp>
        <tr r="D10" s="12"/>
      </tp>
      <tp t="s">
        <v>#N/A N/A</v>
        <stp/>
        <stp>BDH|15110548711076591189</stp>
        <tr r="K24" s="10"/>
      </tp>
      <tp t="s">
        <v>#N/A N/A</v>
        <stp/>
        <stp>BDH|16849025325902412026</stp>
        <tr r="M20" s="11"/>
      </tp>
      <tp t="s">
        <v>#N/A N/A</v>
        <stp/>
        <stp>BDH|10633650169047205109</stp>
        <tr r="T20" s="7"/>
      </tp>
      <tp t="s">
        <v>#N/A N/A</v>
        <stp/>
        <stp>BDH|16756899590885632409</stp>
        <tr r="P21" s="8"/>
      </tp>
      <tp t="s">
        <v>#N/A N/A</v>
        <stp/>
        <stp>BDH|17888695806504810374</stp>
        <tr r="D21" s="5"/>
      </tp>
      <tp t="s">
        <v>#N/A N/A</v>
        <stp/>
        <stp>BDH|16939853765806561842</stp>
        <tr r="D17" s="3"/>
      </tp>
      <tp t="s">
        <v>#N/A N/A</v>
        <stp/>
        <stp>BDH|17128042880339974045</stp>
        <tr r="F24" s="12"/>
      </tp>
      <tp t="s">
        <v>#N/A N/A</v>
        <stp/>
        <stp>BDH|10747356718982833697</stp>
        <tr r="Q10" s="4"/>
      </tp>
      <tp t="s">
        <v>#N/A N/A</v>
        <stp/>
        <stp>BDH|16732542669417727468</stp>
        <tr r="D14" s="3"/>
      </tp>
      <tp t="s">
        <v>#N/A N/A</v>
        <stp/>
        <stp>BDH|15026608135377630187</stp>
        <tr r="G22" s="3"/>
      </tp>
      <tp t="s">
        <v>#N/A N/A</v>
        <stp/>
        <stp>BDH|13452431815986893613</stp>
        <tr r="I23" s="6"/>
      </tp>
      <tp t="s">
        <v>#N/A N/A</v>
        <stp/>
        <stp>BDH|11591649020726973534</stp>
        <tr r="D24" s="4"/>
      </tp>
      <tp t="s">
        <v>#N/A N/A</v>
        <stp/>
        <stp>BDH|13834512502604389426</stp>
        <tr r="P11" s="9"/>
      </tp>
      <tp t="s">
        <v>#N/A N/A</v>
        <stp/>
        <stp>BDH|13489301989378404632</stp>
        <tr r="N8" s="4"/>
      </tp>
      <tp t="s">
        <v>#N/A N/A</v>
        <stp/>
        <stp>BDH|18138057893454596385</stp>
        <tr r="P17" s="7"/>
      </tp>
      <tp t="s">
        <v>#N/A N/A</v>
        <stp/>
        <stp>BDH|16263901119651611973</stp>
        <tr r="H21" s="5"/>
      </tp>
      <tp t="s">
        <v>#N/A N/A</v>
        <stp/>
        <stp>BDH|11333770772424854344</stp>
        <tr r="P17" s="9"/>
      </tp>
      <tp t="s">
        <v>#N/A N/A</v>
        <stp/>
        <stp>BDH|16870289048280292601</stp>
        <tr r="K11" s="7"/>
      </tp>
      <tp t="s">
        <v>#N/A N/A</v>
        <stp/>
        <stp>BDH|11052380356420632154</stp>
        <tr r="I22" s="13"/>
      </tp>
      <tp t="s">
        <v>#N/A N/A</v>
        <stp/>
        <stp>BDH|11403030778224182425</stp>
        <tr r="G20" s="11"/>
      </tp>
      <tp t="s">
        <v>#N/A N/A</v>
        <stp/>
        <stp>BDH|14125117440482897544</stp>
        <tr r="G14" s="11"/>
      </tp>
      <tp t="s">
        <v>#N/A N/A</v>
        <stp/>
        <stp>BDH|13284496072964105244</stp>
        <tr r="F14" s="3"/>
      </tp>
      <tp t="s">
        <v>#N/A N/A</v>
        <stp/>
        <stp>BDH|14014619434701176688</stp>
        <tr r="D8" s="11"/>
      </tp>
      <tp t="s">
        <v>#N/A N/A</v>
        <stp/>
        <stp>BDH|14202898254528050702</stp>
        <tr r="M18" s="5"/>
      </tp>
      <tp t="s">
        <v>#N/A N/A</v>
        <stp/>
        <stp>BDH|13284599915266866785</stp>
        <tr r="N7" s="9"/>
      </tp>
      <tp t="s">
        <v>#N/A N/A</v>
        <stp/>
        <stp>BDH|10012298111182851614</stp>
        <tr r="F10" s="12"/>
      </tp>
      <tp t="s">
        <v>#N/A N/A</v>
        <stp/>
        <stp>BDH|14640507756447563448</stp>
        <tr r="G17" s="10"/>
      </tp>
      <tp t="s">
        <v>#N/A N/A</v>
        <stp/>
        <stp>BDH|11740080068177729715</stp>
        <tr r="O16" s="9"/>
      </tp>
      <tp t="s">
        <v>#N/A N/A</v>
        <stp/>
        <stp>BDH|12140946989851491593</stp>
        <tr r="U18" s="6"/>
      </tp>
      <tp t="s">
        <v>#N/A N/A</v>
        <stp/>
        <stp>BDH|14432309773141447628</stp>
        <tr r="P17" s="8"/>
      </tp>
      <tp t="s">
        <v>#N/A N/A</v>
        <stp/>
        <stp>BDH|18347991276225856454</stp>
        <tr r="F10" s="13"/>
      </tp>
      <tp t="s">
        <v>#N/A N/A</v>
        <stp/>
        <stp>BDH|11872971368780687910</stp>
        <tr r="O8" s="7"/>
      </tp>
      <tp t="s">
        <v>#N/A N/A</v>
        <stp/>
        <stp>BDH|12588183289605425903</stp>
        <tr r="E15" s="7"/>
      </tp>
      <tp t="s">
        <v>#N/A N/A</v>
        <stp/>
        <stp>BDH|13080168422005657224</stp>
        <tr r="G6" s="11"/>
      </tp>
      <tp t="s">
        <v>#N/A N/A</v>
        <stp/>
        <stp>BDH|11570517626407629646</stp>
        <tr r="F11" s="9"/>
      </tp>
      <tp t="s">
        <v>#N/A N/A</v>
        <stp/>
        <stp>BDH|13213223546197036559</stp>
        <tr r="C17" s="3"/>
      </tp>
      <tp t="s">
        <v>#N/A N/A</v>
        <stp/>
        <stp>BDH|18126818579449334994</stp>
        <tr r="D9" s="13"/>
      </tp>
      <tp t="s">
        <v>#N/A N/A</v>
        <stp/>
        <stp>BDH|16439761257484539738</stp>
        <tr r="H12" s="5"/>
      </tp>
      <tp t="s">
        <v>#N/A N/A</v>
        <stp/>
        <stp>BDH|15054200123166875487</stp>
        <tr r="M13" s="4"/>
      </tp>
      <tp t="s">
        <v>#N/A N/A</v>
        <stp/>
        <stp>BDH|11955020664605596581</stp>
        <tr r="I8" s="13"/>
      </tp>
      <tp t="s">
        <v>#N/A N/A</v>
        <stp/>
        <stp>BDH|17496331752540436635</stp>
        <tr r="G9" s="8"/>
      </tp>
      <tp t="s">
        <v>#N/A N/A</v>
        <stp/>
        <stp>BDH|12641333441114740612</stp>
        <tr r="C14" s="2"/>
      </tp>
      <tp t="s">
        <v>#N/A N/A</v>
        <stp/>
        <stp>BDH|13893626615090952331</stp>
        <tr r="J9" s="4"/>
      </tp>
      <tp t="s">
        <v>#N/A N/A</v>
        <stp/>
        <stp>BDH|12143028707471536443</stp>
        <tr r="C16" s="6"/>
      </tp>
      <tp t="s">
        <v>#N/A N/A</v>
        <stp/>
        <stp>BDH|10090221712004632036</stp>
        <tr r="Q22" s="5"/>
      </tp>
      <tp t="s">
        <v>#N/A N/A</v>
        <stp/>
        <stp>BDH|14657569453893395059</stp>
        <tr r="K22" s="4"/>
      </tp>
      <tp t="s">
        <v>#N/A N/A</v>
        <stp/>
        <stp>BDH|11450158353053413138</stp>
        <tr r="H21" s="3"/>
      </tp>
      <tp t="s">
        <v>#N/A N/A</v>
        <stp/>
        <stp>BDH|11472120590459485761</stp>
        <tr r="P15" s="7"/>
      </tp>
      <tp t="s">
        <v>#N/A N/A</v>
        <stp/>
        <stp>BDH|13064575542296689377</stp>
        <tr r="K12" s="7"/>
      </tp>
      <tp t="s">
        <v>#N/A N/A</v>
        <stp/>
        <stp>BDH|12272635777846678241</stp>
        <tr r="E8" s="13"/>
      </tp>
      <tp t="s">
        <v>#N/A N/A</v>
        <stp/>
        <stp>BDH|13392269056334269759</stp>
        <tr r="K19" s="10"/>
      </tp>
      <tp t="s">
        <v>#N/A N/A</v>
        <stp/>
        <stp>BDH|16015589405602062699</stp>
        <tr r="K23" s="2"/>
      </tp>
      <tp t="s">
        <v>#N/A N/A</v>
        <stp/>
        <stp>BDH|11883124283988550785</stp>
        <tr r="I7" s="11"/>
      </tp>
      <tp t="s">
        <v>#N/A N/A</v>
        <stp/>
        <stp>BDH|16678463565473302024</stp>
        <tr r="F7" s="13"/>
      </tp>
      <tp t="s">
        <v>#N/A N/A</v>
        <stp/>
        <stp>BDH|15665517464939054846</stp>
        <tr r="Q13" s="9"/>
      </tp>
      <tp t="s">
        <v>#N/A N/A</v>
        <stp/>
        <stp>BDH|13281361862072975383</stp>
        <tr r="M8" s="7"/>
      </tp>
      <tp t="s">
        <v>#N/A N/A</v>
        <stp/>
        <stp>BDH|11071835051562377961</stp>
        <tr r="K9" s="4"/>
      </tp>
      <tp t="s">
        <v>#N/A N/A</v>
        <stp/>
        <stp>BDH|16350819042708493537</stp>
        <tr r="O11" s="9"/>
      </tp>
      <tp t="s">
        <v>#N/A N/A</v>
        <stp/>
        <stp>BDH|13712389371024978415</stp>
        <tr r="T12" s="7"/>
      </tp>
      <tp t="s">
        <v>#N/A N/A</v>
        <stp/>
        <stp>BDH|15903498769654762485</stp>
        <tr r="C23" s="12"/>
      </tp>
      <tp t="s">
        <v>#N/A N/A</v>
        <stp/>
        <stp>BDH|13629324838683984738</stp>
        <tr r="J16" s="13"/>
      </tp>
      <tp t="s">
        <v>#N/A N/A</v>
        <stp/>
        <stp>BDH|12603323055913148092</stp>
        <tr r="F14" s="8"/>
      </tp>
      <tp t="s">
        <v>#N/A N/A</v>
        <stp/>
        <stp>BDH|16030691620376024300</stp>
        <tr r="G14" s="8"/>
      </tp>
      <tp t="s">
        <v>#N/A N/A</v>
        <stp/>
        <stp>BDH|13442665468414324005</stp>
        <tr r="G7" s="6"/>
      </tp>
      <tp t="s">
        <v>#N/A N/A</v>
        <stp/>
        <stp>BDH|16056092867082672511</stp>
        <tr r="F15" s="9"/>
      </tp>
      <tp t="s">
        <v>#N/A N/A</v>
        <stp/>
        <stp>BDH|15341612754055728484</stp>
        <tr r="P23" s="4"/>
      </tp>
      <tp t="s">
        <v>#N/A N/A</v>
        <stp/>
        <stp>BDH|15584769332463030586</stp>
        <tr r="E18" s="10"/>
      </tp>
      <tp t="s">
        <v>#N/A N/A</v>
        <stp/>
        <stp>BDH|15488618147405387596</stp>
        <tr r="P13" s="13"/>
      </tp>
      <tp t="s">
        <v>#N/A N/A</v>
        <stp/>
        <stp>BDH|11850392729947026006</stp>
        <tr r="Q13" s="7"/>
      </tp>
      <tp t="s">
        <v>#N/A N/A</v>
        <stp/>
        <stp>BDH|12077235216790486694</stp>
        <tr r="N24" s="12"/>
      </tp>
      <tp t="s">
        <v>#N/A N/A</v>
        <stp/>
        <stp>BDH|10106555053425618298</stp>
        <tr r="U9" s="7"/>
      </tp>
      <tp t="s">
        <v>#N/A N/A</v>
        <stp/>
        <stp>BDH|17328323648186406157</stp>
        <tr r="M17" s="3"/>
      </tp>
      <tp t="s">
        <v>#N/A N/A</v>
        <stp/>
        <stp>BDH|15522580972994272467</stp>
        <tr r="G17" s="6"/>
      </tp>
      <tp t="s">
        <v>#N/A N/A</v>
        <stp/>
        <stp>BDH|13921146688369986476</stp>
        <tr r="C8" s="7"/>
      </tp>
      <tp t="s">
        <v>#N/A N/A</v>
        <stp/>
        <stp>BDH|13835357326797282223</stp>
        <tr r="M15" s="7"/>
      </tp>
      <tp t="s">
        <v>#N/A N/A</v>
        <stp/>
        <stp>BDH|12686443988680050915</stp>
        <tr r="R16" s="5"/>
      </tp>
      <tp t="s">
        <v>#N/A N/A</v>
        <stp/>
        <stp>BDH|13921349664047389610</stp>
        <tr r="K18" s="12"/>
      </tp>
      <tp t="s">
        <v>#N/A N/A</v>
        <stp/>
        <stp>BDH|12063166218063115641</stp>
        <tr r="P9" s="4"/>
      </tp>
      <tp t="s">
        <v>#N/A N/A</v>
        <stp/>
        <stp>BDH|17888373426550204109</stp>
        <tr r="R6" s="5"/>
      </tp>
      <tp t="s">
        <v>#N/A N/A</v>
        <stp/>
        <stp>BDH|11987010906475413319</stp>
        <tr r="J7" s="13"/>
      </tp>
      <tp t="s">
        <v>#N/A N/A</v>
        <stp/>
        <stp>BDH|11472580947607268023</stp>
        <tr r="L8" s="5"/>
      </tp>
      <tp t="s">
        <v>#N/A N/A</v>
        <stp/>
        <stp>BDH|10483617014366868631</stp>
        <tr r="F17" s="3"/>
      </tp>
      <tp t="s">
        <v>#N/A N/A</v>
        <stp/>
        <stp>BDH|15688683352915765415</stp>
        <tr r="M16" s="5"/>
      </tp>
      <tp t="s">
        <v>#N/A N/A</v>
        <stp/>
        <stp>BDH|17823327312307509570</stp>
        <tr r="D20" s="13"/>
      </tp>
      <tp t="s">
        <v>#N/A N/A</v>
        <stp/>
        <stp>BDH|16115022068193840493</stp>
        <tr r="C24" s="12"/>
      </tp>
      <tp t="s">
        <v>#N/A N/A</v>
        <stp/>
        <stp>BDH|16976271374787612365</stp>
        <tr r="T9" s="6"/>
      </tp>
      <tp t="s">
        <v>#N/A N/A</v>
        <stp/>
        <stp>BDH|10515728489970307874</stp>
        <tr r="J6" s="11"/>
      </tp>
      <tp t="s">
        <v>#N/A N/A</v>
        <stp/>
        <stp>BDH|11880384669695479606</stp>
        <tr r="D7" s="9"/>
      </tp>
      <tp t="s">
        <v>#N/A N/A</v>
        <stp/>
        <stp>BDH|16282984818651914869</stp>
        <tr r="I20" s="8"/>
      </tp>
      <tp t="s">
        <v>#N/A N/A</v>
        <stp/>
        <stp>BDH|16952510500966164248</stp>
        <tr r="M24" s="10"/>
      </tp>
      <tp t="s">
        <v>#N/A N/A</v>
        <stp/>
        <stp>BDH|12736194365686771412</stp>
        <tr r="D9" s="12"/>
      </tp>
      <tp t="s">
        <v>#N/A N/A</v>
        <stp/>
        <stp>BDH|13892339916390235624</stp>
        <tr r="C16" s="10"/>
      </tp>
      <tp t="s">
        <v>#N/A N/A</v>
        <stp/>
        <stp>BDH|12169040407326997370</stp>
        <tr r="O13" s="12"/>
      </tp>
      <tp t="s">
        <v>#N/A N/A</v>
        <stp/>
        <stp>BDH|14068068100116940537</stp>
        <tr r="M8" s="11"/>
      </tp>
      <tp t="s">
        <v>#N/A N/A</v>
        <stp/>
        <stp>BDH|13940083270302858153</stp>
        <tr r="E9" s="2"/>
      </tp>
      <tp t="s">
        <v>#N/A N/A</v>
        <stp/>
        <stp>BDH|12391833422117636888</stp>
        <tr r="O13" s="13"/>
      </tp>
      <tp t="s">
        <v>#N/A N/A</v>
        <stp/>
        <stp>BDH|16934187444263153787</stp>
        <tr r="E9" s="11"/>
      </tp>
      <tp t="s">
        <v>#N/A N/A</v>
        <stp/>
        <stp>BDH|15567298142264448051</stp>
        <tr r="C20" s="7"/>
      </tp>
      <tp t="s">
        <v>#N/A N/A</v>
        <stp/>
        <stp>BDH|10777316573404329798</stp>
        <tr r="J7" s="2"/>
      </tp>
      <tp t="s">
        <v>#N/A N/A</v>
        <stp/>
        <stp>BDH|14343669959129123920</stp>
        <tr r="J8" s="3"/>
      </tp>
      <tp t="s">
        <v>#N/A N/A</v>
        <stp/>
        <stp>BDH|11352644858042203726</stp>
        <tr r="I17" s="11"/>
      </tp>
      <tp t="s">
        <v>#N/A N/A</v>
        <stp/>
        <stp>BDH|18091315899987503222</stp>
        <tr r="H13" s="3"/>
      </tp>
      <tp t="s">
        <v>#N/A N/A</v>
        <stp/>
        <stp>BDH|15866429171298357963</stp>
        <tr r="R16" s="4"/>
      </tp>
      <tp t="s">
        <v>#N/A N/A</v>
        <stp/>
        <stp>BDH|14937976007378650219</stp>
        <tr r="G7" s="4"/>
      </tp>
      <tp t="s">
        <v>#N/A N/A</v>
        <stp/>
        <stp>BDH|16695346739698020953</stp>
        <tr r="C6" s="13"/>
      </tp>
      <tp t="s">
        <v>#N/A N/A</v>
        <stp/>
        <stp>BDH|11426690951703580671</stp>
        <tr r="E17" s="2"/>
      </tp>
      <tp t="s">
        <v>#N/A N/A</v>
        <stp/>
        <stp>BDH|11251754019129146912</stp>
        <tr r="P8" s="8"/>
      </tp>
      <tp t="s">
        <v>#N/A N/A</v>
        <stp/>
        <stp>BDH|14642947126288026359</stp>
        <tr r="G14" s="3"/>
      </tp>
      <tp t="s">
        <v>#N/A N/A</v>
        <stp/>
        <stp>BDH|13753485459133098570</stp>
        <tr r="I17" s="4"/>
      </tp>
      <tp t="s">
        <v>#N/A N/A</v>
        <stp/>
        <stp>BDH|10892641151065911251</stp>
        <tr r="N11" s="9"/>
      </tp>
      <tp t="s">
        <v>#N/A N/A</v>
        <stp/>
        <stp>BDH|12100658028466545485</stp>
        <tr r="H12" s="6"/>
      </tp>
      <tp t="s">
        <v>#N/A N/A</v>
        <stp/>
        <stp>BDH|11692174336020333752</stp>
        <tr r="E12" s="3"/>
      </tp>
      <tp t="s">
        <v>#N/A N/A</v>
        <stp/>
        <stp>BDH|12329733256883400735</stp>
        <tr r="L14" s="10"/>
      </tp>
      <tp t="s">
        <v>#N/A N/A</v>
        <stp/>
        <stp>BDH|10773515977266136015</stp>
        <tr r="F17" s="7"/>
      </tp>
      <tp t="s">
        <v>#N/A N/A</v>
        <stp/>
        <stp>BDH|13453527774485229011</stp>
        <tr r="I8" s="3"/>
      </tp>
      <tp t="s">
        <v>#N/A N/A</v>
        <stp/>
        <stp>BDH|17438029100945682601</stp>
        <tr r="H16" s="9"/>
      </tp>
      <tp t="s">
        <v>#N/A N/A</v>
        <stp/>
        <stp>BDH|11108102578157058495</stp>
        <tr r="H6" s="13"/>
      </tp>
      <tp t="s">
        <v>#N/A N/A</v>
        <stp/>
        <stp>BDH|13261165877148019937</stp>
        <tr r="G19" s="12"/>
      </tp>
      <tp t="s">
        <v>#N/A N/A</v>
        <stp/>
        <stp>BDH|11759751071820745573</stp>
        <tr r="G13" s="12"/>
      </tp>
      <tp t="s">
        <v>#N/A N/A</v>
        <stp/>
        <stp>BDH|12338502341714696376</stp>
        <tr r="J9" s="6"/>
      </tp>
      <tp t="s">
        <v>#N/A N/A</v>
        <stp/>
        <stp>BDH|17051553516987102010</stp>
        <tr r="E16" s="11"/>
      </tp>
      <tp t="s">
        <v>#N/A N/A</v>
        <stp/>
        <stp>BDH|11707081608091798436</stp>
        <tr r="F17" s="12"/>
      </tp>
      <tp t="s">
        <v>#N/A N/A</v>
        <stp/>
        <stp>BDH|17653343103818474868</stp>
        <tr r="I9" s="10"/>
      </tp>
      <tp t="s">
        <v>#N/A N/A</v>
        <stp/>
        <stp>BDH|14923675957517822420</stp>
        <tr r="J16" s="5"/>
      </tp>
      <tp t="s">
        <v>#N/A N/A</v>
        <stp/>
        <stp>BDH|10436331478662962254</stp>
        <tr r="N9" s="5"/>
      </tp>
      <tp t="s">
        <v>#N/A N/A</v>
        <stp/>
        <stp>BDH|17163525897066441933</stp>
        <tr r="P20" s="7"/>
      </tp>
      <tp t="s">
        <v>#N/A N/A</v>
        <stp/>
        <stp>BDH|13622365825764018265</stp>
        <tr r="L22" s="13"/>
      </tp>
      <tp t="s">
        <v>#N/A N/A</v>
        <stp/>
        <stp>BDH|11396743735605349433</stp>
        <tr r="D6" s="5"/>
      </tp>
      <tp t="s">
        <v>#N/A N/A</v>
        <stp/>
        <stp>BDH|10751420376811914684</stp>
        <tr r="H10" s="4"/>
      </tp>
      <tp t="s">
        <v>#N/A N/A</v>
        <stp/>
        <stp>BDH|16849361859684257075</stp>
        <tr r="Q12" s="8"/>
      </tp>
      <tp t="s">
        <v>#N/A N/A</v>
        <stp/>
        <stp>BDH|12469827583785052373</stp>
        <tr r="D15" s="9"/>
      </tp>
      <tp t="s">
        <v>#N/A N/A</v>
        <stp/>
        <stp>BDH|13673683788031017842</stp>
        <tr r="C10" s="4"/>
      </tp>
      <tp t="s">
        <v>#N/A N/A</v>
        <stp/>
        <stp>BDH|17808996181062247006</stp>
        <tr r="F16" s="6"/>
      </tp>
      <tp t="s">
        <v>#N/A N/A</v>
        <stp/>
        <stp>BDH|11369996947978037081</stp>
        <tr r="S15" s="6"/>
      </tp>
      <tp t="s">
        <v>#N/A N/A</v>
        <stp/>
        <stp>BDH|17717371640692005652</stp>
        <tr r="H16" s="3"/>
      </tp>
      <tp t="s">
        <v>#N/A N/A</v>
        <stp/>
        <stp>BDH|11956489553736660219</stp>
        <tr r="D6" s="3"/>
      </tp>
      <tp t="s">
        <v>#N/A N/A</v>
        <stp/>
        <stp>BDH|15016803143205483833</stp>
        <tr r="C7" s="5"/>
      </tp>
      <tp t="s">
        <v>#N/A N/A</v>
        <stp/>
        <stp>BDH|16821699052689255852</stp>
        <tr r="R18" s="6"/>
      </tp>
      <tp t="s">
        <v>#N/A N/A</v>
        <stp/>
        <stp>BDH|12787110249614946722</stp>
        <tr r="C22" s="6"/>
      </tp>
      <tp t="s">
        <v>#N/A N/A</v>
        <stp/>
        <stp>BDH|12513771919609971962</stp>
        <tr r="M18" s="6"/>
      </tp>
      <tp t="s">
        <v>#N/A N/A</v>
        <stp/>
        <stp>BDH|17568402262242209314</stp>
        <tr r="G17" s="2"/>
      </tp>
      <tp t="s">
        <v>#N/A N/A</v>
        <stp/>
        <stp>BDH|10503025920032142426</stp>
        <tr r="N23" s="12"/>
      </tp>
      <tp t="s">
        <v>#N/A N/A</v>
        <stp/>
        <stp>BDH|16625417855580161371</stp>
        <tr r="H24" s="10"/>
      </tp>
      <tp t="s">
        <v>#N/A N/A</v>
        <stp/>
        <stp>BDH|12113358907144371149</stp>
        <tr r="H15" s="7"/>
      </tp>
      <tp t="s">
        <v>#N/A N/A</v>
        <stp/>
        <stp>BDH|11037837430346285865</stp>
        <tr r="M17" s="11"/>
      </tp>
      <tp t="s">
        <v>#N/A N/A</v>
        <stp/>
        <stp>BDH|16186413075501343012</stp>
        <tr r="J15" s="6"/>
      </tp>
      <tp t="s">
        <v>#N/A N/A</v>
        <stp/>
        <stp>BDH|14508790853815043784</stp>
        <tr r="H19" s="12"/>
      </tp>
      <tp t="s">
        <v>#N/A N/A</v>
        <stp/>
        <stp>BDH|13874240939966503073</stp>
        <tr r="J6" s="5"/>
      </tp>
      <tp t="s">
        <v>#N/A N/A</v>
        <stp/>
        <stp>BDH|13514062390616693820</stp>
        <tr r="D21" s="11"/>
      </tp>
      <tp t="s">
        <v>#N/A N/A</v>
        <stp/>
        <stp>BDH|13312064191119222710</stp>
        <tr r="L12" s="3"/>
      </tp>
      <tp t="s">
        <v>#N/A N/A</v>
        <stp/>
        <stp>BDH|14292666511733666456</stp>
        <tr r="H23" s="2"/>
      </tp>
      <tp t="s">
        <v>#N/A N/A</v>
        <stp/>
        <stp>BDH|14368245849097055182</stp>
        <tr r="M16" s="7"/>
      </tp>
      <tp t="s">
        <v>#N/A N/A</v>
        <stp/>
        <stp>BDH|15856961826319144309</stp>
        <tr r="J19" s="10"/>
      </tp>
      <tp t="s">
        <v>#N/A N/A</v>
        <stp/>
        <stp>BDH|17783108349737294156</stp>
        <tr r="E15" s="12"/>
      </tp>
      <tp t="s">
        <v>#N/A N/A</v>
        <stp/>
        <stp>BDH|12285806704266601893</stp>
        <tr r="J18" s="10"/>
      </tp>
      <tp t="s">
        <v>#N/A N/A</v>
        <stp/>
        <stp>BDH|14637946020529860238</stp>
        <tr r="Q20" s="13"/>
      </tp>
      <tp t="s">
        <v>#N/A N/A</v>
        <stp/>
        <stp>BDH|15585983526638426261</stp>
        <tr r="C24" s="2"/>
      </tp>
      <tp t="s">
        <v>#N/A N/A</v>
        <stp/>
        <stp>BDH|14112928717109400194</stp>
        <tr r="H22" s="12"/>
      </tp>
      <tp t="s">
        <v>#N/A N/A</v>
        <stp/>
        <stp>BDH|15755217902595455691</stp>
        <tr r="E13" s="6"/>
      </tp>
      <tp t="s">
        <v>#N/A N/A</v>
        <stp/>
        <stp>BDH|17019690946459044860</stp>
        <tr r="K14" s="12"/>
      </tp>
      <tp t="s">
        <v>#N/A N/A</v>
        <stp/>
        <stp>BDH|17343779055251921018</stp>
        <tr r="G7" s="10"/>
      </tp>
      <tp t="s">
        <v>#N/A N/A</v>
        <stp/>
        <stp>BDH|13969686024004959750</stp>
        <tr r="O7" s="12"/>
      </tp>
      <tp t="s">
        <v>#N/A N/A</v>
        <stp/>
        <stp>BDH|16875427060429446974</stp>
        <tr r="H13" s="2"/>
      </tp>
      <tp t="s">
        <v>#N/A N/A</v>
        <stp/>
        <stp>BDH|15581784361828799837</stp>
        <tr r="J11" s="7"/>
      </tp>
      <tp t="s">
        <v>#N/A N/A</v>
        <stp/>
        <stp>BDH|14188713605560957743</stp>
        <tr r="C22" s="3"/>
      </tp>
      <tp t="s">
        <v>#N/A N/A</v>
        <stp/>
        <stp>BDH|11134594487690560828</stp>
        <tr r="F21" s="3"/>
      </tp>
      <tp t="s">
        <v>#N/A N/A</v>
        <stp/>
        <stp>BDH|14511871050985980832</stp>
        <tr r="G17" s="9"/>
      </tp>
      <tp t="s">
        <v>#N/A N/A</v>
        <stp/>
        <stp>BDH|10121306552246028486</stp>
        <tr r="E7" s="10"/>
      </tp>
      <tp t="s">
        <v>#N/A N/A</v>
        <stp/>
        <stp>BDH|13102770579820421714</stp>
        <tr r="G12" s="6"/>
      </tp>
      <tp t="s">
        <v>#N/A N/A</v>
        <stp/>
        <stp>BDH|14320011255085475099</stp>
        <tr r="F14" s="10"/>
      </tp>
      <tp t="s">
        <v>#N/A N/A</v>
        <stp/>
        <stp>BDH|14630380738314468485</stp>
        <tr r="M10" s="5"/>
      </tp>
      <tp t="s">
        <v>#N/A N/A</v>
        <stp/>
        <stp>BDH|10719270207434922244</stp>
        <tr r="D7" s="8"/>
      </tp>
      <tp t="s">
        <v>#N/A N/A</v>
        <stp/>
        <stp>BDH|10872861493236129361</stp>
        <tr r="N18" s="4"/>
      </tp>
      <tp t="s">
        <v>#N/A N/A</v>
        <stp/>
        <stp>BDH|17642423829467225255</stp>
        <tr r="I17" s="6"/>
      </tp>
      <tp t="s">
        <v>#N/A N/A</v>
        <stp/>
        <stp>BDH|11990423014088163837</stp>
        <tr r="E16" s="12"/>
      </tp>
      <tp t="s">
        <v>#N/A N/A</v>
        <stp/>
        <stp>BDH|16981359235986165451</stp>
        <tr r="F18" s="11"/>
      </tp>
      <tp t="s">
        <v>#N/A N/A</v>
        <stp/>
        <stp>BDH|18194993836787184129</stp>
        <tr r="N20" s="2"/>
      </tp>
      <tp t="s">
        <v>#N/A N/A</v>
        <stp/>
        <stp>BDH|16041243812331809035</stp>
        <tr r="N17" s="3"/>
      </tp>
      <tp t="s">
        <v>#N/A N/A</v>
        <stp/>
        <stp>BDH|13789304457233571291</stp>
        <tr r="D13" s="13"/>
      </tp>
      <tp t="s">
        <v>#N/A N/A</v>
        <stp/>
        <stp>BDH|16148602298434597909</stp>
        <tr r="E20" s="2"/>
      </tp>
      <tp t="s">
        <v>#N/A N/A</v>
        <stp/>
        <stp>BDH|13932257862772331116</stp>
        <tr r="E22" s="3"/>
      </tp>
      <tp t="s">
        <v>#N/A N/A</v>
        <stp/>
        <stp>BDH|16183756021881118682</stp>
        <tr r="E16" s="3"/>
      </tp>
      <tp t="s">
        <v>#N/A N/A</v>
        <stp/>
        <stp>BDH|18200666099340497358</stp>
        <tr r="H16" s="8"/>
      </tp>
      <tp t="s">
        <v>#N/A N/A</v>
        <stp/>
        <stp>BDH|16964514207640764773</stp>
        <tr r="O13" s="6"/>
      </tp>
      <tp t="s">
        <v>#N/A N/A</v>
        <stp/>
        <stp>BDH|11399688232406137670</stp>
        <tr r="L16" s="12"/>
      </tp>
      <tp t="s">
        <v>#N/A N/A</v>
        <stp/>
        <stp>BDH|16170288148810766488</stp>
        <tr r="C16" s="5"/>
      </tp>
      <tp t="s">
        <v>#N/A N/A</v>
        <stp/>
        <stp>BDH|18373852522970938632</stp>
        <tr r="I7" s="3"/>
      </tp>
      <tp t="s">
        <v>#N/A N/A</v>
        <stp/>
        <stp>BDH|17785198616554229744</stp>
        <tr r="L13" s="6"/>
      </tp>
      <tp t="s">
        <v>#N/A N/A</v>
        <stp/>
        <stp>BDH|17970973533470740944</stp>
        <tr r="H22" s="8"/>
      </tp>
      <tp t="s">
        <v>#N/A N/A</v>
        <stp/>
        <stp>BDH|16095063449757735094</stp>
        <tr r="G16" s="4"/>
      </tp>
      <tp t="s">
        <v>#N/A N/A</v>
        <stp/>
        <stp>BDH|12202775086690583872</stp>
        <tr r="H12" s="9"/>
      </tp>
      <tp t="s">
        <v>#N/A N/A</v>
        <stp/>
        <stp>BDH|10358239674301475111</stp>
        <tr r="E10" s="2"/>
      </tp>
      <tp t="s">
        <v>#N/A N/A</v>
        <stp/>
        <stp>BDH|15441662524861525522</stp>
        <tr r="H8" s="9"/>
      </tp>
      <tp t="s">
        <v>#N/A N/A</v>
        <stp/>
        <stp>BDH|18084585896858687990</stp>
        <tr r="G17" s="5"/>
      </tp>
      <tp t="s">
        <v>#N/A N/A</v>
        <stp/>
        <stp>BDH|17256695201596244292</stp>
        <tr r="J14" s="13"/>
      </tp>
      <tp t="s">
        <v>#N/A N/A</v>
        <stp/>
        <stp>BDH|15494069680479512167</stp>
        <tr r="J10" s="2"/>
      </tp>
      <tp t="s">
        <v>#N/A N/A</v>
        <stp/>
        <stp>BDH|14529600772149589925</stp>
        <tr r="I10" s="5"/>
      </tp>
      <tp t="s">
        <v>#N/A N/A</v>
        <stp/>
        <stp>BDH|10682399121536733294</stp>
        <tr r="F13" s="10"/>
      </tp>
      <tp t="s">
        <v>#N/A N/A</v>
        <stp/>
        <stp>BDH|13946393632880025629</stp>
        <tr r="O8" s="6"/>
      </tp>
      <tp t="s">
        <v>#N/A N/A</v>
        <stp/>
        <stp>BDH|14165784110756920139</stp>
        <tr r="F10" s="11"/>
      </tp>
      <tp t="s">
        <v>#N/A N/A</v>
        <stp/>
        <stp>BDH|13090358373781459312</stp>
        <tr r="C13" s="6"/>
      </tp>
      <tp t="s">
        <v>#N/A N/A</v>
        <stp/>
        <stp>BDH|14722809857545080930</stp>
        <tr r="J19" s="12"/>
      </tp>
      <tp t="s">
        <v>#N/A N/A</v>
        <stp/>
        <stp>BDH|17010977816412766851</stp>
        <tr r="E24" s="2"/>
      </tp>
      <tp t="s">
        <v>#N/A N/A</v>
        <stp/>
        <stp>BDH|18052881582384155987</stp>
        <tr r="G7" s="5"/>
      </tp>
      <tp t="s">
        <v>#N/A N/A</v>
        <stp/>
        <stp>BDH|13851103445935851671</stp>
        <tr r="N12" s="8"/>
      </tp>
      <tp t="s">
        <v>#N/A N/A</v>
        <stp/>
        <stp>BDH|14046240626827858687</stp>
        <tr r="N9" s="6"/>
      </tp>
      <tp t="s">
        <v>#N/A N/A</v>
        <stp/>
        <stp>BDH|18251761290834902783</stp>
        <tr r="L14" s="3"/>
      </tp>
      <tp t="s">
        <v>#N/A N/A</v>
        <stp/>
        <stp>BDH|12774932916726702903</stp>
        <tr r="L22" s="3"/>
      </tp>
      <tp t="s">
        <v>#N/A N/A</v>
        <stp/>
        <stp>BDH|13038034751370724303</stp>
        <tr r="Q16" s="9"/>
      </tp>
      <tp t="s">
        <v>#N/A N/A</v>
        <stp/>
        <stp>BDH|15236456952069188807</stp>
        <tr r="I8" s="12"/>
      </tp>
      <tp t="s">
        <v>#N/A N/A</v>
        <stp/>
        <stp>BDH|11419364422665689026</stp>
        <tr r="R10" s="13"/>
      </tp>
      <tp t="s">
        <v>#N/A N/A</v>
        <stp/>
        <stp>BDH|18332263199467165191</stp>
        <tr r="I16" s="8"/>
      </tp>
      <tp t="s">
        <v>#N/A N/A</v>
        <stp/>
        <stp>BDH|15727385317021801347</stp>
        <tr r="L13" s="2"/>
      </tp>
      <tp t="s">
        <v>#N/A N/A</v>
        <stp/>
        <stp>BDH|12614691809011202039</stp>
        <tr r="F15" s="7"/>
      </tp>
      <tp t="s">
        <v>#N/A N/A</v>
        <stp/>
        <stp>BDH|13415004823386113216</stp>
        <tr r="Q9" s="7"/>
      </tp>
      <tp t="s">
        <v>#N/A N/A</v>
        <stp/>
        <stp>BDH|16950494065544165533</stp>
        <tr r="C9" s="6"/>
      </tp>
      <tp t="s">
        <v>#N/A N/A</v>
        <stp/>
        <stp>BDH|10320418465702488542</stp>
        <tr r="K12" s="11"/>
      </tp>
      <tp t="s">
        <v>#N/A N/A</v>
        <stp/>
        <stp>BDH|15727107273056341006</stp>
        <tr r="E9" s="13"/>
      </tp>
      <tp t="s">
        <v>#N/A N/A</v>
        <stp/>
        <stp>BDH|18059783244596215894</stp>
        <tr r="O13" s="5"/>
      </tp>
      <tp t="s">
        <v>#N/A N/A</v>
        <stp/>
        <stp>BDH|11232163254465133563</stp>
        <tr r="N24" s="2"/>
      </tp>
      <tp t="s">
        <v>#N/A N/A</v>
        <stp/>
        <stp>BDH|12488351854721007031</stp>
        <tr r="I18" s="5"/>
      </tp>
      <tp t="s">
        <v>#N/A N/A</v>
        <stp/>
        <stp>BDH|12657500705182287071</stp>
        <tr r="R7" s="4"/>
      </tp>
      <tp t="s">
        <v>#N/A N/A</v>
        <stp/>
        <stp>BDH|13423169295386467853</stp>
        <tr r="D7" s="13"/>
      </tp>
      <tp t="s">
        <v>#N/A N/A</v>
        <stp/>
        <stp>BDH|10263441483119030037</stp>
        <tr r="E6" s="3"/>
      </tp>
      <tp t="s">
        <v>#N/A N/A</v>
        <stp/>
        <stp>BDH|10114566286838128069</stp>
        <tr r="I12" s="6"/>
      </tp>
      <tp t="s">
        <v>#N/A N/A</v>
        <stp/>
        <stp>BDH|10412084717797383313</stp>
        <tr r="R17" s="7"/>
      </tp>
      <tp t="s">
        <v>#N/A N/A</v>
        <stp/>
        <stp>BDH|15036036659915162023</stp>
        <tr r="I18" s="3"/>
      </tp>
      <tp t="s">
        <v>#N/A N/A</v>
        <stp/>
        <stp>BDH|12370088455547009572</stp>
        <tr r="G16" s="6"/>
      </tp>
      <tp t="s">
        <v>#N/A N/A</v>
        <stp/>
        <stp>BDH|12021092273666683659</stp>
        <tr r="E16" s="5"/>
      </tp>
      <tp t="s">
        <v>#N/A N/A</v>
        <stp/>
        <stp>BDH|13626790402385301474</stp>
        <tr r="G14" s="10"/>
      </tp>
      <tp t="s">
        <v>#N/A N/A</v>
        <stp/>
        <stp>BDH|16580307279836050157</stp>
        <tr r="M16" s="10"/>
      </tp>
      <tp t="s">
        <v>#N/A N/A</v>
        <stp/>
        <stp>BDH|17833475836937927287</stp>
        <tr r="C14" s="5"/>
      </tp>
      <tp t="s">
        <v>#N/A N/A</v>
        <stp/>
        <stp>BDH|12163813818828459642</stp>
        <tr r="H10" s="11"/>
      </tp>
      <tp t="s">
        <v>#N/A N/A</v>
        <stp/>
        <stp>BDH|18314666799163187157</stp>
        <tr r="G8" s="10"/>
      </tp>
      <tp t="s">
        <v>#N/A N/A</v>
        <stp/>
        <stp>BDH|16470822094355233788</stp>
        <tr r="P11" s="7"/>
      </tp>
      <tp t="s">
        <v>#N/A N/A</v>
        <stp/>
        <stp>BDH|14137630067129987847</stp>
        <tr r="J14" s="5"/>
      </tp>
      <tp t="s">
        <v>#N/A N/A</v>
        <stp/>
        <stp>BDH|16645551375160827161</stp>
        <tr r="O12" s="7"/>
      </tp>
      <tp t="s">
        <v>#N/A N/A</v>
        <stp/>
        <stp>BDH|15898675816374284332</stp>
        <tr r="H12" s="13"/>
      </tp>
      <tp t="s">
        <v>#N/A N/A</v>
        <stp/>
        <stp>BDH|11565844885871643590</stp>
        <tr r="I22" s="6"/>
      </tp>
      <tp t="s">
        <v>#N/A N/A</v>
        <stp/>
        <stp>BDH|10994163730312505517</stp>
        <tr r="L24" s="4"/>
      </tp>
      <tp t="s">
        <v>#N/A N/A</v>
        <stp/>
        <stp>BDH|18032736686853706191</stp>
        <tr r="L23" s="6"/>
      </tp>
      <tp t="s">
        <v>#N/A N/A</v>
        <stp/>
        <stp>BDH|16049378362537724199</stp>
        <tr r="O22" s="4"/>
      </tp>
      <tp t="s">
        <v>#N/A N/A</v>
        <stp/>
        <stp>BDH|14577357932465125486</stp>
        <tr r="F12" s="3"/>
      </tp>
      <tp t="s">
        <v>#N/A N/A</v>
        <stp/>
        <stp>BDH|11371357354166835417</stp>
        <tr r="Q8" s="9"/>
      </tp>
      <tp t="s">
        <v>#N/A N/A</v>
        <stp/>
        <stp>BDH|10458490522244268765</stp>
        <tr r="K17" s="9"/>
      </tp>
      <tp t="s">
        <v>#N/A N/A</v>
        <stp/>
        <stp>BDH|17414268697079623090</stp>
        <tr r="O15" s="7"/>
      </tp>
      <tp t="s">
        <v>#N/A N/A</v>
        <stp/>
        <stp>BDH|14929585950238889934</stp>
        <tr r="M20" s="7"/>
      </tp>
      <tp t="s">
        <v>#N/A N/A</v>
        <stp/>
        <stp>BDH|10624193433997535033</stp>
        <tr r="K13" s="9"/>
      </tp>
      <tp t="s">
        <v>#N/A N/A</v>
        <stp/>
        <stp>BDH|13814258749341757198</stp>
        <tr r="E9" s="5"/>
      </tp>
      <tp t="s">
        <v>#N/A N/A</v>
        <stp/>
        <stp>BDH|13418235907686204284</stp>
        <tr r="C16" s="13"/>
      </tp>
      <tp t="s">
        <v>#N/A N/A</v>
        <stp/>
        <stp>BDH|12437047926133929651</stp>
        <tr r="M20" s="5"/>
      </tp>
      <tp t="s">
        <v>#N/A N/A</v>
        <stp/>
        <stp>BDH|17727225670933896409</stp>
        <tr r="I20" s="5"/>
      </tp>
      <tp t="s">
        <v>#N/A N/A</v>
        <stp/>
        <stp>BDH|16235066430785980507</stp>
        <tr r="G15" s="4"/>
      </tp>
      <tp t="s">
        <v>#N/A N/A</v>
        <stp/>
        <stp>BDH|15464654287008984630</stp>
        <tr r="J15" s="7"/>
      </tp>
      <tp t="s">
        <v>#N/A N/A</v>
        <stp/>
        <stp>BDH|14699441252081860146</stp>
        <tr r="P8" s="13"/>
      </tp>
      <tp t="s">
        <v>#N/A N/A</v>
        <stp/>
        <stp>BDH|12825708536674131731</stp>
        <tr r="I16" s="7"/>
      </tp>
      <tp t="s">
        <v>#N/A N/A</v>
        <stp/>
        <stp>BDH|13114150067845791481</stp>
        <tr r="N20" s="13"/>
      </tp>
      <tp t="s">
        <v>#N/A N/A</v>
        <stp/>
        <stp>BDH|14836460113482639674</stp>
        <tr r="C16" s="7"/>
      </tp>
      <tp t="s">
        <v>#N/A N/A</v>
        <stp/>
        <stp>BDH|13000518725384827532</stp>
        <tr r="N15" s="12"/>
      </tp>
      <tp t="s">
        <v>#N/A N/A</v>
        <stp/>
        <stp>BDH|10913674222782712348</stp>
        <tr r="H22" s="10"/>
      </tp>
      <tp t="s">
        <v>#N/A N/A</v>
        <stp/>
        <stp>BDH|13896810292267777037</stp>
        <tr r="J23" s="4"/>
      </tp>
      <tp t="s">
        <v>#N/A N/A</v>
        <stp/>
        <stp>BDH|12340254808556897396</stp>
        <tr r="I8" s="2"/>
      </tp>
      <tp t="s">
        <v>#N/A N/A</v>
        <stp/>
        <stp>BDH|14552548052364977556</stp>
        <tr r="L8" s="7"/>
      </tp>
      <tp t="s">
        <v>#N/A N/A</v>
        <stp/>
        <stp>BDH|12201719392498658184</stp>
        <tr r="G17" s="7"/>
      </tp>
      <tp t="s">
        <v>#N/A N/A</v>
        <stp/>
        <stp>BDH|10469535589758646070</stp>
        <tr r="L9" s="5"/>
      </tp>
      <tp t="s">
        <v>#N/A N/A</v>
        <stp/>
        <stp>BDH|13251145470082142283</stp>
        <tr r="G13" s="4"/>
      </tp>
      <tp t="s">
        <v>#N/A N/A</v>
        <stp/>
        <stp>BDH|17986619862046496403</stp>
        <tr r="F13" s="5"/>
      </tp>
      <tp t="s">
        <v>#N/A N/A</v>
        <stp/>
        <stp>BDH|14297186664234257223</stp>
        <tr r="H11" s="9"/>
      </tp>
      <tp t="s">
        <v>#N/A N/A</v>
        <stp/>
        <stp>BDH|11207216492918833775</stp>
        <tr r="Q12" s="9"/>
      </tp>
      <tp t="s">
        <v>#N/A N/A</v>
        <stp/>
        <stp>BDH|15579195866594177358</stp>
        <tr r="G22" s="6"/>
      </tp>
      <tp t="s">
        <v>#N/A N/A</v>
        <stp/>
        <stp>BDH|11056621612565812668</stp>
        <tr r="Q15" s="9"/>
      </tp>
      <tp t="s">
        <v>#N/A N/A</v>
        <stp/>
        <stp>BDH|14914241903741921298</stp>
        <tr r="L7" s="9"/>
      </tp>
      <tp t="s">
        <v>#N/A N/A</v>
        <stp/>
        <stp>BDH|14123988322979672339</stp>
        <tr r="L17" s="3"/>
      </tp>
      <tp t="s">
        <v>#N/A N/A</v>
        <stp/>
        <stp>BDH|14393652864018488980</stp>
        <tr r="L12" s="8"/>
      </tp>
      <tp t="s">
        <v>#N/A N/A</v>
        <stp/>
        <stp>BDH|17906537575434939480</stp>
        <tr r="G6" s="3"/>
      </tp>
      <tp t="s">
        <v>#N/A N/A</v>
        <stp/>
        <stp>BDH|16958945891354504776</stp>
        <tr r="K15" s="9"/>
      </tp>
    </main>
    <main first="bofaddin.rtdserver">
      <tp t="s">
        <v>#N/A N/A</v>
        <stp/>
        <stp>BDH|6550616089209326</stp>
        <tr r="L20" s="9"/>
      </tp>
      <tp t="s">
        <v>#N/A N/A</v>
        <stp/>
        <stp>BDH|8650828225540474</stp>
        <tr r="O22" s="6"/>
      </tp>
      <tp t="s">
        <v>#N/A N/A</v>
        <stp/>
        <stp>BDH|1127820744542576382</stp>
        <tr r="E9" s="6"/>
      </tp>
      <tp t="s">
        <v>#N/A N/A</v>
        <stp/>
        <stp>BDH|2148892633391345429</stp>
        <tr r="I13" s="8"/>
      </tp>
      <tp t="s">
        <v>#N/A N/A</v>
        <stp/>
        <stp>BDH|5328574932149543686</stp>
        <tr r="E16" s="7"/>
      </tp>
      <tp t="s">
        <v>#N/A N/A</v>
        <stp/>
        <stp>BDH|9158255541755631680</stp>
        <tr r="E13" s="7"/>
      </tp>
      <tp t="s">
        <v>#N/A N/A</v>
        <stp/>
        <stp>BDH|4217924906157544686</stp>
        <tr r="K8" s="4"/>
      </tp>
      <tp t="s">
        <v>#N/A N/A</v>
        <stp/>
        <stp>BDH|4899773451408637236</stp>
        <tr r="J9" s="7"/>
      </tp>
      <tp t="s">
        <v>#N/A N/A</v>
        <stp/>
        <stp>BDH|1374392565509310143</stp>
        <tr r="P14" s="4"/>
      </tp>
      <tp t="s">
        <v>#N/A N/A</v>
        <stp/>
        <stp>BDH|8574716003466779585</stp>
        <tr r="M16" s="3"/>
      </tp>
      <tp t="s">
        <v>#N/A N/A</v>
        <stp/>
        <stp>BDH|4399962303199679884</stp>
        <tr r="D12" s="9"/>
      </tp>
      <tp t="s">
        <v>#N/A N/A</v>
        <stp/>
        <stp>BDH|8269793963192060708</stp>
        <tr r="E14" s="2"/>
      </tp>
      <tp t="s">
        <v>#N/A N/A</v>
        <stp/>
        <stp>BDH|8268412329006575463</stp>
        <tr r="F8" s="8"/>
      </tp>
      <tp t="s">
        <v>#N/A N/A</v>
        <stp/>
        <stp>BDH|3796031302616753989</stp>
        <tr r="L16" s="8"/>
      </tp>
      <tp t="s">
        <v>#N/A N/A</v>
        <stp/>
        <stp>BDH|9654653148314681335</stp>
        <tr r="I18" s="6"/>
      </tp>
      <tp t="s">
        <v>#N/A N/A</v>
        <stp/>
        <stp>BDH|7588061150657593996</stp>
        <tr r="R13" s="4"/>
      </tp>
      <tp t="s">
        <v>#N/A N/A</v>
        <stp/>
        <stp>BDH|1301234667028078187</stp>
        <tr r="L20" s="3"/>
      </tp>
      <tp t="s">
        <v>#N/A N/A</v>
        <stp/>
        <stp>BDH|2423911074602776295</stp>
        <tr r="K23" s="12"/>
      </tp>
      <tp t="s">
        <v>#N/A N/A</v>
        <stp/>
        <stp>BDH|7735958030117455698</stp>
        <tr r="F21" s="11"/>
      </tp>
      <tp t="s">
        <v>#N/A N/A</v>
        <stp/>
        <stp>BDH|7296494241062533908</stp>
        <tr r="O8" s="4"/>
      </tp>
      <tp t="s">
        <v>#N/A N/A</v>
        <stp/>
        <stp>BDH|6140455631179354498</stp>
        <tr r="G12" s="11"/>
      </tp>
      <tp t="s">
        <v>#N/A N/A</v>
        <stp/>
        <stp>BDH|9259705545861979712</stp>
        <tr r="E15" s="4"/>
      </tp>
      <tp t="s">
        <v>#N/A N/A</v>
        <stp/>
        <stp>BDH|6794909734065741588</stp>
        <tr r="E12" s="5"/>
      </tp>
      <tp t="s">
        <v>#N/A N/A</v>
        <stp/>
        <stp>BDH|3015839793226400884</stp>
        <tr r="L7" s="2"/>
      </tp>
      <tp t="s">
        <v>#N/A N/A</v>
        <stp/>
        <stp>BDH|8670593285010313946</stp>
        <tr r="G7" s="2"/>
      </tp>
      <tp t="s">
        <v>#N/A N/A</v>
        <stp/>
        <stp>BDH|7267785864552669853</stp>
        <tr r="C9" s="5"/>
      </tp>
      <tp t="s">
        <v>#N/A N/A</v>
        <stp/>
        <stp>BDH|8106756615770251215</stp>
        <tr r="H13" s="6"/>
      </tp>
      <tp t="s">
        <v>#N/A N/A</v>
        <stp/>
        <stp>BDH|2479283586057003385</stp>
        <tr r="I18" s="10"/>
      </tp>
      <tp t="s">
        <v>#N/A N/A</v>
        <stp/>
        <stp>BDH|7406829050654619229</stp>
        <tr r="E8" s="7"/>
      </tp>
      <tp t="s">
        <v>#N/A N/A</v>
        <stp/>
        <stp>BDH|4229959844241258435</stp>
        <tr r="K14" s="2"/>
      </tp>
      <tp t="s">
        <v>#N/A N/A</v>
        <stp/>
        <stp>BDH|3641119926758784448</stp>
        <tr r="U23" s="6"/>
      </tp>
      <tp t="s">
        <v>#N/A N/A</v>
        <stp/>
        <stp>BDH|9519192079755508631</stp>
        <tr r="N17" s="8"/>
      </tp>
      <tp t="s">
        <v>#N/A N/A</v>
        <stp/>
        <stp>BDH|3710537067818964490</stp>
        <tr r="P14" s="8"/>
      </tp>
      <tp t="s">
        <v>#N/A N/A</v>
        <stp/>
        <stp>BDH|7943686456918217061</stp>
        <tr r="G14" s="6"/>
      </tp>
      <tp t="s">
        <v>#N/A N/A</v>
        <stp/>
        <stp>BDH|2850792333089084315</stp>
        <tr r="N10" s="12"/>
      </tp>
      <tp t="s">
        <v>#N/A N/A</v>
        <stp/>
        <stp>BDH|7634890618433531119</stp>
        <tr r="E14" s="10"/>
      </tp>
      <tp t="s">
        <v>#N/A N/A</v>
        <stp/>
        <stp>BDH|6530305224089232209</stp>
        <tr r="H9" s="6"/>
      </tp>
      <tp t="s">
        <v>#N/A N/A</v>
        <stp/>
        <stp>BDH|3506608717741679976</stp>
        <tr r="J12" s="13"/>
      </tp>
      <tp t="s">
        <v>#N/A N/A</v>
        <stp/>
        <stp>BDH|8259556996178825090</stp>
        <tr r="N18" s="13"/>
      </tp>
      <tp t="s">
        <v>#N/A N/A</v>
        <stp/>
        <stp>BDH|5737406337436271825</stp>
        <tr r="F13" s="7"/>
      </tp>
      <tp t="s">
        <v>#N/A N/A</v>
        <stp/>
        <stp>BDH|2527916744135151615</stp>
        <tr r="K13" s="12"/>
      </tp>
      <tp t="s">
        <v>#N/A N/A</v>
        <stp/>
        <stp>BDH|4579983702910783182</stp>
        <tr r="S7" s="7"/>
      </tp>
      <tp t="s">
        <v>#N/A N/A</v>
        <stp/>
        <stp>BDH|7631233511840609822</stp>
        <tr r="C8" s="11"/>
      </tp>
      <tp t="s">
        <v>#N/A N/A</v>
        <stp/>
        <stp>BDH|1463072691575129139</stp>
        <tr r="M12" s="8"/>
      </tp>
      <tp t="s">
        <v>#N/A N/A</v>
        <stp/>
        <stp>BDH|3692947065648732806</stp>
        <tr r="D18" s="3"/>
      </tp>
      <tp t="s">
        <v>#N/A N/A</v>
        <stp/>
        <stp>BDH|2013610615640500902</stp>
        <tr r="F13" s="11"/>
      </tp>
      <tp t="s">
        <v>#N/A N/A</v>
        <stp/>
        <stp>BDH|6727214182573408318</stp>
        <tr r="R7" s="13"/>
      </tp>
      <tp t="s">
        <v>#N/A N/A</v>
        <stp/>
        <stp>BDH|8174731720821219015</stp>
        <tr r="K12" s="5"/>
      </tp>
      <tp t="s">
        <v>#N/A N/A</v>
        <stp/>
        <stp>BDH|1054406849388674594</stp>
        <tr r="U7" s="7"/>
      </tp>
      <tp t="s">
        <v>#N/A N/A</v>
        <stp/>
        <stp>BDH|6197761824769383661</stp>
        <tr r="I13" s="7"/>
      </tp>
      <tp t="s">
        <v>#N/A N/A</v>
        <stp/>
        <stp>BDH|7114770187523711709</stp>
        <tr r="S16" s="6"/>
      </tp>
      <tp t="s">
        <v>#N/A N/A</v>
        <stp/>
        <stp>BDH|7527816295089184360</stp>
        <tr r="F13" s="3"/>
      </tp>
      <tp t="s">
        <v>#N/A N/A</v>
        <stp/>
        <stp>BDH|7202538026565559946</stp>
        <tr r="I16" s="2"/>
      </tp>
      <tp t="s">
        <v>#N/A N/A</v>
        <stp/>
        <stp>BDH|8479019463124185606</stp>
        <tr r="O18" s="6"/>
      </tp>
      <tp t="s">
        <v>#N/A N/A</v>
        <stp/>
        <stp>BDH|9951670219644191619</stp>
        <tr r="H7" s="11"/>
      </tp>
      <tp t="s">
        <v>#N/A N/A</v>
        <stp/>
        <stp>BDH|7245322853334346975</stp>
        <tr r="M10" s="3"/>
      </tp>
      <tp t="s">
        <v>#N/A N/A</v>
        <stp/>
        <stp>BDH|1037564600449939188</stp>
        <tr r="L10" s="12"/>
      </tp>
      <tp t="s">
        <v>#N/A N/A</v>
        <stp/>
        <stp>BDH|8790006799388954503</stp>
        <tr r="Q18" s="5"/>
      </tp>
      <tp t="s">
        <v>#N/A N/A</v>
        <stp/>
        <stp>BDH|8917393370502728237</stp>
        <tr r="N7" s="8"/>
      </tp>
      <tp t="s">
        <v>#N/A N/A</v>
        <stp/>
        <stp>BDH|2863418681807565594</stp>
        <tr r="L8" s="13"/>
      </tp>
      <tp t="s">
        <v>#N/A N/A</v>
        <stp/>
        <stp>BDH|2410807422196278207</stp>
        <tr r="C20" s="3"/>
      </tp>
      <tp t="s">
        <v>#N/A N/A</v>
        <stp/>
        <stp>BDH|4125807132784609715</stp>
        <tr r="K20" s="2"/>
      </tp>
      <tp t="s">
        <v>#N/A N/A</v>
        <stp/>
        <stp>BDH|3763122287435404327</stp>
        <tr r="C10" s="11"/>
      </tp>
      <tp t="s">
        <v>#N/A N/A</v>
        <stp/>
        <stp>BDH|9219152191745036837</stp>
        <tr r="O23" s="12"/>
      </tp>
      <tp t="s">
        <v>#N/A N/A</v>
        <stp/>
        <stp>BDH|1369135970459717225</stp>
        <tr r="H23" s="12"/>
      </tp>
      <tp t="s">
        <v>#N/A N/A</v>
        <stp/>
        <stp>BDH|5921652192025361381</stp>
        <tr r="G15" s="12"/>
      </tp>
      <tp t="s">
        <v>#N/A N/A</v>
        <stp/>
        <stp>BDH|7673618635468245652</stp>
        <tr r="K22" s="12"/>
      </tp>
      <tp t="s">
        <v>#N/A N/A</v>
        <stp/>
        <stp>BDH|9283680022793968244</stp>
        <tr r="D25" s="2"/>
      </tp>
      <tp t="s">
        <v>#N/A N/A</v>
        <stp/>
        <stp>BDH|3073200160252527909</stp>
        <tr r="E17" s="12"/>
      </tp>
      <tp t="s">
        <v>#N/A N/A</v>
        <stp/>
        <stp>BDH|73006461603170433</stp>
        <tr r="L11" s="7"/>
      </tp>
      <tp t="s">
        <v>#N/A N/A</v>
        <stp/>
        <stp>BDH|9685502360337912059</stp>
        <tr r="M7" s="7"/>
      </tp>
      <tp t="s">
        <v>#N/A N/A</v>
        <stp/>
        <stp>BDH|8415989693323043658</stp>
        <tr r="O20" s="9"/>
      </tp>
      <tp t="s">
        <v>#N/A N/A</v>
        <stp/>
        <stp>BDH|4556331587986329486</stp>
        <tr r="K16" s="4"/>
      </tp>
      <tp t="s">
        <v>#N/A N/A</v>
        <stp/>
        <stp>BDH|2057095052702683877</stp>
        <tr r="G13" s="11"/>
      </tp>
      <tp t="s">
        <v>#N/A N/A</v>
        <stp/>
        <stp>BDH|9812733331365151505</stp>
        <tr r="C15" s="9"/>
      </tp>
      <tp t="s">
        <v>#N/A N/A</v>
        <stp/>
        <stp>BDH|9411788328776647798</stp>
        <tr r="F16" s="7"/>
      </tp>
      <tp t="s">
        <v>#N/A N/A</v>
        <stp/>
        <stp>BDH|6107195566588753427</stp>
        <tr r="C25" s="2"/>
      </tp>
      <tp t="s">
        <v>#N/A N/A</v>
        <stp/>
        <stp>BDH|4441964797880884962</stp>
        <tr r="Q9" s="12"/>
      </tp>
      <tp t="s">
        <v>#N/A N/A</v>
        <stp/>
        <stp>BDH|8654061553737852703</stp>
        <tr r="H15" s="12"/>
      </tp>
      <tp t="s">
        <v>#N/A N/A</v>
        <stp/>
        <stp>BDH|6089789726197438916</stp>
        <tr r="R9" s="12"/>
      </tp>
      <tp t="s">
        <v>#N/A N/A</v>
        <stp/>
        <stp>BDH|8064617007377532488</stp>
        <tr r="D23" s="6"/>
      </tp>
      <tp t="s">
        <v>#N/A N/A</v>
        <stp/>
        <stp>BDH|8396075329111142673</stp>
        <tr r="L22" s="10"/>
      </tp>
      <tp t="s">
        <v>#N/A N/A</v>
        <stp/>
        <stp>BDH|9457289021700163448</stp>
        <tr r="M17" s="5"/>
      </tp>
      <tp t="s">
        <v>#N/A N/A</v>
        <stp/>
        <stp>BDH|3262166066019335096</stp>
        <tr r="D7" s="10"/>
      </tp>
      <tp t="s">
        <v>#N/A N/A</v>
        <stp/>
        <stp>BDH|8243314242834124683</stp>
        <tr r="I14" s="13"/>
      </tp>
      <tp t="s">
        <v>#N/A N/A</v>
        <stp/>
        <stp>BDH|8903512805475585504</stp>
        <tr r="K14" s="3"/>
      </tp>
      <tp t="s">
        <v>#N/A N/A</v>
        <stp/>
        <stp>BDH|9952378752257363568</stp>
        <tr r="J18" s="3"/>
      </tp>
      <tp t="s">
        <v>#N/A N/A</v>
        <stp/>
        <stp>BDH|2373999747164493604</stp>
        <tr r="I19" s="10"/>
      </tp>
      <tp t="s">
        <v>#N/A N/A</v>
        <stp/>
        <stp>BDH|8933911766632555825</stp>
        <tr r="F16" s="10"/>
      </tp>
      <tp t="s">
        <v>#N/A N/A</v>
        <stp/>
        <stp>BDH|4654971510263041288</stp>
        <tr r="Q16" s="12"/>
      </tp>
      <tp t="s">
        <v>#N/A N/A</v>
        <stp/>
        <stp>BDH|8948178528944110290</stp>
        <tr r="S11" s="7"/>
      </tp>
      <tp t="s">
        <v>#N/A N/A</v>
        <stp/>
        <stp>BDH|9530250949150347249</stp>
        <tr r="L12" s="7"/>
      </tp>
      <tp t="s">
        <v>#N/A N/A</v>
        <stp/>
        <stp>BDH|5738393867334442924</stp>
        <tr r="M8" s="2"/>
      </tp>
      <tp t="s">
        <v>#N/A N/A</v>
        <stp/>
        <stp>BDH|5003859243503076793</stp>
        <tr r="J24" s="12"/>
      </tp>
      <tp t="s">
        <v>#N/A N/A</v>
        <stp/>
        <stp>BDH|9942834036347257819</stp>
        <tr r="I9" s="5"/>
      </tp>
      <tp t="s">
        <v>#N/A N/A</v>
        <stp/>
        <stp>BDH|9528394472105593540</stp>
        <tr r="J10" s="10"/>
      </tp>
      <tp t="s">
        <v>#N/A N/A</v>
        <stp/>
        <stp>BDH|9580187420987692079</stp>
        <tr r="R12" s="6"/>
      </tp>
      <tp t="s">
        <v>#N/A N/A</v>
        <stp/>
        <stp>BDH|9151166503017919203</stp>
        <tr r="F19" s="2"/>
      </tp>
      <tp t="s">
        <v>#N/A N/A</v>
        <stp/>
        <stp>BDH|8308290622403554600</stp>
        <tr r="M7" s="10"/>
      </tp>
      <tp t="s">
        <v>#N/A N/A</v>
        <stp/>
        <stp>BDH|4136273991397854523</stp>
        <tr r="M16" s="12"/>
      </tp>
      <tp t="s">
        <v>#N/A N/A</v>
        <stp/>
        <stp>BDH|3873490934239093088</stp>
        <tr r="M9" s="7"/>
      </tp>
      <tp t="s">
        <v>#N/A N/A</v>
        <stp/>
        <stp>BDH|2233601449224010966</stp>
        <tr r="Q13" s="5"/>
      </tp>
      <tp t="s">
        <v>#N/A N/A</v>
        <stp/>
        <stp>BDH|5357011822913425998</stp>
        <tr r="H21" s="13"/>
      </tp>
      <tp t="s">
        <v>#N/A N/A</v>
        <stp/>
        <stp>BDH|3540288796660703517</stp>
        <tr r="Q13" s="12"/>
      </tp>
      <tp t="s">
        <v>#N/A N/A</v>
        <stp/>
        <stp>BDH|3782021299370102706</stp>
        <tr r="Q8" s="8"/>
      </tp>
      <tp t="s">
        <v>#N/A N/A</v>
        <stp/>
        <stp>BDH|4364808201140879187</stp>
        <tr r="G13" s="6"/>
      </tp>
      <tp t="s">
        <v>#N/A N/A</v>
        <stp/>
        <stp>BDH|4756515542870756813</stp>
        <tr r="K22" s="8"/>
      </tp>
      <tp t="s">
        <v>#N/A N/A</v>
        <stp/>
        <stp>BDH|8577700369962854678</stp>
        <tr r="I14" s="4"/>
      </tp>
      <tp t="s">
        <v>#N/A N/A</v>
        <stp/>
        <stp>BDH|4465114777946882991</stp>
        <tr r="C22" s="11"/>
      </tp>
      <tp t="s">
        <v>#N/A N/A</v>
        <stp/>
        <stp>BDH|9405075739590145781</stp>
        <tr r="G20" s="3"/>
      </tp>
      <tp t="s">
        <v>#N/A N/A</v>
        <stp/>
        <stp>BDH|3302953660069285872</stp>
        <tr r="Q13" s="8"/>
      </tp>
      <tp t="s">
        <v>#N/A N/A</v>
        <stp/>
        <stp>BDH|1883436838688071306</stp>
        <tr r="I16" s="12"/>
      </tp>
      <tp t="s">
        <v>#N/A N/A</v>
        <stp/>
        <stp>BDH|4399882528377065404</stp>
        <tr r="E7" s="8"/>
      </tp>
      <tp t="s">
        <v>#N/A N/A</v>
        <stp/>
        <stp>BDH|7394515031818919498</stp>
        <tr r="F15" s="10"/>
      </tp>
      <tp t="s">
        <v>#N/A N/A</v>
        <stp/>
        <stp>BDH|1982593341739319413</stp>
        <tr r="I23" s="4"/>
      </tp>
      <tp t="s">
        <v>#N/A N/A</v>
        <stp/>
        <stp>BDH|8088652208377598480</stp>
        <tr r="L9" s="11"/>
      </tp>
      <tp t="s">
        <v>#N/A N/A</v>
        <stp/>
        <stp>BDH|9683249633560269535</stp>
        <tr r="K12" s="6"/>
      </tp>
      <tp t="s">
        <v>#N/A N/A</v>
        <stp/>
        <stp>BDH|5831426008778130439</stp>
        <tr r="K8" s="8"/>
      </tp>
      <tp t="s">
        <v>#N/A N/A</v>
        <stp/>
        <stp>BDH|3125180431774838816</stp>
        <tr r="J14" s="6"/>
      </tp>
      <tp t="s">
        <v>#N/A N/A</v>
        <stp/>
        <stp>BDH|4419598999983441614</stp>
        <tr r="N6" s="3"/>
      </tp>
      <tp t="s">
        <v>#N/A N/A</v>
        <stp/>
        <stp>BDH|4422440598074024092</stp>
        <tr r="H20" s="2"/>
      </tp>
      <tp t="s">
        <v>#N/A N/A</v>
        <stp/>
        <stp>BDH|8486992215954127984</stp>
        <tr r="E13" s="13"/>
      </tp>
      <tp t="s">
        <v>#N/A N/A</v>
        <stp/>
        <stp>BDH|9046204877412308352</stp>
        <tr r="G8" s="4"/>
      </tp>
      <tp t="s">
        <v>#N/A N/A</v>
        <stp/>
        <stp>BDH|8475929791314075162</stp>
        <tr r="U8" s="7"/>
      </tp>
      <tp t="s">
        <v>#N/A N/A</v>
        <stp/>
        <stp>BDH|8547237467864161513</stp>
        <tr r="D8" s="10"/>
      </tp>
      <tp t="s">
        <v>#N/A N/A</v>
        <stp/>
        <stp>BDH|3141379053988040031</stp>
        <tr r="R17" s="4"/>
      </tp>
      <tp t="s">
        <v>#N/A N/A</v>
        <stp/>
        <stp>BDH|1924823565252110090</stp>
        <tr r="M9" s="4"/>
      </tp>
      <tp t="s">
        <v>#N/A N/A</v>
        <stp/>
        <stp>BDH|2497855023863462607</stp>
        <tr r="J18" s="11"/>
      </tp>
      <tp t="s">
        <v>#N/A N/A</v>
        <stp/>
        <stp>BDH|5110872228293947113</stp>
        <tr r="O7" s="8"/>
      </tp>
      <tp t="s">
        <v>#N/A N/A</v>
        <stp/>
        <stp>BDH|1185835343885188567</stp>
        <tr r="G8" s="11"/>
      </tp>
      <tp t="s">
        <v>#N/A N/A</v>
        <stp/>
        <stp>BDH|2116865752366080432</stp>
        <tr r="K21" s="11"/>
      </tp>
      <tp t="s">
        <v>#N/A N/A</v>
        <stp/>
        <stp>BDH|1070449574209659605</stp>
        <tr r="K10" s="13"/>
      </tp>
      <tp t="s">
        <v>#N/A N/A</v>
        <stp/>
        <stp>BDH|1683851165775231723</stp>
        <tr r="J15" s="8"/>
      </tp>
      <tp t="s">
        <v>#N/A N/A</v>
        <stp/>
        <stp>BDH|6437810604507561435</stp>
        <tr r="H16" s="10"/>
      </tp>
      <tp t="s">
        <v>#N/A N/A</v>
        <stp/>
        <stp>BDH|7237440887392692404</stp>
        <tr r="J19" s="4"/>
      </tp>
      <tp t="s">
        <v>#N/A N/A</v>
        <stp/>
        <stp>BDH|3630603444744499812</stp>
        <tr r="J16" s="3"/>
      </tp>
      <tp t="s">
        <v>#N/A N/A</v>
        <stp/>
        <stp>BDH|7391161200882580949</stp>
        <tr r="H17" s="8"/>
      </tp>
      <tp t="s">
        <v>#N/A N/A</v>
        <stp/>
        <stp>BDH|9204745245427798008</stp>
        <tr r="I22" s="10"/>
      </tp>
      <tp t="s">
        <v>#N/A N/A</v>
        <stp/>
        <stp>BDH|9253318593188678629</stp>
        <tr r="H18" s="5"/>
      </tp>
      <tp t="s">
        <v>#N/A N/A</v>
        <stp/>
        <stp>BDH|9112690376247216284</stp>
        <tr r="N13" s="8"/>
      </tp>
      <tp t="s">
        <v>#N/A N/A</v>
        <stp/>
        <stp>BDH|9177979808264946931</stp>
        <tr r="Q22" s="13"/>
      </tp>
      <tp t="s">
        <v>#N/A N/A</v>
        <stp/>
        <stp>BDH|7223355912640416859</stp>
        <tr r="P21" s="6"/>
      </tp>
      <tp t="s">
        <v>#N/A N/A</v>
        <stp/>
        <stp>BDH|8700897070738821228</stp>
        <tr r="G9" s="12"/>
      </tp>
      <tp t="s">
        <v>#N/A N/A</v>
        <stp/>
        <stp>BDH|6175233850665194977</stp>
        <tr r="G23" s="10"/>
      </tp>
      <tp t="s">
        <v>#N/A N/A</v>
        <stp/>
        <stp>BDH|2585746259469927457</stp>
        <tr r="P20" s="8"/>
      </tp>
      <tp t="s">
        <v>#N/A N/A</v>
        <stp/>
        <stp>BDH|9981126853606932654</stp>
        <tr r="I8" s="7"/>
      </tp>
      <tp t="s">
        <v>#N/A N/A</v>
        <stp/>
        <stp>BDH|7234908210743316153</stp>
        <tr r="J16" s="10"/>
      </tp>
      <tp t="s">
        <v>#N/A N/A</v>
        <stp/>
        <stp>BDH|6403757775583062815</stp>
        <tr r="M23" s="6"/>
      </tp>
      <tp t="s">
        <v>#N/A N/A</v>
        <stp/>
        <stp>BDH|1717802065763367140</stp>
        <tr r="R8" s="5"/>
      </tp>
      <tp t="s">
        <v>#N/A N/A</v>
        <stp/>
        <stp>BDH|6148575193274533356</stp>
        <tr r="P17" s="5"/>
      </tp>
      <tp t="s">
        <v>#N/A N/A</v>
        <stp/>
        <stp>BDH|5278243795874535731</stp>
        <tr r="J22" s="13"/>
      </tp>
      <tp t="s">
        <v>#N/A N/A</v>
        <stp/>
        <stp>BDH|38209819921604253</stp>
        <tr r="Q15" s="7"/>
      </tp>
      <tp t="s">
        <v>#N/A N/A</v>
        <stp/>
        <stp>BDH|1485109562321522993</stp>
        <tr r="K18" s="3"/>
      </tp>
      <tp t="s">
        <v>#N/A N/A</v>
        <stp/>
        <stp>BDH|5129823085049506297</stp>
        <tr r="I18" s="13"/>
      </tp>
      <tp t="s">
        <v>#N/A N/A</v>
        <stp/>
        <stp>BDH|5282554987582986420</stp>
        <tr r="H14" s="12"/>
      </tp>
      <tp t="s">
        <v>#N/A N/A</v>
        <stp/>
        <stp>BDH|4352922555475813371</stp>
        <tr r="M22" s="5"/>
      </tp>
      <tp t="s">
        <v>#N/A N/A</v>
        <stp/>
        <stp>BDH|3921733366599056577</stp>
        <tr r="O17" s="13"/>
      </tp>
      <tp t="s">
        <v>#N/A N/A</v>
        <stp/>
        <stp>BDH|2670800868067194546</stp>
        <tr r="E13" s="10"/>
      </tp>
      <tp t="s">
        <v>#N/A N/A</v>
        <stp/>
        <stp>BDH|9579486962872726730</stp>
        <tr r="D17" s="12"/>
      </tp>
      <tp t="s">
        <v>#N/A N/A</v>
        <stp/>
        <stp>BDH|8438594041214337371</stp>
        <tr r="N16" s="2"/>
      </tp>
      <tp t="s">
        <v>#N/A N/A</v>
        <stp/>
        <stp>BDH|3637009988164001165</stp>
        <tr r="D14" s="4"/>
      </tp>
      <tp t="s">
        <v>#N/A N/A</v>
        <stp/>
        <stp>BDH|3941366065441663951</stp>
        <tr r="R17" s="13"/>
      </tp>
      <tp t="s">
        <v>#N/A N/A</v>
        <stp/>
        <stp>BDH|9328723891939899013</stp>
        <tr r="C7" s="11"/>
      </tp>
      <tp t="s">
        <v>#N/A N/A</v>
        <stp/>
        <stp>BDH|5424673085441802472</stp>
        <tr r="G16" s="5"/>
      </tp>
      <tp t="s">
        <v>#N/A N/A</v>
        <stp/>
        <stp>BDH|6760890260065337336</stp>
        <tr r="I14" s="6"/>
      </tp>
      <tp t="s">
        <v>#N/A N/A</v>
        <stp/>
        <stp>BDH|1938520360105337965</stp>
        <tr r="F20" s="5"/>
      </tp>
      <tp t="s">
        <v>#N/A N/A</v>
        <stp/>
        <stp>BDH|6735468495304959139</stp>
        <tr r="L22" s="11"/>
      </tp>
      <tp t="s">
        <v>#N/A N/A</v>
        <stp/>
        <stp>BDH|3805119719208881568</stp>
        <tr r="D16" s="10"/>
      </tp>
      <tp t="s">
        <v>#N/A N/A</v>
        <stp/>
        <stp>BDH|1280545987552741086</stp>
        <tr r="J15" s="10"/>
      </tp>
      <tp t="s">
        <v>#N/A N/A</v>
        <stp/>
        <stp>BDH|8200454008691868387</stp>
        <tr r="P16" s="9"/>
      </tp>
      <tp t="s">
        <v>#N/A N/A</v>
        <stp/>
        <stp>BDH|6782738093713116594</stp>
        <tr r="D20" s="11"/>
      </tp>
      <tp t="s">
        <v>#N/A N/A</v>
        <stp/>
        <stp>BDH|1937197892302512580</stp>
        <tr r="F15" s="2"/>
      </tp>
      <tp t="s">
        <v>#N/A N/A</v>
        <stp/>
        <stp>BDH|3720103870603165899</stp>
        <tr r="D14" s="6"/>
      </tp>
      <tp t="s">
        <v>#N/A N/A</v>
        <stp/>
        <stp>BDH|6584882205399153967</stp>
        <tr r="H21" s="6"/>
      </tp>
      <tp t="s">
        <v>#N/A N/A</v>
        <stp/>
        <stp>BDH|9850370053508048904</stp>
        <tr r="J14" s="8"/>
      </tp>
      <tp t="s">
        <v>#N/A N/A</v>
        <stp/>
        <stp>BDH|3980203281745435208</stp>
        <tr r="M9" s="5"/>
      </tp>
      <tp t="s">
        <v>#N/A N/A</v>
        <stp/>
        <stp>BDH|2943925057000783072</stp>
        <tr r="O17" s="8"/>
      </tp>
      <tp t="s">
        <v>#N/A N/A</v>
        <stp/>
        <stp>BDH|1839414064559668479</stp>
        <tr r="M14" s="11"/>
      </tp>
      <tp t="s">
        <v>#N/A N/A</v>
        <stp/>
        <stp>BDH|8459173891876833862</stp>
        <tr r="I7" s="4"/>
      </tp>
      <tp t="s">
        <v>#N/A N/A</v>
        <stp/>
        <stp>BDH|8619508923487861615</stp>
        <tr r="M7" s="11"/>
      </tp>
      <tp t="s">
        <v>#N/A N/A</v>
        <stp/>
        <stp>BDH|1628294811019520564</stp>
        <tr r="I24" s="12"/>
      </tp>
      <tp t="s">
        <v>#N/A N/A</v>
        <stp/>
        <stp>BDH|1184988296228267704</stp>
        <tr r="F22" s="11"/>
      </tp>
      <tp t="s">
        <v>#N/A N/A</v>
        <stp/>
        <stp>BDH|4802977411593739142</stp>
        <tr r="I8" s="6"/>
      </tp>
      <tp t="s">
        <v>#N/A N/A</v>
        <stp/>
        <stp>BDH|7504988123331091330</stp>
        <tr r="H21" s="11"/>
      </tp>
      <tp t="s">
        <v>#N/A N/A</v>
        <stp/>
        <stp>BDH|2405897900017065305</stp>
        <tr r="K12" s="3"/>
      </tp>
      <tp t="s">
        <v>#N/A N/A</v>
        <stp/>
        <stp>BDH|9225501067073074775</stp>
        <tr r="S17" s="6"/>
      </tp>
      <tp t="s">
        <v>#N/A N/A</v>
        <stp/>
        <stp>BDH|2973570521393513887</stp>
        <tr r="M20" s="9"/>
      </tp>
      <tp t="s">
        <v>#N/A N/A</v>
        <stp/>
        <stp>BDH|9481362464675099743</stp>
        <tr r="N24" s="4"/>
      </tp>
      <tp t="s">
        <v>#N/A N/A</v>
        <stp/>
        <stp>BDH|4909319638202171834</stp>
        <tr r="I9" s="9"/>
      </tp>
      <tp t="s">
        <v>#N/A N/A</v>
        <stp/>
        <stp>BDH|3785445068448953706</stp>
        <tr r="U12" s="7"/>
      </tp>
      <tp t="s">
        <v>#N/A N/A</v>
        <stp/>
        <stp>BDH|7612586290710884545</stp>
        <tr r="I13" s="2"/>
      </tp>
      <tp t="s">
        <v>#N/A N/A</v>
        <stp/>
        <stp>BDH|9817156431767753299</stp>
        <tr r="O16" s="13"/>
      </tp>
      <tp t="s">
        <v>#N/A N/A</v>
        <stp/>
        <stp>BDH|1698643713011305919</stp>
        <tr r="E12" s="11"/>
      </tp>
      <tp t="s">
        <v>#N/A N/A</v>
        <stp/>
        <stp>BDH|6590401355251001838</stp>
        <tr r="C10" s="12"/>
      </tp>
      <tp t="s">
        <v>#N/A N/A</v>
        <stp/>
        <stp>BDH|3086020999331909514</stp>
        <tr r="N13" s="2"/>
      </tp>
      <tp t="s">
        <v>#N/A N/A</v>
        <stp/>
        <stp>BDH|2335834352454295534</stp>
        <tr r="U7" s="6"/>
      </tp>
      <tp t="s">
        <v>#N/A N/A</v>
        <stp/>
        <stp>BDH|4316320321339161215</stp>
        <tr r="P6" s="13"/>
      </tp>
      <tp t="s">
        <v>#N/A N/A</v>
        <stp/>
        <stp>BDH|1662843461779742843</stp>
        <tr r="F18" s="5"/>
      </tp>
      <tp t="s">
        <v>#N/A N/A</v>
        <stp/>
        <stp>BDH|2802103952900949838</stp>
        <tr r="M10" s="12"/>
      </tp>
      <tp t="s">
        <v>#N/A N/A</v>
        <stp/>
        <stp>BDH|3093438187819179854</stp>
        <tr r="Q17" s="7"/>
      </tp>
      <tp t="s">
        <v>#N/A N/A</v>
        <stp/>
        <stp>BDH|8367917320928370510</stp>
        <tr r="Q21" s="13"/>
      </tp>
      <tp t="s">
        <v>#N/A N/A</v>
        <stp/>
        <stp>BDH|4190844504916015405</stp>
        <tr r="I6" s="13"/>
      </tp>
      <tp t="s">
        <v>#N/A N/A</v>
        <stp/>
        <stp>BDH|7350166183472555220</stp>
        <tr r="C25" s="5"/>
      </tp>
      <tp t="s">
        <v>#N/A N/A</v>
        <stp/>
        <stp>BDH|5789016304168038338</stp>
        <tr r="H20" s="11"/>
      </tp>
      <tp t="s">
        <v>#N/A N/A</v>
        <stp/>
        <stp>BDH|8407071238514883128</stp>
        <tr r="R16" s="12"/>
      </tp>
      <tp t="s">
        <v>#N/A N/A</v>
        <stp/>
        <stp>BDH|8673920901126122950</stp>
        <tr r="K8" s="7"/>
      </tp>
      <tp t="s">
        <v>#N/A N/A</v>
        <stp/>
        <stp>BDH|6131999950671815514</stp>
        <tr r="S13" s="6"/>
      </tp>
      <tp t="s">
        <v>#N/A N/A</v>
        <stp/>
        <stp>BDH|9941263414915910134</stp>
        <tr r="E8" s="2"/>
      </tp>
      <tp t="s">
        <v>#N/A N/A</v>
        <stp/>
        <stp>BDH|9899414822838894927</stp>
        <tr r="I12" s="11"/>
      </tp>
      <tp t="s">
        <v>#N/A N/A</v>
        <stp/>
        <stp>BDH|1648620615949903191</stp>
        <tr r="P16" s="12"/>
      </tp>
      <tp t="s">
        <v>#N/A N/A</v>
        <stp/>
        <stp>BDH|6344656787872585423</stp>
        <tr r="G9" s="3"/>
      </tp>
      <tp t="s">
        <v>#N/A N/A</v>
        <stp/>
        <stp>BDH|9239366650855087427</stp>
        <tr r="M17" s="9"/>
      </tp>
      <tp t="s">
        <v>#N/A N/A</v>
        <stp/>
        <stp>BDH|1520866865823695262</stp>
        <tr r="L16" s="3"/>
      </tp>
      <tp t="s">
        <v>#N/A N/A</v>
        <stp/>
        <stp>BDH|8076338541553585218</stp>
        <tr r="G20" s="9"/>
      </tp>
      <tp t="s">
        <v>#N/A N/A</v>
        <stp/>
        <stp>BDH|6983296317532950980</stp>
        <tr r="Q15" s="4"/>
      </tp>
      <tp t="s">
        <v>#N/A N/A</v>
        <stp/>
        <stp>BDH|4380923204845032621</stp>
        <tr r="K7" s="5"/>
      </tp>
      <tp t="s">
        <v>#N/A N/A</v>
        <stp/>
        <stp>BDH|9797813877870601803</stp>
        <tr r="N17" s="2"/>
      </tp>
      <tp t="s">
        <v>#N/A N/A</v>
        <stp/>
        <stp>BDH|6213327907758931390</stp>
        <tr r="L23" s="4"/>
      </tp>
      <tp t="s">
        <v>#N/A N/A</v>
        <stp/>
        <stp>BDH|2950338220054577982</stp>
        <tr r="K17" s="4"/>
      </tp>
      <tp t="s">
        <v>#N/A N/A</v>
        <stp/>
        <stp>BDH|1119418828261957865</stp>
        <tr r="G11" s="9"/>
      </tp>
      <tp t="s">
        <v>#N/A N/A</v>
        <stp/>
        <stp>BDH|6732950745132091738</stp>
        <tr r="D13" s="6"/>
      </tp>
      <tp t="s">
        <v>#N/A N/A</v>
        <stp/>
        <stp>BDH|3120650437518644017</stp>
        <tr r="R14" s="5"/>
      </tp>
      <tp t="s">
        <v>#N/A N/A</v>
        <stp/>
        <stp>BDH|7535704849342954816</stp>
        <tr r="H18" s="10"/>
      </tp>
      <tp t="s">
        <v>#N/A N/A</v>
        <stp/>
        <stp>BDH|9777452634341462166</stp>
        <tr r="Q12" s="7"/>
      </tp>
      <tp t="s">
        <v>#N/A N/A</v>
        <stp/>
        <stp>BDH|2013123454061218908</stp>
        <tr r="F22" s="8"/>
      </tp>
      <tp t="s">
        <v>#N/A N/A</v>
        <stp/>
        <stp>BDH|7894192832833441838</stp>
        <tr r="G16" s="12"/>
      </tp>
      <tp t="s">
        <v>#N/A N/A</v>
        <stp/>
        <stp>BDH|1006858273355042521</stp>
        <tr r="Q8" s="6"/>
      </tp>
      <tp t="s">
        <v>#N/A N/A</v>
        <stp/>
        <stp>BDH|8953640688741504953</stp>
        <tr r="K7" s="4"/>
      </tp>
      <tp t="s">
        <v>#N/A N/A</v>
        <stp/>
        <stp>BDH|3718405661446438971</stp>
        <tr r="I14" s="3"/>
      </tp>
      <tp t="s">
        <v>#N/A N/A</v>
        <stp/>
        <stp>BDH|3613033888390077583</stp>
        <tr r="E15" s="2"/>
      </tp>
      <tp t="s">
        <v>#N/A N/A</v>
        <stp/>
        <stp>BDH|4351616737159695662</stp>
        <tr r="K18" s="6"/>
      </tp>
      <tp t="s">
        <v>#N/A N/A</v>
        <stp/>
        <stp>BDH|1245930913231284655</stp>
        <tr r="M10" s="11"/>
      </tp>
      <tp t="s">
        <v>#N/A N/A</v>
        <stp/>
        <stp>BDH|4286901126159074815</stp>
        <tr r="H9" s="8"/>
      </tp>
      <tp t="s">
        <v>#N/A N/A</v>
        <stp/>
        <stp>BDH|5489339582835713576</stp>
        <tr r="O13" s="4"/>
      </tp>
      <tp t="s">
        <v>#N/A N/A</v>
        <stp/>
        <stp>BDH|26076675625537137</stp>
        <tr r="T21" s="6"/>
      </tp>
      <tp t="s">
        <v>#N/A N/A</v>
        <stp/>
        <stp>BDH|8110310098054351915</stp>
        <tr r="Q6" s="13"/>
      </tp>
      <tp t="s">
        <v>#N/A N/A</v>
        <stp/>
        <stp>BDH|6820331571054394931</stp>
        <tr r="K18" s="4"/>
      </tp>
      <tp t="s">
        <v>#N/A N/A</v>
        <stp/>
        <stp>BDH|2464850738974375219</stp>
        <tr r="R16" s="6"/>
      </tp>
      <tp t="s">
        <v>#N/A N/A</v>
        <stp/>
        <stp>BDH|1609697064087128915</stp>
        <tr r="I15" s="9"/>
      </tp>
      <tp t="s">
        <v>#N/A N/A</v>
        <stp/>
        <stp>BDH|5056486207036326875</stp>
        <tr r="C21" s="11"/>
      </tp>
      <tp t="s">
        <v>#N/A N/A</v>
        <stp/>
        <stp>BDH|6304093980492670377</stp>
        <tr r="T7" s="7"/>
      </tp>
      <tp t="s">
        <v>#N/A N/A</v>
        <stp/>
        <stp>BDH|9752462957245642282</stp>
        <tr r="J16" s="8"/>
      </tp>
      <tp t="s">
        <v>#N/A N/A</v>
        <stp/>
        <stp>BDH|8298272045215874406</stp>
        <tr r="L23" s="2"/>
      </tp>
      <tp t="s">
        <v>#N/A N/A</v>
        <stp/>
        <stp>BDH|4289210481738353990</stp>
        <tr r="T15" s="6"/>
      </tp>
      <tp t="s">
        <v>#N/A N/A</v>
        <stp/>
        <stp>BDH|1995342277619345309</stp>
        <tr r="U16" s="6"/>
      </tp>
      <tp t="s">
        <v>#N/A N/A</v>
        <stp/>
        <stp>BDH|7462025396394021594</stp>
        <tr r="H17" s="2"/>
      </tp>
      <tp t="s">
        <v>#N/A N/A</v>
        <stp/>
        <stp>BDH|8765887907859857695</stp>
        <tr r="I14" s="10"/>
      </tp>
      <tp t="s">
        <v>#N/A N/A</v>
        <stp/>
        <stp>BDH|7187597631836531827</stp>
        <tr r="T8" s="7"/>
      </tp>
      <tp t="s">
        <v>#N/A N/A</v>
        <stp/>
        <stp>BDH|2136879146301996078</stp>
        <tr r="J14" s="4"/>
      </tp>
      <tp t="s">
        <v>#N/A N/A</v>
        <stp/>
        <stp>BDH|7721987251226515258</stp>
        <tr r="E13" s="5"/>
      </tp>
      <tp t="s">
        <v>#N/A N/A</v>
        <stp/>
        <stp>BDH|1793999601233745468</stp>
        <tr r="D13" s="11"/>
      </tp>
      <tp t="s">
        <v>#N/A N/A</v>
        <stp/>
        <stp>BDH|6599624406398738791</stp>
        <tr r="F8" s="3"/>
      </tp>
      <tp t="s">
        <v>#N/A N/A</v>
        <stp/>
        <stp>BDH|9198007181517909959</stp>
        <tr r="J7" s="7"/>
      </tp>
      <tp t="s">
        <v>#N/A N/A</v>
        <stp/>
        <stp>BDH|7806278341197021924</stp>
        <tr r="F14" s="13"/>
      </tp>
      <tp t="s">
        <v>#N/A N/A</v>
        <stp/>
        <stp>BDH|5941913822784354545</stp>
        <tr r="C24" s="4"/>
      </tp>
      <tp t="s">
        <v>#N/A N/A</v>
        <stp/>
        <stp>BDH|4169965002640065283</stp>
        <tr r="H8" s="5"/>
      </tp>
      <tp t="s">
        <v>#N/A N/A</v>
        <stp/>
        <stp>BDH|5049908265873865600</stp>
        <tr r="F12" s="13"/>
      </tp>
      <tp t="s">
        <v>#N/A N/A</v>
        <stp/>
        <stp>BDH|8509086231773259739</stp>
        <tr r="M22" s="6"/>
      </tp>
      <tp t="s">
        <v>#N/A N/A</v>
        <stp/>
        <stp>BDH|5507009797721162219</stp>
        <tr r="G18" s="4"/>
      </tp>
      <tp t="s">
        <v>#N/A N/A</v>
        <stp/>
        <stp>BDH|9275745173572278459</stp>
        <tr r="N6" s="13"/>
      </tp>
      <tp t="s">
        <v>#N/A N/A</v>
        <stp/>
        <stp>BDH|8569116384968545670</stp>
        <tr r="R13" s="5"/>
      </tp>
      <tp t="s">
        <v>#N/A N/A</v>
        <stp/>
        <stp>BDH|9458074575842512309</stp>
        <tr r="D22" s="8"/>
      </tp>
      <tp t="s">
        <v>#N/A N/A</v>
        <stp/>
        <stp>BDH|1318799458269970589</stp>
        <tr r="L18" s="13"/>
      </tp>
      <tp t="s">
        <v>#N/A N/A</v>
        <stp/>
        <stp>BDH|3018828561303134110</stp>
        <tr r="L18" s="10"/>
      </tp>
      <tp t="s">
        <v>#N/A N/A</v>
        <stp/>
        <stp>BDH|7930842052380882542</stp>
        <tr r="F24" s="4"/>
      </tp>
      <tp t="s">
        <v>#N/A N/A</v>
        <stp/>
        <stp>BDH|7332793429474707943</stp>
        <tr r="K22" s="3"/>
      </tp>
      <tp t="s">
        <v>#N/A N/A</v>
        <stp/>
        <stp>BDH|2339915085855101966</stp>
        <tr r="P16" s="7"/>
      </tp>
      <tp t="s">
        <v>#N/A N/A</v>
        <stp/>
        <stp>BDH|3595346910669483759</stp>
        <tr r="N23" s="4"/>
      </tp>
      <tp t="s">
        <v>#N/A N/A</v>
        <stp/>
        <stp>BDH|8668106862300390076</stp>
        <tr r="S8" s="6"/>
      </tp>
      <tp t="s">
        <v>#N/A N/A</v>
        <stp/>
        <stp>BDH|2088865159730726087</stp>
        <tr r="M8" s="5"/>
      </tp>
      <tp t="s">
        <v>#N/A N/A</v>
        <stp/>
        <stp>BDH|3159758016223495969</stp>
        <tr r="C7" s="4"/>
      </tp>
      <tp t="s">
        <v>#N/A N/A</v>
        <stp/>
        <stp>BDH|2132447286553153235</stp>
        <tr r="K15" s="12"/>
      </tp>
      <tp t="s">
        <v>#N/A N/A</v>
        <stp/>
        <stp>BDH|8776563560530434444</stp>
        <tr r="M20" s="2"/>
      </tp>
      <tp t="s">
        <v>#N/A N/A</v>
        <stp/>
        <stp>BDH|4031022523648206121</stp>
        <tr r="K17" s="11"/>
      </tp>
      <tp t="s">
        <v>#N/A N/A</v>
        <stp/>
        <stp>BDH|4078601652889657152</stp>
        <tr r="J22" s="12"/>
      </tp>
      <tp t="s">
        <v>#N/A N/A</v>
        <stp/>
        <stp>BDH|8623175901146561048</stp>
        <tr r="O9" s="13"/>
      </tp>
      <tp t="s">
        <v>#N/A N/A</v>
        <stp/>
        <stp>BDH|7557479489773843723</stp>
        <tr r="H13" s="12"/>
      </tp>
      <tp t="s">
        <v>#N/A N/A</v>
        <stp/>
        <stp>BDH|2503805172367422555</stp>
        <tr r="C14" s="4"/>
      </tp>
      <tp t="s">
        <v>#N/A N/A</v>
        <stp/>
        <stp>BDH|5638770730529425735</stp>
        <tr r="K11" s="9"/>
      </tp>
      <tp t="s">
        <v>#N/A N/A</v>
        <stp/>
        <stp>BDH|9553716707375151441</stp>
        <tr r="D16" s="7"/>
      </tp>
      <tp t="s">
        <v>#N/A N/A</v>
        <stp/>
        <stp>BDH|2609486207600731987</stp>
        <tr r="N14" s="2"/>
      </tp>
      <tp t="s">
        <v>#N/A N/A</v>
        <stp/>
        <stp>BDH|6654594415049403486</stp>
        <tr r="J21" s="8"/>
      </tp>
      <tp t="s">
        <v>#N/A N/A</v>
        <stp/>
        <stp>BDH|4497066641828723723</stp>
        <tr r="R21" s="6"/>
      </tp>
      <tp t="s">
        <v>#N/A N/A</v>
        <stp/>
        <stp>BDH|3350325354023414978</stp>
        <tr r="J21" s="5"/>
      </tp>
      <tp t="s">
        <v>#N/A N/A</v>
        <stp/>
        <stp>BDH|9394432087609962383</stp>
        <tr r="H9" s="3"/>
      </tp>
      <tp t="s">
        <v>#N/A N/A</v>
        <stp/>
        <stp>BDH|5790762991720210447</stp>
        <tr r="O10" s="4"/>
      </tp>
      <tp t="s">
        <v>#N/A N/A</v>
        <stp/>
        <stp>BDH|6816390893965501614</stp>
        <tr r="D21" s="3"/>
      </tp>
      <tp t="s">
        <v>#N/A N/A</v>
        <stp/>
        <stp>BDH|1560264196190399505</stp>
        <tr r="I21" s="11"/>
      </tp>
      <tp t="s">
        <v>#N/A N/A</v>
        <stp/>
        <stp>BDH|3936565560717095889</stp>
        <tr r="I16" s="3"/>
      </tp>
      <tp t="s">
        <v>#N/A N/A</v>
        <stp/>
        <stp>BDH|8987187855932638157</stp>
        <tr r="H8" s="3"/>
      </tp>
      <tp t="s">
        <v>#N/A N/A</v>
        <stp/>
        <stp>BDH|6955997172136758123</stp>
        <tr r="N16" s="12"/>
      </tp>
      <tp t="s">
        <v>#N/A N/A</v>
        <stp/>
        <stp>BDH|9491744936036399420</stp>
        <tr r="L6" s="11"/>
      </tp>
      <tp t="s">
        <v>#N/A N/A</v>
        <stp/>
        <stp>BDH|2163007971179605316</stp>
        <tr r="P14" s="13"/>
      </tp>
      <tp t="s">
        <v>#N/A N/A</v>
        <stp/>
        <stp>BDH|9630218887788022474</stp>
        <tr r="I18" s="2"/>
      </tp>
      <tp t="s">
        <v>#N/A N/A</v>
        <stp/>
        <stp>BDH|2304747282830360228</stp>
        <tr r="N7" s="2"/>
      </tp>
      <tp t="s">
        <v>#N/A N/A</v>
        <stp/>
        <stp>BDH|2441891011564897005</stp>
        <tr r="L22" s="8"/>
      </tp>
      <tp t="s">
        <v>#N/A N/A</v>
        <stp/>
        <stp>BDH|8779315074980374352</stp>
        <tr r="M14" s="5"/>
      </tp>
      <tp t="s">
        <v>#N/A N/A</v>
        <stp/>
        <stp>BDH|4336308980900156069</stp>
        <tr r="L8" s="4"/>
      </tp>
      <tp t="s">
        <v>#N/A N/A</v>
        <stp/>
        <stp>BDH|9158248775860719322</stp>
        <tr r="I14" s="12"/>
      </tp>
      <tp t="s">
        <v>#N/A N/A</v>
        <stp/>
        <stp>BDH|1480413473624602955</stp>
        <tr r="D10" s="3"/>
      </tp>
      <tp t="s">
        <v>#N/A N/A</v>
        <stp/>
        <stp>BDH|2983465189875065439</stp>
        <tr r="U16" s="7"/>
      </tp>
      <tp t="s">
        <v>#N/A N/A</v>
        <stp/>
        <stp>BDH|4444339610378841659</stp>
        <tr r="N9" s="2"/>
      </tp>
      <tp t="s">
        <v>#N/A N/A</v>
        <stp/>
        <stp>BDH|7708316487666262295</stp>
        <tr r="I9" s="8"/>
      </tp>
      <tp t="s">
        <v>#N/A N/A</v>
        <stp/>
        <stp>BDH|6858923908286965114</stp>
        <tr r="M8" s="13"/>
      </tp>
      <tp t="s">
        <v>#N/A N/A</v>
        <stp/>
        <stp>BDH|3961265185028892987</stp>
        <tr r="J13" s="3"/>
      </tp>
      <tp t="s">
        <v>#N/A N/A</v>
        <stp/>
        <stp>BDH|8262571563361827255</stp>
        <tr r="E18" s="4"/>
      </tp>
      <tp t="s">
        <v>#N/A N/A</v>
        <stp/>
        <stp>BDH|9753387554574568353</stp>
        <tr r="K19" s="12"/>
      </tp>
      <tp t="s">
        <v>#N/A N/A</v>
        <stp/>
        <stp>BDH|5543905629435477337</stp>
        <tr r="I8" s="11"/>
      </tp>
      <tp t="s">
        <v>#N/A N/A</v>
        <stp/>
        <stp>BDH|5367995823516156037</stp>
        <tr r="O8" s="13"/>
      </tp>
      <tp t="s">
        <v>#N/A N/A</v>
        <stp/>
        <stp>BDH|3983236806161030871</stp>
        <tr r="L14" s="4"/>
      </tp>
      <tp t="s">
        <v>#N/A N/A</v>
        <stp/>
        <stp>BDH|2259817645791804766</stp>
        <tr r="F12" s="11"/>
      </tp>
      <tp t="s">
        <v>#N/A N/A</v>
        <stp/>
        <stp>BDH|2911294134452402987</stp>
        <tr r="N22" s="6"/>
      </tp>
      <tp t="s">
        <v>#N/A N/A</v>
        <stp/>
        <stp>BDH|7040895402032462561</stp>
        <tr r="G8" s="2"/>
      </tp>
      <tp t="s">
        <v>#N/A N/A</v>
        <stp/>
        <stp>BDH|6327224954031471888</stp>
        <tr r="K14" s="4"/>
      </tp>
      <tp t="s">
        <v>#N/A N/A</v>
        <stp/>
        <stp>BDH|5417928159010417126</stp>
        <tr r="K24" s="2"/>
      </tp>
      <tp t="s">
        <v>#N/A N/A</v>
        <stp/>
        <stp>BDH|8919015365907777134</stp>
        <tr r="O15" s="9"/>
      </tp>
      <tp t="s">
        <v>#N/A N/A</v>
        <stp/>
        <stp>BDH|9419875681043947254</stp>
        <tr r="I15" s="2"/>
      </tp>
      <tp t="s">
        <v>#N/A N/A</v>
        <stp/>
        <stp>BDH|3584047097354175692</stp>
        <tr r="J7" s="9"/>
      </tp>
      <tp t="s">
        <v>#N/A N/A</v>
        <stp/>
        <stp>BDH|5509093803189389422</stp>
        <tr r="H13" s="13"/>
      </tp>
      <tp t="s">
        <v>#N/A N/A</v>
        <stp/>
        <stp>BDH|5219672923640984910</stp>
        <tr r="D8" s="3"/>
      </tp>
      <tp t="s">
        <v>#N/A N/A</v>
        <stp/>
        <stp>BDH|8052181748431762487</stp>
        <tr r="I13" s="13"/>
      </tp>
      <tp t="s">
        <v>#N/A N/A</v>
        <stp/>
        <stp>BDH|9857123890711724822</stp>
        <tr r="E14" s="8"/>
      </tp>
      <tp t="s">
        <v>#N/A N/A</v>
        <stp/>
        <stp>BDH|4939977007912681705</stp>
        <tr r="F18" s="13"/>
      </tp>
      <tp t="s">
        <v>#N/A N/A</v>
        <stp/>
        <stp>BDH|4578719395833895158</stp>
        <tr r="K16" s="13"/>
      </tp>
      <tp t="s">
        <v>#N/A N/A</v>
        <stp/>
        <stp>BDH|5609578296103210291</stp>
        <tr r="G7" s="9"/>
      </tp>
      <tp t="s">
        <v>#N/A N/A</v>
        <stp/>
        <stp>BDH|8854610996536396901</stp>
        <tr r="U20" s="7"/>
      </tp>
      <tp t="s">
        <v>#N/A N/A</v>
        <stp/>
        <stp>BDH|6109361229108676751</stp>
        <tr r="G20" s="5"/>
      </tp>
      <tp t="s">
        <v>#N/A N/A</v>
        <stp/>
        <stp>BDH|2214190167865868897</stp>
        <tr r="E13" s="9"/>
      </tp>
      <tp t="s">
        <v>#N/A N/A</v>
        <stp/>
        <stp>BDH|4523424803651839918</stp>
        <tr r="N13" s="9"/>
      </tp>
      <tp t="s">
        <v>#N/A N/A</v>
        <stp/>
        <stp>BDH|4986508072496494827</stp>
        <tr r="I15" s="7"/>
      </tp>
      <tp t="s">
        <v>#N/A N/A</v>
        <stp/>
        <stp>BDH|3784581300326019826</stp>
        <tr r="N22" s="3"/>
      </tp>
      <tp t="s">
        <v>#N/A N/A</v>
        <stp/>
        <stp>BDH|3007059307442558959</stp>
        <tr r="K9" s="9"/>
      </tp>
      <tp t="s">
        <v>#N/A N/A</v>
        <stp/>
        <stp>BDH|5797143653881192839</stp>
        <tr r="I12" s="8"/>
      </tp>
      <tp t="s">
        <v>#N/A N/A</v>
        <stp/>
        <stp>BDH|5224908755891064052</stp>
        <tr r="K13" s="4"/>
      </tp>
      <tp t="s">
        <v>#N/A N/A</v>
        <stp/>
        <stp>BDH|7845329843929360189</stp>
        <tr r="P8" s="7"/>
      </tp>
      <tp t="s">
        <v>#N/A N/A</v>
        <stp/>
        <stp>BDH|1897289426330521900</stp>
        <tr r="K13" s="8"/>
      </tp>
      <tp t="s">
        <v>#N/A N/A</v>
        <stp/>
        <stp>BDH|7277973314890508778</stp>
        <tr r="C17" s="13"/>
      </tp>
      <tp t="s">
        <v>#N/A N/A</v>
        <stp/>
        <stp>BDH|7978454253687492984</stp>
        <tr r="G19" s="4"/>
      </tp>
      <tp t="s">
        <v>#N/A N/A</v>
        <stp/>
        <stp>BDH|5600921574394694750</stp>
        <tr r="D7" s="12"/>
      </tp>
      <tp t="s">
        <v>#N/A N/A</v>
        <stp/>
        <stp>BDH|6286961331670066464</stp>
        <tr r="D22" s="11"/>
      </tp>
      <tp t="s">
        <v>#N/A N/A</v>
        <stp/>
        <stp>BDH|1532600274600702858</stp>
        <tr r="G24" s="12"/>
      </tp>
      <tp t="s">
        <v>#N/A N/A</v>
        <stp/>
        <stp>BDH|4223781725330867976</stp>
        <tr r="Q7" s="4"/>
      </tp>
      <tp t="s">
        <v>#N/A N/A</v>
        <stp/>
        <stp>BDH|9604594937885100299</stp>
        <tr r="E7" s="12"/>
      </tp>
      <tp t="s">
        <v>#N/A N/A</v>
        <stp/>
        <stp>BDH|7987839774490604082</stp>
        <tr r="U22" s="6"/>
      </tp>
      <tp t="s">
        <v>#N/A N/A</v>
        <stp/>
        <stp>BDH|8074631611602359513</stp>
        <tr r="R17" s="5"/>
      </tp>
      <tp t="s">
        <v>#N/A N/A</v>
        <stp/>
        <stp>BDH|8092426184039641502</stp>
        <tr r="G22" s="12"/>
      </tp>
      <tp t="s">
        <v>#N/A N/A</v>
        <stp/>
        <stp>BDH|1626926955847475249</stp>
        <tr r="N8" s="13"/>
      </tp>
      <tp t="s">
        <v>#N/A N/A</v>
        <stp/>
        <stp>BDH|5118206048602809905</stp>
        <tr r="F16" s="4"/>
      </tp>
      <tp t="s">
        <v>#N/A N/A</v>
        <stp/>
        <stp>BDH|1718062281133529246</stp>
        <tr r="L13" s="12"/>
      </tp>
      <tp t="s">
        <v>#N/A N/A</v>
        <stp/>
        <stp>BDH|8693525978190979242</stp>
        <tr r="H20" s="5"/>
      </tp>
      <tp t="s">
        <v>#N/A N/A</v>
        <stp/>
        <stp>BDH|4319427106868627007</stp>
        <tr r="D17" s="6"/>
      </tp>
      <tp t="s">
        <v>#N/A N/A</v>
        <stp/>
        <stp>BDH|1080833674413457527</stp>
        <tr r="G8" s="6"/>
      </tp>
      <tp t="s">
        <v>#N/A N/A</v>
        <stp/>
        <stp>BDH|1430024186655583447</stp>
        <tr r="E13" s="4"/>
      </tp>
      <tp t="s">
        <v>#N/A N/A</v>
        <stp/>
        <stp>BDH|7324614393210746000</stp>
        <tr r="H6" s="3"/>
      </tp>
      <tp t="s">
        <v>#N/A N/A</v>
        <stp/>
        <stp>BDH|4883741186591491281</stp>
        <tr r="E7" s="11"/>
      </tp>
      <tp t="s">
        <v>#N/A N/A</v>
        <stp/>
        <stp>BDH|2174040551727586872</stp>
        <tr r="M15" s="10"/>
      </tp>
      <tp t="s">
        <v>#N/A N/A</v>
        <stp/>
        <stp>BDH|9383323265922201608</stp>
        <tr r="D19" s="12"/>
      </tp>
      <tp t="s">
        <v>#N/A N/A</v>
        <stp/>
        <stp>BDH|2865518899061655705</stp>
        <tr r="F16" s="8"/>
      </tp>
      <tp t="s">
        <v>#N/A N/A</v>
        <stp/>
        <stp>BDH|6226942738520131487</stp>
        <tr r="S14" s="6"/>
      </tp>
      <tp t="s">
        <v>#N/A N/A</v>
        <stp/>
        <stp>BDH|4406021702248064435</stp>
        <tr r="F16" s="5"/>
      </tp>
      <tp t="s">
        <v>#N/A N/A</v>
        <stp/>
        <stp>BDH|3669502161608434046</stp>
        <tr r="R8" s="6"/>
      </tp>
      <tp t="s">
        <v>#N/A N/A</v>
        <stp/>
        <stp>BDH|8208125056311270536</stp>
        <tr r="D17" s="13"/>
      </tp>
      <tp t="s">
        <v>#N/A N/A</v>
        <stp/>
        <stp>BDH|3608316596369163842</stp>
        <tr r="I7" s="6"/>
      </tp>
      <tp t="s">
        <v>#N/A N/A</v>
        <stp/>
        <stp>BDH|7164839178332755291</stp>
        <tr r="M14" s="8"/>
      </tp>
      <tp t="s">
        <v>#N/A N/A</v>
        <stp/>
        <stp>BDH|5645122442579291107</stp>
        <tr r="P22" s="5"/>
      </tp>
      <tp t="s">
        <v>#N/A N/A</v>
        <stp/>
        <stp>BDH|6305523154696754876</stp>
        <tr r="F9" s="8"/>
      </tp>
      <tp t="s">
        <v>#N/A N/A</v>
        <stp/>
        <stp>BDH|1265392289696290453</stp>
        <tr r="U8" s="6"/>
      </tp>
      <tp t="s">
        <v>#N/A N/A</v>
        <stp/>
        <stp>BDH|3248147103502649869</stp>
        <tr r="J8" s="13"/>
      </tp>
      <tp t="s">
        <v>#N/A N/A</v>
        <stp/>
        <stp>BDH|8701273116350055338</stp>
        <tr r="D22" s="10"/>
      </tp>
      <tp t="s">
        <v>#N/A N/A</v>
        <stp/>
        <stp>BDH|5896771846847500864</stp>
        <tr r="L9" s="7"/>
      </tp>
      <tp t="s">
        <v>#N/A N/A</v>
        <stp/>
        <stp>BDH|2438840804101863269</stp>
        <tr r="N6" s="5"/>
      </tp>
      <tp t="s">
        <v>#N/A N/A</v>
        <stp/>
        <stp>BDH|8302498330546680076</stp>
        <tr r="L21" s="13"/>
      </tp>
      <tp t="s">
        <v>#N/A N/A</v>
        <stp/>
        <stp>BDH|9898700906951062651</stp>
        <tr r="C8" s="3"/>
      </tp>
      <tp t="s">
        <v>#N/A N/A</v>
        <stp/>
        <stp>BDH|2594978748016540042</stp>
        <tr r="D23" s="12"/>
      </tp>
      <tp t="s">
        <v>#N/A N/A</v>
        <stp/>
        <stp>BDH|3455759480386317399</stp>
        <tr r="N21" s="3"/>
      </tp>
      <tp t="s">
        <v>#N/A N/A</v>
        <stp/>
        <stp>BDH|3517246889974715447</stp>
        <tr r="R13" s="7"/>
      </tp>
      <tp t="s">
        <v>#N/A N/A</v>
        <stp/>
        <stp>BDH|5485912414734261087</stp>
        <tr r="D20" s="2"/>
      </tp>
      <tp t="s">
        <v>#N/A N/A</v>
        <stp/>
        <stp>BDH|8274117553192029781</stp>
        <tr r="N9" s="3"/>
      </tp>
      <tp t="s">
        <v>#N/A N/A</v>
        <stp/>
        <stp>BDH|5082875127884807201</stp>
        <tr r="J22" s="5"/>
      </tp>
      <tp t="s">
        <v>#N/A N/A</v>
        <stp/>
        <stp>BDH|6507303512249911466</stp>
        <tr r="N19" s="12"/>
      </tp>
      <tp t="s">
        <v>#N/A N/A</v>
        <stp/>
        <stp>BDH|3888412513478770750</stp>
        <tr r="J24" s="10"/>
      </tp>
      <tp t="s">
        <v>#N/A N/A</v>
        <stp/>
        <stp>BDH|9182343541523869446</stp>
        <tr r="G21" s="13"/>
      </tp>
      <tp t="s">
        <v>#N/A N/A</v>
        <stp/>
        <stp>BDH|5235498584753718303</stp>
        <tr r="E15" s="10"/>
      </tp>
      <tp t="s">
        <v>#N/A N/A</v>
        <stp/>
        <stp>BDH|1821038058514354998</stp>
        <tr r="K17" s="7"/>
      </tp>
      <tp t="s">
        <v>#N/A N/A</v>
        <stp/>
        <stp>BDH|1005436629639360704</stp>
        <tr r="H16" s="2"/>
      </tp>
      <tp t="s">
        <v>#N/A N/A</v>
        <stp/>
        <stp>BDH|6210832222766953338</stp>
        <tr r="J18" s="4"/>
      </tp>
      <tp t="s">
        <v>#N/A N/A</v>
        <stp/>
        <stp>BDH|2806463839298851469</stp>
        <tr r="H16" s="13"/>
      </tp>
      <tp t="s">
        <v>#N/A N/A</v>
        <stp/>
        <stp>BDH|5483298256689218275</stp>
        <tr r="L10" s="10"/>
      </tp>
      <tp t="s">
        <v>#N/A N/A</v>
        <stp/>
        <stp>BDH|3094409318128533737</stp>
        <tr r="R22" s="12"/>
      </tp>
      <tp t="s">
        <v>#N/A N/A</v>
        <stp/>
        <stp>BDH|2968552215069749604</stp>
        <tr r="H20" s="8"/>
      </tp>
      <tp t="s">
        <v>#N/A N/A</v>
        <stp/>
        <stp>BDH|5188751064614660981</stp>
        <tr r="O20" s="7"/>
      </tp>
      <tp t="s">
        <v>#N/A N/A</v>
        <stp/>
        <stp>BDH|7918907875772186232</stp>
        <tr r="J20" s="3"/>
      </tp>
      <tp t="s">
        <v>#N/A N/A</v>
        <stp/>
        <stp>BDH|9426784078039889938</stp>
        <tr r="K16" s="2"/>
      </tp>
      <tp t="s">
        <v>#N/A N/A</v>
        <stp/>
        <stp>BDH|3452290285811672112</stp>
        <tr r="L13" s="4"/>
      </tp>
      <tp t="s">
        <v>#N/A N/A</v>
        <stp/>
        <stp>BDH|3497687841028308014</stp>
        <tr r="G8" s="7"/>
      </tp>
      <tp t="s">
        <v>#N/A N/A</v>
        <stp/>
        <stp>BDH|4137108298367664202</stp>
        <tr r="D14" s="8"/>
      </tp>
      <tp t="s">
        <v>#N/A N/A</v>
        <stp/>
        <stp>BDH|1919546320126336924</stp>
        <tr r="J13" s="2"/>
      </tp>
      <tp t="s">
        <v>#N/A N/A</v>
        <stp/>
        <stp>BDH|7445244919784370960</stp>
        <tr r="Q16" s="5"/>
      </tp>
      <tp t="s">
        <v>#N/A N/A</v>
        <stp/>
        <stp>BDH|7281278498301067415</stp>
        <tr r="L19" s="12"/>
      </tp>
      <tp t="s">
        <v>#N/A N/A</v>
        <stp/>
        <stp>BDH|2544083157106251848</stp>
        <tr r="E17" s="8"/>
      </tp>
      <tp t="s">
        <v>#N/A N/A</v>
        <stp/>
        <stp>BDH|5830898199825050856</stp>
        <tr r="M7" s="5"/>
      </tp>
      <tp t="s">
        <v>#N/A N/A</v>
        <stp/>
        <stp>BDH|7960997255795929710</stp>
        <tr r="L18" s="4"/>
      </tp>
      <tp t="s">
        <v>#N/A N/A</v>
        <stp/>
        <stp>BDH|6494937209440742643</stp>
        <tr r="F7" s="3"/>
      </tp>
      <tp t="s">
        <v>#N/A N/A</v>
        <stp/>
        <stp>BDH|1095718092720935679</stp>
        <tr r="Q14" s="4"/>
      </tp>
      <tp t="s">
        <v>#N/A N/A</v>
        <stp/>
        <stp>BDH|9360383104164095721</stp>
        <tr r="D6" s="11"/>
      </tp>
      <tp t="s">
        <v>#N/A N/A</v>
        <stp/>
        <stp>BDH|4238058485015113013</stp>
        <tr r="P13" s="7"/>
      </tp>
      <tp t="s">
        <v>#N/A N/A</v>
        <stp/>
        <stp>BDH|9734461257476153758</stp>
        <tr r="F7" s="6"/>
      </tp>
      <tp t="s">
        <v>#N/A N/A</v>
        <stp/>
        <stp>BDH|9516927654904896899</stp>
        <tr r="H8" s="8"/>
      </tp>
      <tp t="s">
        <v>#N/A N/A</v>
        <stp/>
        <stp>BDH|1336965999401847977</stp>
        <tr r="N15" s="7"/>
      </tp>
      <tp t="s">
        <v>#N/A N/A</v>
        <stp/>
        <stp>BDH|6356161577771534844</stp>
        <tr r="E6" s="11"/>
      </tp>
      <tp t="s">
        <v>#N/A N/A</v>
        <stp/>
        <stp>BDH|8728274400350403372</stp>
        <tr r="H9" s="10"/>
      </tp>
      <tp t="s">
        <v>#N/A N/A</v>
        <stp/>
        <stp>BDH|3169708082356642365</stp>
        <tr r="I17" s="7"/>
      </tp>
      <tp t="s">
        <v>#N/A N/A</v>
        <stp/>
        <stp>BDH|4271875267552093111</stp>
        <tr r="O10" s="12"/>
      </tp>
      <tp t="s">
        <v>#N/A N/A</v>
        <stp/>
        <stp>BDH|8209047711404742402</stp>
        <tr r="P12" s="6"/>
      </tp>
      <tp t="s">
        <v>#N/A N/A</v>
        <stp/>
        <stp>BDH|7244815193579522650</stp>
        <tr r="N21" s="8"/>
      </tp>
      <tp t="s">
        <v>#N/A N/A</v>
        <stp/>
        <stp>BDH|2982250019680327866</stp>
        <tr r="Q7" s="13"/>
      </tp>
      <tp t="s">
        <v>#N/A N/A</v>
        <stp/>
        <stp>BDH|8233230000157889490</stp>
        <tr r="D7" s="2"/>
      </tp>
      <tp t="s">
        <v>#N/A N/A</v>
        <stp/>
        <stp>BDH|8258255317402470049</stp>
        <tr r="I12" s="13"/>
      </tp>
      <tp t="s">
        <v>#N/A N/A</v>
        <stp/>
        <stp>BDH|4639908192795745835</stp>
        <tr r="F17" s="5"/>
      </tp>
      <tp t="s">
        <v>#N/A N/A</v>
        <stp/>
        <stp>BDH|8118526544012548232</stp>
        <tr r="E9" s="4"/>
      </tp>
      <tp t="s">
        <v>#N/A N/A</v>
        <stp/>
        <stp>BDH|2161054562999665418</stp>
        <tr r="M25" s="2"/>
      </tp>
      <tp t="s">
        <v>#N/A N/A</v>
        <stp/>
        <stp>BDH|7142364183403742627</stp>
        <tr r="F22" s="4"/>
      </tp>
      <tp t="s">
        <v>#N/A N/A</v>
        <stp/>
        <stp>BDH|2462031992722080042</stp>
        <tr r="H19" s="4"/>
      </tp>
      <tp t="s">
        <v>#N/A N/A</v>
        <stp/>
        <stp>BDH|4041169985890011429</stp>
        <tr r="M9" s="9"/>
      </tp>
      <tp t="s">
        <v>#N/A N/A</v>
        <stp/>
        <stp>BDH|1734235597547186440</stp>
        <tr r="I13" s="11"/>
      </tp>
      <tp t="s">
        <v>#N/A N/A</v>
        <stp/>
        <stp>BDH|3117871790962679964</stp>
        <tr r="H15" s="9"/>
      </tp>
      <tp t="s">
        <v>#N/A N/A</v>
        <stp/>
        <stp>BDH|5205985662444686787</stp>
        <tr r="E17" s="13"/>
      </tp>
      <tp t="s">
        <v>#N/A N/A</v>
        <stp/>
        <stp>BDH|6678433197180377260</stp>
        <tr r="R15" s="7"/>
      </tp>
      <tp t="s">
        <v>#N/A N/A</v>
        <stp/>
        <stp>BDH|7022111167300140906</stp>
        <tr r="N15" s="2"/>
      </tp>
      <tp t="s">
        <v>#N/A N/A</v>
        <stp/>
        <stp>BDH|5058505124392541961</stp>
        <tr r="D17" s="11"/>
      </tp>
      <tp t="s">
        <v>#N/A N/A</v>
        <stp/>
        <stp>BDH|6391224765598222310</stp>
        <tr r="O8" s="5"/>
      </tp>
      <tp t="s">
        <v>#N/A N/A</v>
        <stp/>
        <stp>BDH|1103827457816249317</stp>
        <tr r="D10" s="11"/>
      </tp>
      <tp t="s">
        <v>#N/A N/A</v>
        <stp/>
        <stp>BDH|8804966697798927940</stp>
        <tr r="K10" s="10"/>
      </tp>
      <tp t="s">
        <v>#N/A N/A</v>
        <stp/>
        <stp>BDH|7779620016700754906</stp>
        <tr r="E12" s="13"/>
      </tp>
      <tp t="s">
        <v>#N/A N/A</v>
        <stp/>
        <stp>BDH|2119227984686131720</stp>
        <tr r="Q16" s="7"/>
      </tp>
      <tp t="s">
        <v>#N/A N/A</v>
        <stp/>
        <stp>BDH|1586911215761187157</stp>
        <tr r="N17" s="4"/>
      </tp>
      <tp t="s">
        <v>#N/A N/A</v>
        <stp/>
        <stp>BDH|8751169843343287751</stp>
        <tr r="G14" s="2"/>
      </tp>
      <tp t="s">
        <v>#N/A N/A</v>
        <stp/>
        <stp>BDH|3912322902372420873</stp>
        <tr r="P12" s="8"/>
      </tp>
      <tp t="s">
        <v>#N/A N/A</v>
        <stp/>
        <stp>BDH|2562661880700882618</stp>
        <tr r="C21" s="6"/>
      </tp>
      <tp t="s">
        <v>#N/A N/A</v>
        <stp/>
        <stp>BDH|2668854298439557041</stp>
        <tr r="J6" s="3"/>
      </tp>
      <tp t="s">
        <v>#N/A N/A</v>
        <stp/>
        <stp>BDH|6939184254298719094</stp>
        <tr r="D21" s="6"/>
      </tp>
      <tp t="s">
        <v>#N/A N/A</v>
        <stp/>
        <stp>BDH|5646836586698849706</stp>
        <tr r="C8" s="10"/>
      </tp>
      <tp t="s">
        <v>#N/A N/A</v>
        <stp/>
        <stp>BDH|3851745884817614153</stp>
        <tr r="Q24" s="4"/>
      </tp>
      <tp t="s">
        <v>#N/A N/A</v>
        <stp/>
        <stp>BDH|4842337947538165150</stp>
        <tr r="O17" s="6"/>
      </tp>
      <tp t="s">
        <v>#N/A N/A</v>
        <stp/>
        <stp>BDH|5717823535306141291</stp>
        <tr r="P13" s="8"/>
      </tp>
      <tp t="s">
        <v>#N/A N/A</v>
        <stp/>
        <stp>BDH|6831303595075574364</stp>
        <tr r="E18" s="3"/>
      </tp>
      <tp t="s">
        <v>#N/A N/A</v>
        <stp/>
        <stp>BDH|1212573605726720890</stp>
        <tr r="H24" s="4"/>
      </tp>
      <tp t="s">
        <v>#N/A N/A</v>
        <stp/>
        <stp>BDH|6820709331809422136</stp>
        <tr r="L6" s="13"/>
      </tp>
      <tp t="s">
        <v>#N/A N/A</v>
        <stp/>
        <stp>BDH|3479719192723091487</stp>
        <tr r="C23" s="6"/>
      </tp>
      <tp t="s">
        <v>#N/A N/A</v>
        <stp/>
        <stp>BDH|6252415607911959927</stp>
        <tr r="N14" s="12"/>
      </tp>
      <tp t="s">
        <v>#N/A N/A</v>
        <stp/>
        <stp>BDH|2754075298830272155</stp>
        <tr r="K16" s="9"/>
      </tp>
      <tp t="s">
        <v>#N/A N/A</v>
        <stp/>
        <stp>BDH|3209481223548036769</stp>
        <tr r="Q10" s="13"/>
      </tp>
      <tp t="s">
        <v>#N/A N/A</v>
        <stp/>
        <stp>BDH|5949842957205302756</stp>
        <tr r="I22" s="5"/>
      </tp>
      <tp t="s">
        <v>#N/A N/A</v>
        <stp/>
        <stp>BDH|9370520459083103052</stp>
        <tr r="C16" s="4"/>
      </tp>
      <tp t="s">
        <v>#N/A N/A</v>
        <stp/>
        <stp>BDH|4833019190120142748</stp>
        <tr r="F18" s="4"/>
      </tp>
      <tp t="s">
        <v>#N/A N/A</v>
        <stp/>
        <stp>BDH|1140411979379329162</stp>
        <tr r="C9" s="12"/>
      </tp>
      <tp t="s">
        <v>#N/A N/A</v>
        <stp/>
        <stp>BDH|7150124128567265959</stp>
        <tr r="J8" s="2"/>
      </tp>
      <tp t="s">
        <v>#N/A N/A</v>
        <stp/>
        <stp>BDH|8675888749876820825</stp>
        <tr r="F21" s="6"/>
      </tp>
      <tp t="s">
        <v>#N/A N/A</v>
        <stp/>
        <stp>BDH|3324292846226104907</stp>
        <tr r="G17" s="3"/>
      </tp>
      <tp t="s">
        <v>#N/A N/A</v>
        <stp/>
        <stp>BDH|6569946856335369598</stp>
        <tr r="H15" s="2"/>
      </tp>
      <tp t="s">
        <v>#N/A N/A</v>
        <stp/>
        <stp>BDH|7135795279095515862</stp>
        <tr r="O12" s="5"/>
      </tp>
      <tp t="s">
        <v>#N/A N/A</v>
        <stp/>
        <stp>BDH|3457100086011591158</stp>
        <tr r="G9" s="5"/>
      </tp>
      <tp t="s">
        <v>#N/A N/A</v>
        <stp/>
        <stp>BDH|7590794501328859271</stp>
        <tr r="F8" s="10"/>
      </tp>
      <tp t="s">
        <v>#N/A N/A</v>
        <stp/>
        <stp>BDH|4552496588370363244</stp>
        <tr r="M7" s="6"/>
      </tp>
      <tp t="s">
        <v>#N/A N/A</v>
        <stp/>
        <stp>BDH|8272629145139371956</stp>
        <tr r="N16" s="13"/>
      </tp>
      <tp t="s">
        <v>#N/A N/A</v>
        <stp/>
        <stp>BDH|3528495488407504217</stp>
        <tr r="I20" s="2"/>
      </tp>
      <tp t="s">
        <v>#N/A N/A</v>
        <stp/>
        <stp>BDH|2072235489503300190</stp>
        <tr r="G16" s="7"/>
      </tp>
      <tp t="s">
        <v>#N/A N/A</v>
        <stp/>
        <stp>BDH|7458204215706886899</stp>
        <tr r="F16" s="13"/>
      </tp>
      <tp t="s">
        <v>#N/A N/A</v>
        <stp/>
        <stp>BDH|6865766558839660704</stp>
        <tr r="E7" s="4"/>
      </tp>
      <tp t="s">
        <v>#N/A N/A</v>
        <stp/>
        <stp>BDH|9962697160256774515</stp>
        <tr r="I19" s="2"/>
      </tp>
      <tp t="s">
        <v>#N/A N/A</v>
        <stp/>
        <stp>BDH|8118349253672990694</stp>
        <tr r="M8" s="12"/>
      </tp>
      <tp t="s">
        <v>#N/A N/A</v>
        <stp/>
        <stp>BDH|7988819435092262491</stp>
        <tr r="K21" s="5"/>
      </tp>
      <tp t="s">
        <v>#N/A N/A</v>
        <stp/>
        <stp>BDH|9225524237033726669</stp>
        <tr r="T17" s="6"/>
      </tp>
      <tp t="s">
        <v>#N/A N/A</v>
        <stp/>
        <stp>BDH|7098309590570193765</stp>
        <tr r="P9" s="8"/>
      </tp>
      <tp t="s">
        <v>#N/A N/A</v>
        <stp/>
        <stp>BDH|6956292780973293566</stp>
        <tr r="M10" s="2"/>
      </tp>
      <tp t="s">
        <v>#N/A N/A</v>
        <stp/>
        <stp>BDH|1563693092757872323</stp>
        <tr r="D19" s="10"/>
      </tp>
      <tp t="s">
        <v>#N/A N/A</v>
        <stp/>
        <stp>BDH|7331246382825320227</stp>
        <tr r="Q22" s="6"/>
      </tp>
      <tp t="s">
        <v>#N/A N/A</v>
        <stp/>
        <stp>BDH|4972063677780989951</stp>
        <tr r="C13" s="5"/>
      </tp>
      <tp t="s">
        <v>#N/A N/A</v>
        <stp/>
        <stp>BDH|1568819892188182239</stp>
        <tr r="J8" s="12"/>
      </tp>
      <tp t="s">
        <v>#N/A N/A</v>
        <stp/>
        <stp>BDH|1694587239798347503</stp>
        <tr r="K14" s="10"/>
      </tp>
      <tp t="s">
        <v>#N/A N/A</v>
        <stp/>
        <stp>BDH|8962797413404055063</stp>
        <tr r="C24" s="10"/>
      </tp>
      <tp t="s">
        <v>#N/A N/A</v>
        <stp/>
        <stp>BDH|6418837952508598953</stp>
        <tr r="L9" s="8"/>
      </tp>
      <tp t="s">
        <v>#N/A N/A</v>
        <stp/>
        <stp>BDH|8495633014940113578</stp>
        <tr r="D13" s="12"/>
      </tp>
      <tp t="s">
        <v>#N/A N/A</v>
        <stp/>
        <stp>BDH|8227122766995742040</stp>
        <tr r="F14" s="12"/>
      </tp>
      <tp t="s">
        <v>#N/A N/A</v>
        <stp/>
        <stp>BDH|89662306291677043</stp>
        <tr r="D18" s="4"/>
      </tp>
      <tp t="s">
        <v>#N/A N/A</v>
        <stp/>
        <stp>BDH|47390619976219398</stp>
        <tr r="T14" s="6"/>
      </tp>
      <tp t="s">
        <v>#N/A N/A</v>
        <stp/>
        <stp>BDH|6870991977267844447</stp>
        <tr r="M18" s="11"/>
      </tp>
      <tp t="s">
        <v>#N/A N/A</v>
        <stp/>
        <stp>BDH|3976416473262860993</stp>
        <tr r="L18" s="6"/>
      </tp>
      <tp t="s">
        <v>#N/A N/A</v>
        <stp/>
        <stp>BDH|7146977557989202997</stp>
        <tr r="F19" s="12"/>
      </tp>
      <tp t="s">
        <v>#N/A N/A</v>
        <stp/>
        <stp>BDH|4680380383643485726</stp>
        <tr r="D16" s="12"/>
      </tp>
      <tp t="s">
        <v>#N/A N/A</v>
        <stp/>
        <stp>BDH|9761500292508759694</stp>
        <tr r="Q14" s="8"/>
      </tp>
      <tp t="s">
        <v>#N/A N/A</v>
        <stp/>
        <stp>BDH|4403520982891996364</stp>
        <tr r="I17" s="3"/>
      </tp>
      <tp t="s">
        <v>#N/A N/A</v>
        <stp/>
        <stp>BDH|9005080633621309032</stp>
        <tr r="F12" s="6"/>
      </tp>
      <tp t="s">
        <v>#N/A N/A</v>
        <stp/>
        <stp>BDH|3675663762238973006</stp>
        <tr r="H22" s="4"/>
      </tp>
      <tp t="s">
        <v>#N/A N/A</v>
        <stp/>
        <stp>BDH|7086954731411674797</stp>
        <tr r="K13" s="3"/>
      </tp>
      <tp t="s">
        <v>#N/A N/A</v>
        <stp/>
        <stp>BDH|7004207986915940340</stp>
        <tr r="F17" s="8"/>
      </tp>
      <tp t="s">
        <v>#N/A N/A</v>
        <stp/>
        <stp>BDH|8196765753226872777</stp>
        <tr r="P10" s="12"/>
      </tp>
      <tp t="s">
        <v>#N/A N/A</v>
        <stp/>
        <stp>BDH|6940633730349294108</stp>
        <tr r="D9" s="10"/>
      </tp>
      <tp t="s">
        <v>#N/A N/A</v>
        <stp/>
        <stp>BDH|5926664770258456734</stp>
        <tr r="C10" s="2"/>
      </tp>
      <tp t="s">
        <v>#N/A N/A</v>
        <stp/>
        <stp>BDH|5863279981623445724</stp>
        <tr r="E6" s="13"/>
      </tp>
      <tp t="s">
        <v>#N/A N/A</v>
        <stp/>
        <stp>BDH|3043876181881704991</stp>
        <tr r="K21" s="3"/>
      </tp>
      <tp t="s">
        <v>#N/A N/A</v>
        <stp/>
        <stp>BDH|5793953005601983675</stp>
        <tr r="H9" s="7"/>
      </tp>
      <tp t="s">
        <v>#N/A N/A</v>
        <stp/>
        <stp>BDH|1932992542092826531</stp>
        <tr r="H7" s="5"/>
      </tp>
      <tp t="s">
        <v>#N/A N/A</v>
        <stp/>
        <stp>BDH|7592166712048140491</stp>
        <tr r="K13" s="10"/>
      </tp>
      <tp t="s">
        <v>#N/A N/A</v>
        <stp/>
        <stp>BDH|6019959654178621998</stp>
        <tr r="D12" s="8"/>
      </tp>
      <tp t="s">
        <v>#N/A N/A</v>
        <stp/>
        <stp>BDH|9730039299809683258</stp>
        <tr r="K20" s="8"/>
      </tp>
      <tp t="s">
        <v>#N/A N/A</v>
        <stp/>
        <stp>BDH|3822815852360487510</stp>
        <tr r="P22" s="13"/>
      </tp>
      <tp t="s">
        <v>#N/A N/A</v>
        <stp/>
        <stp>BDH|8089475115747510194</stp>
        <tr r="P7" s="9"/>
      </tp>
      <tp t="s">
        <v>#N/A N/A</v>
        <stp/>
        <stp>BDH|3904455826607675931</stp>
        <tr r="K9" s="5"/>
      </tp>
      <tp t="s">
        <v>#N/A N/A</v>
        <stp/>
        <stp>BDH|2325685901336500908</stp>
        <tr r="L14" s="13"/>
      </tp>
      <tp t="s">
        <v>#N/A N/A</v>
        <stp/>
        <stp>BDH|4054268729468735742</stp>
        <tr r="L22" s="6"/>
      </tp>
      <tp t="s">
        <v>#N/A N/A</v>
        <stp/>
        <stp>BDH|1983076883126652468</stp>
        <tr r="D7" s="7"/>
      </tp>
      <tp t="s">
        <v>#N/A N/A</v>
        <stp/>
        <stp>BDH|3991992449035052049</stp>
        <tr r="J22" s="10"/>
      </tp>
      <tp t="s">
        <v>#N/A N/A</v>
        <stp/>
        <stp>BDH|8975910947088318610</stp>
        <tr r="E14" s="11"/>
      </tp>
      <tp t="s">
        <v>#N/A N/A</v>
        <stp/>
        <stp>BDH|5972247490064491143</stp>
        <tr r="J14" s="10"/>
      </tp>
      <tp t="s">
        <v>#N/A N/A</v>
        <stp/>
        <stp>BDH|1796258690826757782</stp>
        <tr r="Q15" s="12"/>
      </tp>
      <tp t="s">
        <v>#N/A N/A</v>
        <stp/>
        <stp>BDH|7929873520795442383</stp>
        <tr r="E8" s="5"/>
      </tp>
      <tp t="s">
        <v>#N/A N/A</v>
        <stp/>
        <stp>BDH|8583422320794045159</stp>
        <tr r="E13" s="8"/>
      </tp>
      <tp t="s">
        <v>#N/A N/A</v>
        <stp/>
        <stp>BDH|8765501175021587058</stp>
        <tr r="J8" s="6"/>
      </tp>
      <tp t="s">
        <v>#N/A N/A</v>
        <stp/>
        <stp>BDH|5314629743554989892</stp>
        <tr r="C15" s="6"/>
      </tp>
      <tp t="s">
        <v>#N/A N/A</v>
        <stp/>
        <stp>BDH|8017437543225774659</stp>
        <tr r="L7" s="7"/>
      </tp>
      <tp t="s">
        <v>#N/A N/A</v>
        <stp/>
        <stp>BDH|2670322486971715372</stp>
        <tr r="K9" s="8"/>
      </tp>
      <tp t="s">
        <v>#N/A N/A</v>
        <stp/>
        <stp>BDH|8839474259753696138</stp>
        <tr r="Q19" s="4"/>
      </tp>
      <tp t="s">
        <v>#N/A N/A</v>
        <stp/>
        <stp>BDH|8041330596210030965</stp>
        <tr r="M18" s="12"/>
      </tp>
      <tp t="s">
        <v>#N/A N/A</v>
        <stp/>
        <stp>BDH|7248813386809258549</stp>
        <tr r="D23" s="2"/>
      </tp>
      <tp t="s">
        <v>#N/A N/A</v>
        <stp/>
        <stp>BDH|8728049259065992300</stp>
        <tr r="C16" s="9"/>
      </tp>
      <tp t="s">
        <v>#N/A N/A</v>
        <stp/>
        <stp>BDH|3811093588413266384</stp>
        <tr r="M14" s="12"/>
      </tp>
      <tp t="s">
        <v>#N/A N/A</v>
        <stp/>
        <stp>BDH|7724703880142714139</stp>
        <tr r="E21" s="3"/>
      </tp>
      <tp t="s">
        <v>#N/A N/A</v>
        <stp/>
        <stp>BDH|7449727405689982293</stp>
        <tr r="H12" s="7"/>
      </tp>
      <tp t="s">
        <v>#N/A N/A</v>
        <stp/>
        <stp>BDH|3745132574577502954</stp>
        <tr r="K17" s="12"/>
      </tp>
      <tp t="s">
        <v>#N/A N/A</v>
        <stp/>
        <stp>BDH|6560029863928299364</stp>
        <tr r="E18" s="2"/>
      </tp>
      <tp t="s">
        <v>#N/A N/A</v>
        <stp/>
        <stp>BDH|2082509383902062632</stp>
        <tr r="H14" s="4"/>
      </tp>
      <tp t="s">
        <v>#N/A N/A</v>
        <stp/>
        <stp>BDH|7291991867407880448</stp>
        <tr r="I9" s="12"/>
      </tp>
      <tp t="s">
        <v>#N/A N/A</v>
        <stp/>
        <stp>BDH|7144104787712387751</stp>
        <tr r="O14" s="4"/>
      </tp>
      <tp t="s">
        <v>#N/A N/A</v>
        <stp/>
        <stp>BDH|1109370182290724120</stp>
        <tr r="R22" s="5"/>
      </tp>
      <tp t="s">
        <v>#N/A N/A</v>
        <stp/>
        <stp>BDH|8756736224093140505</stp>
        <tr r="D10" s="5"/>
      </tp>
      <tp t="s">
        <v>#N/A N/A</v>
        <stp/>
        <stp>BDH|6360128395826512302</stp>
        <tr r="Q25" s="5"/>
      </tp>
      <tp t="s">
        <v>#N/A N/A</v>
        <stp/>
        <stp>BDH|4333794198107217613</stp>
        <tr r="F14" s="2"/>
      </tp>
      <tp t="s">
        <v>#N/A N/A</v>
        <stp/>
        <stp>BDH|1994620492764167191</stp>
        <tr r="J13" s="8"/>
      </tp>
      <tp t="s">
        <v>#N/A N/A</v>
        <stp/>
        <stp>BDH|8623912809158706288</stp>
        <tr r="R22" s="13"/>
      </tp>
      <tp t="s">
        <v>#N/A N/A</v>
        <stp/>
        <stp>BDH|6435869353183625362</stp>
        <tr r="E10" s="13"/>
      </tp>
      <tp t="s">
        <v>#N/A N/A</v>
        <stp/>
        <stp>BDH|2439601424075391852</stp>
        <tr r="I20" s="3"/>
      </tp>
      <tp t="s">
        <v>#N/A N/A</v>
        <stp/>
        <stp>BDH|2056425877018113229</stp>
        <tr r="N25" s="2"/>
      </tp>
      <tp t="s">
        <v>#N/A N/A</v>
        <stp/>
        <stp>BDH|8694089981823928818</stp>
        <tr r="L8" s="11"/>
      </tp>
      <tp t="s">
        <v>#N/A N/A</v>
        <stp/>
        <stp>BDH|7443801745210348054</stp>
        <tr r="G24" s="2"/>
      </tp>
      <tp t="s">
        <v>#N/A N/A</v>
        <stp/>
        <stp>BDH|7785953758057473792</stp>
        <tr r="M17" s="6"/>
      </tp>
      <tp t="s">
        <v>#N/A N/A</v>
        <stp/>
        <stp>BDH|9207052206916782422</stp>
        <tr r="H14" s="10"/>
      </tp>
      <tp t="s">
        <v>#N/A N/A</v>
        <stp/>
        <stp>BDH|3534416457541630811</stp>
        <tr r="J13" s="5"/>
      </tp>
      <tp t="s">
        <v>#N/A N/A</v>
        <stp/>
        <stp>BDH|3954999521070703326</stp>
        <tr r="F18" s="6"/>
      </tp>
      <tp t="s">
        <v>#N/A N/A</v>
        <stp/>
        <stp>BDH|9185589068570496110</stp>
        <tr r="N18" s="2"/>
      </tp>
      <tp t="s">
        <v>#N/A N/A</v>
        <stp/>
        <stp>BDH|8083140965577460316</stp>
        <tr r="J11" s="9"/>
      </tp>
      <tp t="s">
        <v>#N/A N/A</v>
        <stp/>
        <stp>BDH|2860850458805396131</stp>
        <tr r="R17" s="6"/>
      </tp>
      <tp t="s">
        <v>#N/A N/A</v>
        <stp/>
        <stp>BDH|3534491969489606360</stp>
        <tr r="R9" s="6"/>
      </tp>
      <tp t="s">
        <v>#N/A N/A</v>
        <stp/>
        <stp>BDH|5392462067435542920</stp>
        <tr r="K9" s="2"/>
      </tp>
      <tp t="s">
        <v>#N/A N/A</v>
        <stp/>
        <stp>BDH|6324940154906353753</stp>
        <tr r="K16" s="12"/>
      </tp>
      <tp t="s">
        <v>#N/A N/A</v>
        <stp/>
        <stp>BDH|6836757507158885270</stp>
        <tr r="G13" s="5"/>
      </tp>
      <tp t="s">
        <v>#N/A N/A</v>
        <stp/>
        <stp>BDH|6779087769438515368</stp>
        <tr r="R15" s="6"/>
      </tp>
      <tp t="s">
        <v>#N/A N/A</v>
        <stp/>
        <stp>BDH|5705554193933768137</stp>
        <tr r="R17" s="12"/>
      </tp>
      <tp t="s">
        <v>#N/A N/A</v>
        <stp/>
        <stp>BDH|6643879449607864652</stp>
        <tr r="J15" s="2"/>
      </tp>
      <tp t="s">
        <v>#N/A N/A</v>
        <stp/>
        <stp>BDH|4063546922246841146</stp>
        <tr r="D9" s="9"/>
      </tp>
      <tp t="s">
        <v>#N/A N/A</v>
        <stp/>
        <stp>BDH|9460934648218334861</stp>
        <tr r="D20" s="8"/>
      </tp>
      <tp t="s">
        <v>#N/A N/A</v>
        <stp/>
        <stp>BDH|2354635414622821363</stp>
        <tr r="O7" s="13"/>
      </tp>
      <tp t="s">
        <v>#N/A N/A</v>
        <stp/>
        <stp>BDH|5335907784225971547</stp>
        <tr r="F23" s="12"/>
      </tp>
      <tp t="s">
        <v>#N/A N/A</v>
        <stp/>
        <stp>BDH|5457520568580385272</stp>
        <tr r="M22" s="8"/>
      </tp>
      <tp t="s">
        <v>#N/A N/A</v>
        <stp/>
        <stp>BDH|6960510797598585606</stp>
        <tr r="P24" s="4"/>
      </tp>
      <tp t="s">
        <v>#N/A N/A</v>
        <stp/>
        <stp>BDH|3836606655026019265</stp>
        <tr r="O14" s="8"/>
      </tp>
      <tp t="s">
        <v>#N/A N/A</v>
        <stp/>
        <stp>BDH|5789245775615484193</stp>
        <tr r="F6" s="11"/>
      </tp>
      <tp t="s">
        <v>#N/A N/A</v>
        <stp/>
        <stp>BDH|2250132482357165894</stp>
        <tr r="K15" s="2"/>
      </tp>
      <tp t="s">
        <v>#N/A N/A</v>
        <stp/>
        <stp>BDH|3635188777145514472</stp>
        <tr r="P20" s="13"/>
      </tp>
      <tp t="s">
        <v>#N/A N/A</v>
        <stp/>
        <stp>BDH|1587277521742112792</stp>
        <tr r="K23" s="6"/>
      </tp>
      <tp t="s">
        <v>#N/A N/A</v>
        <stp/>
        <stp>BDH|5577559944866756688</stp>
        <tr r="G7" s="8"/>
      </tp>
      <tp t="s">
        <v>#N/A N/A</v>
        <stp/>
        <stp>BDH|2582812689305703313</stp>
        <tr r="C13" s="2"/>
      </tp>
      <tp t="s">
        <v>#N/A N/A</v>
        <stp/>
        <stp>BDH|7157354515843254280</stp>
        <tr r="K7" s="7"/>
      </tp>
      <tp t="s">
        <v>#N/A N/A</v>
        <stp/>
        <stp>BDH|3040363814437202284</stp>
        <tr r="N8" s="9"/>
      </tp>
      <tp t="s">
        <v>#N/A N/A</v>
        <stp/>
        <stp>BDH|5400871622888186396</stp>
        <tr r="L16" s="13"/>
      </tp>
      <tp t="s">
        <v>#N/A N/A</v>
        <stp/>
        <stp>BDH|4500257864983570783</stp>
        <tr r="P22" s="6"/>
      </tp>
      <tp t="s">
        <v>#N/A N/A</v>
        <stp/>
        <stp>BDH|3321742924657561583</stp>
        <tr r="H9" s="13"/>
      </tp>
      <tp t="s">
        <v>#N/A N/A</v>
        <stp/>
        <stp>BDH|3953917264778116031</stp>
        <tr r="K12" s="8"/>
      </tp>
      <tp t="s">
        <v>#N/A N/A</v>
        <stp/>
        <stp>BDH|8499651184892809035</stp>
        <tr r="H11" s="7"/>
      </tp>
      <tp t="s">
        <v>#N/A N/A</v>
        <stp/>
        <stp>BDH|2932155808452899524</stp>
        <tr r="P18" s="5"/>
      </tp>
      <tp t="s">
        <v>#N/A N/A</v>
        <stp/>
        <stp>BDH|7981942075719510433</stp>
        <tr r="S17" s="7"/>
      </tp>
      <tp t="s">
        <v>#N/A N/A</v>
        <stp/>
        <stp>BDH|2194674265277889146</stp>
        <tr r="D22" s="4"/>
      </tp>
      <tp t="s">
        <v>#N/A N/A</v>
        <stp/>
        <stp>BDH|9636396380203320537</stp>
        <tr r="N20" s="5"/>
      </tp>
      <tp t="s">
        <v>#N/A N/A</v>
        <stp/>
        <stp>BDH|5365479680704326981</stp>
        <tr r="Q16" s="4"/>
      </tp>
      <tp t="s">
        <v>#N/A N/A</v>
        <stp/>
        <stp>BDH|7816567364580099057</stp>
        <tr r="F23" s="2"/>
      </tp>
      <tp t="s">
        <v>#N/A N/A</v>
        <stp/>
        <stp>BDH|2187555569192473766</stp>
        <tr r="F17" s="4"/>
      </tp>
      <tp t="s">
        <v>#N/A N/A</v>
        <stp/>
        <stp>BDH|4430971225892921939</stp>
        <tr r="Q17" s="13"/>
      </tp>
      <tp t="s">
        <v>#N/A N/A</v>
        <stp/>
        <stp>BDH|1428008308054295124</stp>
        <tr r="I16" s="6"/>
      </tp>
      <tp t="s">
        <v>#N/A N/A</v>
        <stp/>
        <stp>BDH|8419969979063264157</stp>
        <tr r="J13" s="7"/>
      </tp>
      <tp t="s">
        <v>#N/A N/A</v>
        <stp/>
        <stp>BDH|5564774912837940057</stp>
        <tr r="C18" s="2"/>
      </tp>
      <tp t="s">
        <v>#N/A N/A</v>
        <stp/>
        <stp>BDH|2536726339842709055</stp>
        <tr r="M16" s="2"/>
      </tp>
      <tp t="s">
        <v>#N/A N/A</v>
        <stp/>
        <stp>BDH|3525474033473590380</stp>
        <tr r="M16" s="4"/>
      </tp>
      <tp t="s">
        <v>#N/A N/A</v>
        <stp/>
        <stp>BDH|6692486720617736351</stp>
        <tr r="M16" s="8"/>
      </tp>
      <tp t="s">
        <v>#N/A N/A</v>
        <stp/>
        <stp>BDH|3129099406585723248</stp>
        <tr r="S8" s="7"/>
      </tp>
      <tp t="s">
        <v>#N/A N/A</v>
        <stp/>
        <stp>BDH|2945108764362805388</stp>
        <tr r="F11" s="7"/>
      </tp>
      <tp t="s">
        <v>#N/A N/A</v>
        <stp/>
        <stp>BDH|3917493139343334374</stp>
        <tr r="K10" s="11"/>
      </tp>
      <tp t="s">
        <v>#N/A N/A</v>
        <stp/>
        <stp>BDH|6903023832919458809</stp>
        <tr r="K9" s="11"/>
      </tp>
      <tp t="s">
        <v>#N/A N/A</v>
        <stp/>
        <stp>BDH|2128104237620291491</stp>
        <tr r="J10" s="3"/>
      </tp>
      <tp t="s">
        <v>#N/A N/A</v>
        <stp/>
        <stp>BDH|4461937496692587297</stp>
        <tr r="D23" s="4"/>
      </tp>
      <tp t="s">
        <v>#N/A N/A</v>
        <stp/>
        <stp>BDH|3881302101105203166</stp>
        <tr r="M22" s="10"/>
      </tp>
      <tp t="s">
        <v>#N/A N/A</v>
        <stp/>
        <stp>BDH|8436535789470752149</stp>
        <tr r="F21" s="13"/>
      </tp>
      <tp t="s">
        <v>#N/A N/A</v>
        <stp/>
        <stp>BDH|3554067965031364071</stp>
        <tr r="E21" s="13"/>
      </tp>
      <tp t="s">
        <v>#N/A N/A</v>
        <stp/>
        <stp>BDH|8909532388219765871</stp>
        <tr r="H14" s="6"/>
      </tp>
      <tp t="s">
        <v>#N/A N/A</v>
        <stp/>
        <stp>BDH|1151845201855066866</stp>
        <tr r="L20" s="13"/>
      </tp>
      <tp t="s">
        <v>#N/A N/A</v>
        <stp/>
        <stp>BDH|1065659941451622618</stp>
        <tr r="L13" s="5"/>
      </tp>
      <tp t="s">
        <v>#N/A N/A</v>
        <stp/>
        <stp>BDH|5029605076131388168</stp>
        <tr r="I8" s="4"/>
      </tp>
      <tp t="s">
        <v>#N/A N/A</v>
        <stp/>
        <stp>BDH|2851785216125276578</stp>
        <tr r="C18" s="12"/>
      </tp>
      <tp t="s">
        <v>#N/A N/A</v>
        <stp/>
        <stp>BDH|5553916764928824689</stp>
        <tr r="E8" s="9"/>
      </tp>
      <tp t="s">
        <v>#N/A N/A</v>
        <stp/>
        <stp>BDH|7399046064935192024</stp>
        <tr r="P15" s="12"/>
      </tp>
      <tp t="s">
        <v>#N/A N/A</v>
        <stp/>
        <stp>BDH|7585032341396228156</stp>
        <tr r="R16" s="13"/>
      </tp>
      <tp t="s">
        <v>#N/A N/A</v>
        <stp/>
        <stp>BDH|5686791571214673581</stp>
        <tr r="D7" s="3"/>
      </tp>
      <tp t="s">
        <v>#N/A N/A</v>
        <stp/>
        <stp>BDH|8669460115908721130</stp>
        <tr r="J16" s="9"/>
      </tp>
      <tp t="s">
        <v>#N/A N/A</v>
        <stp/>
        <stp>BDH|5281074069421553681</stp>
        <tr r="Q20" s="7"/>
      </tp>
      <tp t="s">
        <v>#N/A N/A</v>
        <stp/>
        <stp>BDH|6622493169706695669</stp>
        <tr r="N12" s="6"/>
      </tp>
      <tp t="s">
        <v>#N/A N/A</v>
        <stp/>
        <stp>BDH|4869973826833675893</stp>
        <tr r="J17" s="10"/>
      </tp>
      <tp t="s">
        <v>#N/A N/A</v>
        <stp/>
        <stp>BDH|6451675460862223071</stp>
        <tr r="Q7" s="6"/>
      </tp>
      <tp t="s">
        <v>#N/A N/A</v>
        <stp/>
        <stp>BDH|3607590663684350098</stp>
        <tr r="N10" s="4"/>
      </tp>
      <tp t="s">
        <v>#N/A N/A</v>
        <stp/>
        <stp>BDH|7509687847583483287</stp>
        <tr r="S21" s="6"/>
      </tp>
      <tp t="s">
        <v>#N/A N/A</v>
        <stp/>
        <stp>BDH|2817055922236817206</stp>
        <tr r="C21" s="8"/>
      </tp>
      <tp t="s">
        <v>#N/A N/A</v>
        <stp/>
        <stp>BDH|3898034976890268083</stp>
        <tr r="I13" s="4"/>
      </tp>
      <tp t="s">
        <v>#N/A N/A</v>
        <stp/>
        <stp>BDH|6503830861219225520</stp>
        <tr r="M17" s="8"/>
      </tp>
      <tp t="s">
        <v>#N/A N/A</v>
        <stp/>
        <stp>BDH|2350025235696509361</stp>
        <tr r="R21" s="5"/>
      </tp>
      <tp t="s">
        <v>#N/A N/A</v>
        <stp/>
        <stp>BDH|5828366430708176983</stp>
        <tr r="H25" s="2"/>
      </tp>
      <tp t="s">
        <v>#N/A N/A</v>
        <stp/>
        <stp>BDH|3085372151235215436</stp>
        <tr r="K23" s="10"/>
      </tp>
      <tp t="s">
        <v>#N/A N/A</v>
        <stp/>
        <stp>BDH|2154435612565652622</stp>
        <tr r="K6" s="11"/>
      </tp>
      <tp t="s">
        <v>#N/A N/A</v>
        <stp/>
        <stp>BDH|9545566216909199009</stp>
        <tr r="G20" s="13"/>
      </tp>
      <tp t="s">
        <v>#N/A N/A</v>
        <stp/>
        <stp>BDH|9469818773156090436</stp>
        <tr r="I17" s="2"/>
      </tp>
      <tp t="s">
        <v>#N/A N/A</v>
        <stp/>
        <stp>BDH|7439016327833716204</stp>
        <tr r="T16" s="7"/>
      </tp>
      <tp t="s">
        <v>#N/A N/A</v>
        <stp/>
        <stp>BDH|9387722654468422742</stp>
        <tr r="N9" s="12"/>
      </tp>
      <tp t="s">
        <v>#N/A N/A</v>
        <stp/>
        <stp>BDH|3828425887832565828</stp>
        <tr r="G9" s="9"/>
      </tp>
      <tp t="s">
        <v>#N/A N/A</v>
        <stp/>
        <stp>BDH|2337387347545612509</stp>
        <tr r="D16" s="3"/>
      </tp>
      <tp t="s">
        <v>#N/A N/A</v>
        <stp/>
        <stp>BDH|5731021443574579099</stp>
        <tr r="R9" s="5"/>
      </tp>
      <tp t="s">
        <v>#N/A N/A</v>
        <stp/>
        <stp>BDH|6337371490021992875</stp>
        <tr r="L16" s="2"/>
      </tp>
      <tp t="s">
        <v>#N/A N/A</v>
        <stp/>
        <stp>BDH|7129251819234201541</stp>
        <tr r="Q12" s="5"/>
      </tp>
      <tp t="s">
        <v>#N/A N/A</v>
        <stp/>
        <stp>BDH|2752885439258589489</stp>
        <tr r="G9" s="13"/>
      </tp>
      <tp t="s">
        <v>#N/A N/A</v>
        <stp/>
        <stp>BDH|6561637842212605396</stp>
        <tr r="M19" s="12"/>
      </tp>
      <tp t="s">
        <v>#N/A N/A</v>
        <stp/>
        <stp>BDH|7733668640322843223</stp>
        <tr r="Q17" s="4"/>
      </tp>
      <tp t="s">
        <v>#N/A N/A</v>
        <stp/>
        <stp>BDH|3708067733563287689</stp>
        <tr r="C12" s="9"/>
      </tp>
      <tp t="s">
        <v>#N/A N/A</v>
        <stp/>
        <stp>BDH|6181184353393281400</stp>
        <tr r="K17" s="3"/>
      </tp>
      <tp t="s">
        <v>#N/A N/A</v>
        <stp/>
        <stp>BDH|4774291644956797150</stp>
        <tr r="I16" s="10"/>
      </tp>
      <tp t="s">
        <v>#N/A N/A</v>
        <stp/>
        <stp>BDH|2699597397353429846</stp>
        <tr r="J14" s="12"/>
      </tp>
      <tp t="s">
        <v>#N/A N/A</v>
        <stp/>
        <stp>BDH|3694626604991826109</stp>
        <tr r="J15" s="9"/>
      </tp>
      <tp t="s">
        <v>#N/A N/A</v>
        <stp/>
        <stp>BDH|3708033285728169690</stp>
        <tr r="D15" s="4"/>
      </tp>
      <tp t="s">
        <v>#N/A N/A</v>
        <stp/>
        <stp>BDH|3814414537087755608</stp>
        <tr r="Q8" s="4"/>
      </tp>
      <tp t="s">
        <v>#N/A N/A</v>
        <stp/>
        <stp>BDH|7909297389768595051</stp>
        <tr r="G6" s="5"/>
      </tp>
      <tp t="s">
        <v>#N/A N/A</v>
        <stp/>
        <stp>BDH|1994674766816511236</stp>
        <tr r="C20" s="2"/>
      </tp>
      <tp t="s">
        <v>#N/A N/A</v>
        <stp/>
        <stp>BDH|1877291532153597684</stp>
        <tr r="I17" s="8"/>
      </tp>
      <tp t="s">
        <v>#N/A N/A</v>
        <stp/>
        <stp>BDH|3457631224997575585</stp>
        <tr r="G24" s="4"/>
      </tp>
      <tp t="s">
        <v>#N/A N/A</v>
        <stp/>
        <stp>BDH|4075413705165301085</stp>
        <tr r="O12" s="9"/>
      </tp>
      <tp t="s">
        <v>#N/A N/A</v>
        <stp/>
        <stp>BDH|3076667221726873402</stp>
        <tr r="J21" s="3"/>
      </tp>
      <tp t="s">
        <v>#N/A N/A</v>
        <stp/>
        <stp>BDH|4960999480266985660</stp>
        <tr r="P23" s="6"/>
      </tp>
      <tp t="s">
        <v>#N/A N/A</v>
        <stp/>
        <stp>BDH|1111671739084407571</stp>
        <tr r="C17" s="11"/>
      </tp>
      <tp t="s">
        <v>#N/A N/A</v>
        <stp/>
        <stp>BDH|1809927120697145877</stp>
        <tr r="J8" s="9"/>
      </tp>
      <tp t="s">
        <v>#N/A N/A</v>
        <stp/>
        <stp>BDH|1273428562847630194</stp>
        <tr r="F10" s="3"/>
      </tp>
      <tp t="s">
        <v>#N/A N/A</v>
        <stp/>
        <stp>BDH|1910443500403059301</stp>
        <tr r="C13" s="10"/>
      </tp>
      <tp t="s">
        <v>#N/A N/A</v>
        <stp/>
        <stp>BDH|6758539441664989617</stp>
        <tr r="L20" s="2"/>
      </tp>
      <tp t="s">
        <v>#N/A N/A</v>
        <stp/>
        <stp>BDH|3342684093671494818</stp>
        <tr r="I22" s="8"/>
      </tp>
      <tp t="s">
        <v>#N/A N/A</v>
        <stp/>
        <stp>BDH|1776631926505842571</stp>
        <tr r="D18" s="6"/>
      </tp>
      <tp t="s">
        <v>#N/A N/A</v>
        <stp/>
        <stp>BDH|1012123889515252844</stp>
        <tr r="N8" s="12"/>
      </tp>
      <tp t="s">
        <v>#N/A N/A</v>
        <stp/>
        <stp>BDH|1533593122910645357</stp>
        <tr r="H6" s="11"/>
      </tp>
      <tp t="s">
        <v>#N/A N/A</v>
        <stp/>
        <stp>BDH|7667000013956914514</stp>
        <tr r="K9" s="7"/>
      </tp>
      <tp t="s">
        <v>#N/A N/A</v>
        <stp/>
        <stp>BDH|5454432349025185523</stp>
        <tr r="C6" s="5"/>
      </tp>
      <tp t="s">
        <v>#N/A N/A</v>
        <stp/>
        <stp>BDH|2792634843356310393</stp>
        <tr r="P16" s="13"/>
      </tp>
      <tp t="s">
        <v>#N/A N/A</v>
        <stp/>
        <stp>BDH|7974486363098367836</stp>
        <tr r="C16" s="3"/>
      </tp>
      <tp t="s">
        <v>#N/A N/A</v>
        <stp/>
        <stp>BDH|1858924391675057191</stp>
        <tr r="Q18" s="12"/>
      </tp>
      <tp t="s">
        <v>#N/A N/A</v>
        <stp/>
        <stp>BDH|6992096914573491125</stp>
        <tr r="K6" s="13"/>
      </tp>
      <tp t="s">
        <v>#N/A N/A</v>
        <stp/>
        <stp>BDH|3411475245503367566</stp>
        <tr r="G19" s="2"/>
      </tp>
      <tp t="s">
        <v>#N/A N/A</v>
        <stp/>
        <stp>BDH|7173725607303751604</stp>
        <tr r="I6" s="3"/>
      </tp>
      <tp t="s">
        <v>#N/A N/A</v>
        <stp/>
        <stp>BDH|5429613978198977970</stp>
        <tr r="R7" s="5"/>
      </tp>
      <tp t="s">
        <v>#N/A N/A</v>
        <stp/>
        <stp>BDH|5541840765758359640</stp>
        <tr r="Q12" s="6"/>
      </tp>
      <tp t="s">
        <v>#N/A N/A</v>
        <stp/>
        <stp>BDH|4641094318392685223</stp>
        <tr r="E21" s="5"/>
      </tp>
      <tp t="s">
        <v>#N/A N/A</v>
        <stp/>
        <stp>BDH|2136611775147006153</stp>
        <tr r="F9" s="6"/>
      </tp>
      <tp t="s">
        <v>#N/A N/A</v>
        <stp/>
        <stp>BDH|4367383536592478395</stp>
        <tr r="C23" s="2"/>
      </tp>
      <tp t="s">
        <v>#N/A N/A</v>
        <stp/>
        <stp>BDH|1373555742796007347</stp>
        <tr r="H17" s="10"/>
      </tp>
      <tp t="s">
        <v>#N/A N/A</v>
        <stp/>
        <stp>BDH|4225318710751261211</stp>
        <tr r="N22" s="8"/>
      </tp>
      <tp t="s">
        <v>#N/A N/A</v>
        <stp/>
        <stp>BDH|5599475421700474671</stp>
        <tr r="Q15" s="8"/>
      </tp>
      <tp t="s">
        <v>#N/A N/A</v>
        <stp/>
        <stp>BDH|9488295923375621982</stp>
        <tr r="K8" s="6"/>
      </tp>
      <tp t="s">
        <v>#N/A N/A</v>
        <stp/>
        <stp>BDH|5341509405181145468</stp>
        <tr r="E7" s="9"/>
      </tp>
      <tp t="s">
        <v>#N/A N/A</v>
        <stp/>
        <stp>BDH|8891179918018462526</stp>
        <tr r="Q17" s="9"/>
      </tp>
      <tp t="s">
        <v>#N/A N/A</v>
        <stp/>
        <stp>BDH|7783554151935022722</stp>
        <tr r="O6" s="13"/>
      </tp>
      <tp t="s">
        <v>#N/A N/A</v>
        <stp/>
        <stp>BDH|4365553614100093536</stp>
        <tr r="J10" s="11"/>
      </tp>
      <tp t="s">
        <v>#N/A N/A</v>
        <stp/>
        <stp>BDH|8195225569978430187</stp>
        <tr r="L17" s="11"/>
      </tp>
      <tp t="s">
        <v>#N/A N/A</v>
        <stp/>
        <stp>BDH|3585318295018323441</stp>
        <tr r="E10" s="4"/>
      </tp>
      <tp t="s">
        <v>#N/A N/A</v>
        <stp/>
        <stp>BDH|7665616967557543533</stp>
        <tr r="H14" s="2"/>
      </tp>
      <tp t="s">
        <v>#N/A N/A</v>
        <stp/>
        <stp>BDH|7436477605094212223</stp>
        <tr r="I11" s="9"/>
      </tp>
      <tp t="s">
        <v>#N/A N/A</v>
        <stp/>
        <stp>BDH|5032441373772113108</stp>
        <tr r="F7" s="8"/>
      </tp>
      <tp t="s">
        <v>#N/A N/A</v>
        <stp/>
        <stp>BDH|9059951630943265508</stp>
        <tr r="G12" s="9"/>
      </tp>
      <tp t="s">
        <v>#N/A N/A</v>
        <stp/>
        <stp>BDH|2385065795716488831</stp>
        <tr r="M21" s="11"/>
      </tp>
      <tp t="s">
        <v>#N/A N/A</v>
        <stp/>
        <stp>BDH|1919233740951989347</stp>
        <tr r="D8" s="13"/>
      </tp>
      <tp t="s">
        <v>#N/A N/A</v>
        <stp/>
        <stp>BDH|1938671371107879209</stp>
        <tr r="K15" s="6"/>
      </tp>
      <tp t="s">
        <v>#N/A N/A</v>
        <stp/>
        <stp>BDH|4366620971197014746</stp>
        <tr r="P22" s="12"/>
      </tp>
      <tp t="s">
        <v>#N/A N/A</v>
        <stp/>
        <stp>BDH|2620409010142696045</stp>
        <tr r="L23" s="12"/>
      </tp>
      <tp t="s">
        <v>#N/A N/A</v>
        <stp/>
        <stp>BDH|9145033177548927388</stp>
        <tr r="K20" s="11"/>
      </tp>
      <tp t="s">
        <v>#N/A N/A</v>
        <stp/>
        <stp>BDH|5716619211290174725</stp>
        <tr r="N25" s="5"/>
      </tp>
      <tp t="s">
        <v>#N/A N/A</v>
        <stp/>
        <stp>BDH|8723538485473429314</stp>
        <tr r="F12" s="5"/>
      </tp>
      <tp t="s">
        <v>#N/A N/A</v>
        <stp/>
        <stp>BDH|5918406970610994359</stp>
        <tr r="J17" s="13"/>
      </tp>
      <tp t="s">
        <v>#N/A N/A</v>
        <stp/>
        <stp>BDH|5241743410350475674</stp>
        <tr r="I8" s="10"/>
      </tp>
      <tp t="s">
        <v>#N/A N/A</v>
        <stp/>
        <stp>BDH|5424875591606510726</stp>
        <tr r="K22" s="6"/>
      </tp>
      <tp t="s">
        <v>#N/A N/A</v>
        <stp/>
        <stp>BDH|9561219022605373908</stp>
        <tr r="F15" s="12"/>
      </tp>
      <tp t="s">
        <v>#N/A N/A</v>
        <stp/>
        <stp>BDH|6268745058828869937</stp>
        <tr r="H23" s="6"/>
      </tp>
      <tp t="s">
        <v>#N/A N/A</v>
        <stp/>
        <stp>BDH|2238732940826324276</stp>
        <tr r="C7" s="10"/>
      </tp>
      <tp t="s">
        <v>#N/A N/A</v>
        <stp/>
        <stp>BDH|5522660606011685765</stp>
        <tr r="Q7" s="12"/>
      </tp>
      <tp t="s">
        <v>#N/A N/A</v>
        <stp/>
        <stp>BDH|58192693553205306</stp>
        <tr r="M10" s="10"/>
      </tp>
      <tp t="s">
        <v>#N/A N/A</v>
        <stp/>
        <stp>BDH|3378723215722919173</stp>
        <tr r="E18" s="12"/>
      </tp>
      <tp t="s">
        <v>#N/A N/A</v>
        <stp/>
        <stp>BDH|4570994210838792213</stp>
        <tr r="N13" s="12"/>
      </tp>
      <tp t="s">
        <v>#N/A N/A</v>
        <stp/>
        <stp>BDH|2959008774971216245</stp>
        <tr r="I17" s="13"/>
      </tp>
      <tp t="s">
        <v>#N/A N/A</v>
        <stp/>
        <stp>BDH|7871105502384248431</stp>
        <tr r="J10" s="5"/>
      </tp>
      <tp t="s">
        <v>#N/A N/A</v>
        <stp/>
        <stp>BDH|1888460944610765766</stp>
        <tr r="R7" s="12"/>
      </tp>
      <tp t="s">
        <v>#N/A N/A</v>
        <stp/>
        <stp>BDH|5108594027915099171</stp>
        <tr r="C19" s="4"/>
      </tp>
      <tp t="s">
        <v>#N/A N/A</v>
        <stp/>
        <stp>BDH|7873132764104728202</stp>
        <tr r="E7" s="13"/>
      </tp>
      <tp t="s">
        <v>#N/A N/A</v>
        <stp/>
        <stp>BDH|3438462733910998207</stp>
        <tr r="K21" s="8"/>
      </tp>
      <tp t="s">
        <v>#N/A N/A</v>
        <stp/>
        <stp>BDH|1266396722056191005</stp>
        <tr r="C8" s="5"/>
      </tp>
      <tp t="s">
        <v>#N/A N/A</v>
        <stp/>
        <stp>BDH|2153886994842325779</stp>
        <tr r="E9" s="3"/>
      </tp>
      <tp t="s">
        <v>#N/A N/A</v>
        <stp/>
        <stp>BDH|5283678240408454984</stp>
        <tr r="G17" s="4"/>
      </tp>
      <tp t="s">
        <v>#N/A N/A</v>
        <stp/>
        <stp>BDH|4753335401951444088</stp>
        <tr r="C8" s="2"/>
      </tp>
      <tp t="s">
        <v>#N/A N/A</v>
        <stp/>
        <stp>BDH|6668588221756770116</stp>
        <tr r="J8" s="8"/>
      </tp>
      <tp t="s">
        <v>#N/A N/A</v>
        <stp/>
        <stp>BDH|1868383202161222598</stp>
        <tr r="N17" s="6"/>
      </tp>
      <tp t="s">
        <v>#N/A N/A</v>
        <stp/>
        <stp>BDH|5079611338122774400</stp>
        <tr r="J15" s="12"/>
      </tp>
      <tp t="s">
        <v>#N/A N/A</v>
        <stp/>
        <stp>BDH|8622362167022108986</stp>
        <tr r="Q14" s="5"/>
      </tp>
      <tp t="s">
        <v>#N/A N/A</v>
        <stp/>
        <stp>BDH|7368763098959756640</stp>
        <tr r="Q21" s="5"/>
      </tp>
      <tp t="s">
        <v>#N/A N/A</v>
        <stp/>
        <stp>BDH|4481706158864389416</stp>
        <tr r="G12" s="8"/>
      </tp>
      <tp t="s">
        <v>#N/A N/A</v>
        <stp/>
        <stp>BDH|7554881481973519276</stp>
        <tr r="H24" s="2"/>
      </tp>
      <tp t="s">
        <v>#N/A N/A</v>
        <stp/>
        <stp>BDH|6196082452087514219</stp>
        <tr r="C18" s="6"/>
      </tp>
      <tp t="s">
        <v>#N/A N/A</v>
        <stp/>
        <stp>BDH|9649269479643030964</stp>
        <tr r="L15" s="4"/>
      </tp>
      <tp t="s">
        <v>#N/A N/A</v>
        <stp/>
        <stp>BDH|9677798581184310423</stp>
        <tr r="U9" s="6"/>
      </tp>
      <tp t="s">
        <v>#N/A N/A</v>
        <stp/>
        <stp>BDH|6479870478796660928</stp>
        <tr r="G9" s="4"/>
      </tp>
      <tp t="s">
        <v>#N/A N/A</v>
        <stp/>
        <stp>BDH|5469863983495434693</stp>
        <tr r="O6" s="5"/>
      </tp>
      <tp t="s">
        <v>#N/A N/A</v>
        <stp/>
        <stp>BDH|6455118932225887736</stp>
        <tr r="C14" s="13"/>
      </tp>
      <tp t="s">
        <v>#N/A N/A</v>
        <stp/>
        <stp>BDH|3878732976737266237</stp>
        <tr r="K18" s="11"/>
      </tp>
      <tp t="s">
        <v>#N/A N/A</v>
        <stp/>
        <stp>BDH|2090765189612115928</stp>
        <tr r="F23" s="6"/>
      </tp>
      <tp t="s">
        <v>#N/A N/A</v>
        <stp/>
        <stp>BDH|9547061967090097989</stp>
        <tr r="O20" s="13"/>
      </tp>
      <tp t="s">
        <v>#N/A N/A</v>
        <stp/>
        <stp>BDH|2384055573710906302</stp>
        <tr r="G16" s="11"/>
      </tp>
      <tp t="s">
        <v>#N/A N/A</v>
        <stp/>
        <stp>BDH|2222297267731679168</stp>
        <tr r="J13" s="12"/>
      </tp>
      <tp t="s">
        <v>#N/A N/A</v>
        <stp/>
        <stp>BDH|4114156067020772590</stp>
        <tr r="H20" s="9"/>
      </tp>
      <tp t="s">
        <v>#N/A N/A</v>
        <stp/>
        <stp>BDH|8935008183597564128</stp>
        <tr r="O16" s="5"/>
      </tp>
      <tp t="s">
        <v>#N/A N/A</v>
        <stp/>
        <stp>BDH|3596202839355428159</stp>
        <tr r="T7" s="6"/>
      </tp>
      <tp t="s">
        <v>#N/A N/A</v>
        <stp/>
        <stp>BDH|8263377685012984741</stp>
        <tr r="N15" s="6"/>
      </tp>
      <tp t="s">
        <v>#N/A N/A</v>
        <stp/>
        <stp>BDH|6998678334911184495</stp>
        <tr r="I10" s="11"/>
      </tp>
      <tp t="s">
        <v>#N/A N/A</v>
        <stp/>
        <stp>BDH|9926696715519758103</stp>
        <tr r="H10" s="10"/>
      </tp>
      <tp t="s">
        <v>#N/A N/A</v>
        <stp/>
        <stp>BDH|3632736815692101135</stp>
        <tr r="O22" s="8"/>
      </tp>
      <tp t="s">
        <v>#N/A N/A</v>
        <stp/>
        <stp>BDH|1032715762105257339</stp>
        <tr r="G20" s="2"/>
      </tp>
      <tp t="s">
        <v>#N/A N/A</v>
        <stp/>
        <stp>BDH|4955341100475692495</stp>
        <tr r="E10" s="5"/>
      </tp>
      <tp t="s">
        <v>#N/A N/A</v>
        <stp/>
        <stp>BDH|3433437772135711311</stp>
        <tr r="P16" s="5"/>
      </tp>
      <tp t="s">
        <v>#N/A N/A</v>
        <stp/>
        <stp>BDH|7052668410626394067</stp>
        <tr r="G24" s="10"/>
      </tp>
      <tp t="s">
        <v>#N/A N/A</v>
        <stp/>
        <stp>BDH|3171775166947070332</stp>
        <tr r="L21" s="5"/>
      </tp>
      <tp t="s">
        <v>#N/A N/A</v>
        <stp/>
        <stp>BDH|5706117550772733515</stp>
        <tr r="J7" s="3"/>
      </tp>
      <tp t="s">
        <v>#N/A N/A</v>
        <stp/>
        <stp>BDH|9477929441482766006</stp>
        <tr r="N10" s="5"/>
      </tp>
      <tp t="s">
        <v>#N/A N/A</v>
        <stp/>
        <stp>BDH|4970139322292860300</stp>
        <tr r="E7" s="5"/>
      </tp>
      <tp t="s">
        <v>#N/A N/A</v>
        <stp/>
        <stp>BDH|9289689329773098830</stp>
        <tr r="E12" s="9"/>
      </tp>
      <tp t="s">
        <v>#N/A N/A</v>
        <stp/>
        <stp>BDH|5933154280989487389</stp>
        <tr r="I14" s="8"/>
      </tp>
      <tp t="s">
        <v>#N/A N/A</v>
        <stp/>
        <stp>BDH|3300703841212704441</stp>
        <tr r="L17" s="2"/>
      </tp>
      <tp t="s">
        <v>#N/A N/A</v>
        <stp/>
        <stp>BDH|1224631902677248602</stp>
        <tr r="O24" s="4"/>
      </tp>
      <tp t="s">
        <v>#N/A N/A</v>
        <stp/>
        <stp>BDH|3798039811003508713</stp>
        <tr r="L8" s="2"/>
      </tp>
      <tp t="s">
        <v>#N/A N/A</v>
        <stp/>
        <stp>BDH|2084422443895689168</stp>
        <tr r="E14" s="12"/>
      </tp>
      <tp t="s">
        <v>#N/A N/A</v>
        <stp/>
        <stp>BDH|2058059494939848487</stp>
        <tr r="M18" s="2"/>
      </tp>
      <tp t="s">
        <v>#N/A N/A</v>
        <stp/>
        <stp>BDH|5418672852649888986</stp>
        <tr r="Q21" s="8"/>
      </tp>
      <tp t="s">
        <v>#N/A N/A</v>
        <stp/>
        <stp>BDH|9617776396809390827</stp>
        <tr r="E17" s="9"/>
      </tp>
      <tp t="s">
        <v>#N/A N/A</v>
        <stp/>
        <stp>BDH|3097388469142542224</stp>
        <tr r="H13" s="5"/>
      </tp>
      <tp t="s">
        <v>#N/A N/A</v>
        <stp/>
        <stp>BDH|2835746341423966424</stp>
        <tr r="I14" s="11"/>
      </tp>
      <tp t="s">
        <v>#N/A N/A</v>
        <stp/>
        <stp>BDH|1127606963604007341</stp>
        <tr r="G15" s="10"/>
      </tp>
      <tp t="s">
        <v>#N/A N/A</v>
        <stp/>
        <stp>BDH|1658651095659669166</stp>
        <tr r="M11" s="9"/>
      </tp>
      <tp t="s">
        <v>#N/A N/A</v>
        <stp/>
        <stp>BDH|5590568923526445225</stp>
        <tr r="L8" s="8"/>
      </tp>
      <tp t="s">
        <v>#N/A N/A</v>
        <stp/>
        <stp>BDH|9221813142877196466</stp>
        <tr r="J12" s="7"/>
      </tp>
      <tp t="s">
        <v>#N/A N/A</v>
        <stp/>
        <stp>BDH|7784311045242056452</stp>
        <tr r="J17" s="11"/>
      </tp>
      <tp t="s">
        <v>#N/A N/A</v>
        <stp/>
        <stp>BDH|1763625735586416434</stp>
        <tr r="C15" s="8"/>
      </tp>
      <tp t="s">
        <v>#N/A N/A</v>
        <stp/>
        <stp>BDH|4393574179591896123</stp>
        <tr r="M7" s="2"/>
      </tp>
      <tp t="s">
        <v>#N/A N/A</v>
        <stp/>
        <stp>BDH|3701835692196297238</stp>
        <tr r="C17" s="7"/>
      </tp>
      <tp t="s">
        <v>#N/A N/A</v>
        <stp/>
        <stp>BDH|4112141251307460172</stp>
        <tr r="I9" s="6"/>
      </tp>
      <tp t="s">
        <v>#N/A N/A</v>
        <stp/>
        <stp>BDH|5747645449490571185</stp>
        <tr r="M9" s="2"/>
      </tp>
      <tp t="s">
        <v>#N/A N/A</v>
        <stp/>
        <stp>BDH|9613758182242346259</stp>
        <tr r="G7" s="3"/>
      </tp>
      <tp t="s">
        <v>#N/A N/A</v>
        <stp/>
        <stp>BDH|8178384017958111483</stp>
        <tr r="J25" s="2"/>
      </tp>
      <tp t="s">
        <v>#N/A N/A</v>
        <stp/>
        <stp>BDH|5643437464561346058</stp>
        <tr r="J17" s="4"/>
      </tp>
      <tp t="s">
        <v>#N/A N/A</v>
        <stp/>
        <stp>BDH|6194261012770450367</stp>
        <tr r="I25" s="5"/>
      </tp>
      <tp t="s">
        <v>#N/A N/A</v>
        <stp/>
        <stp>BDH|3771217929481832408</stp>
        <tr r="E17" s="3"/>
      </tp>
      <tp t="s">
        <v>#N/A N/A</v>
        <stp/>
        <stp>BDH|1961997220334726836</stp>
        <tr r="M17" s="2"/>
      </tp>
      <tp t="s">
        <v>#N/A N/A</v>
        <stp/>
        <stp>BDH|1013494473674728098</stp>
        <tr r="O18" s="12"/>
      </tp>
      <tp t="s">
        <v>#N/A N/A</v>
        <stp/>
        <stp>BDH|3109030666830851382</stp>
        <tr r="R24" s="4"/>
      </tp>
      <tp t="s">
        <v>#N/A N/A</v>
        <stp/>
        <stp>BDH|2937752042114886326</stp>
        <tr r="P8" s="9"/>
      </tp>
      <tp t="s">
        <v>#N/A N/A</v>
        <stp/>
        <stp>BDH|5287838134699814186</stp>
        <tr r="N13" s="13"/>
      </tp>
      <tp t="s">
        <v>#N/A N/A</v>
        <stp/>
        <stp>BDH|5784578566435381508</stp>
        <tr r="Q17" s="6"/>
      </tp>
      <tp t="s">
        <v>#N/A N/A</v>
        <stp/>
        <stp>BDH|8248885126734074095</stp>
        <tr r="R24" s="12"/>
      </tp>
      <tp t="s">
        <v>#N/A N/A</v>
        <stp/>
        <stp>BDH|7456928744748621412</stp>
        <tr r="O9" s="9"/>
      </tp>
      <tp t="s">
        <v>#N/A N/A</v>
        <stp/>
        <stp>BDH|3510275756826010413</stp>
        <tr r="J9" s="10"/>
      </tp>
      <tp t="s">
        <v>#N/A N/A</v>
        <stp/>
        <stp>BDH|61345697336086762</stp>
        <tr r="P13" s="6"/>
      </tp>
      <tp t="s">
        <v>#N/A N/A</v>
        <stp/>
        <stp>BDH|26737759010123971</stp>
        <tr r="I19" s="4"/>
      </tp>
      <tp t="s">
        <v>#N/A N/A</v>
        <stp/>
        <stp>BDH|2020839697383911778</stp>
        <tr r="P8" s="12"/>
      </tp>
      <tp t="s">
        <v>#N/A N/A</v>
        <stp/>
        <stp>BDH|4864595264078949867</stp>
        <tr r="G13" s="9"/>
      </tp>
      <tp t="s">
        <v>#N/A N/A</v>
        <stp/>
        <stp>BDH|4056403060553351295</stp>
        <tr r="C22" s="8"/>
      </tp>
      <tp t="s">
        <v>#N/A N/A</v>
        <stp/>
        <stp>BDH|1816033026717636310</stp>
        <tr r="F19" s="4"/>
      </tp>
      <tp t="s">
        <v>#N/A N/A</v>
        <stp/>
        <stp>BDH|9640451593894967730</stp>
        <tr r="L21" s="8"/>
      </tp>
      <tp t="s">
        <v>#N/A N/A</v>
        <stp/>
        <stp>BDH|6716280805880378323</stp>
        <tr r="O21" s="13"/>
      </tp>
      <tp t="s">
        <v>#N/A N/A</v>
        <stp/>
        <stp>BDH|9335326191571062585</stp>
        <tr r="E22" s="6"/>
      </tp>
      <tp t="s">
        <v>#N/A N/A</v>
        <stp/>
        <stp>BDH|4873012256030743605</stp>
        <tr r="P21" s="13"/>
      </tp>
      <tp t="s">
        <v>#N/A N/A</v>
        <stp/>
        <stp>BDH|1529418339902389361</stp>
        <tr r="P13" s="5"/>
      </tp>
      <tp t="s">
        <v>#N/A N/A</v>
        <stp/>
        <stp>BDH|9117928039554440065</stp>
        <tr r="R13" s="12"/>
      </tp>
      <tp t="s">
        <v>#N/A N/A</v>
        <stp/>
        <stp>BDH|3314048772524435791</stp>
        <tr r="R25" s="5"/>
      </tp>
      <tp t="s">
        <v>#N/A N/A</v>
        <stp/>
        <stp>BDH|8090285884950444512</stp>
        <tr r="R15" s="12"/>
      </tp>
      <tp t="s">
        <v>#N/A N/A</v>
        <stp/>
        <stp>BDH|3371929799860249434</stp>
        <tr r="I22" s="12"/>
      </tp>
      <tp t="s">
        <v>#N/A N/A</v>
        <stp/>
        <stp>BDH|4228858790137770592</stp>
        <tr r="O12" s="6"/>
      </tp>
      <tp t="s">
        <v>#N/A N/A</v>
        <stp/>
        <stp>BDH|6613852097671918135</stp>
        <tr r="D20" s="7"/>
      </tp>
      <tp t="s">
        <v>#N/A N/A</v>
        <stp/>
        <stp>BDH|5286369267867546083</stp>
        <tr r="M12" s="11"/>
      </tp>
      <tp t="s">
        <v>#N/A N/A</v>
        <stp/>
        <stp>BDH|6709755027443204780</stp>
        <tr r="F9" s="11"/>
      </tp>
      <tp t="s">
        <v>#N/A N/A</v>
        <stp/>
        <stp>BDH|8298306496614272198</stp>
        <tr r="Q10" s="5"/>
      </tp>
      <tp t="s">
        <v>#N/A N/A</v>
        <stp/>
        <stp>BDH|6864621611667202168</stp>
        <tr r="D20" s="5"/>
      </tp>
      <tp t="s">
        <v>#N/A N/A</v>
        <stp/>
        <stp>BDH|4867109882543663937</stp>
        <tr r="F17" s="10"/>
      </tp>
      <tp t="s">
        <v>#N/A N/A</v>
        <stp/>
        <stp>BDH|7894283668716249256</stp>
        <tr r="P18" s="4"/>
      </tp>
      <tp t="s">
        <v>#N/A N/A</v>
        <stp/>
        <stp>BDH|6922821431139427323</stp>
        <tr r="E23" s="4"/>
      </tp>
      <tp t="s">
        <v>#N/A N/A</v>
        <stp/>
        <stp>BDH|4288291117766303639</stp>
        <tr r="E12" s="7"/>
      </tp>
      <tp t="s">
        <v>#N/A N/A</v>
        <stp/>
        <stp>BDH|1816414002025093775</stp>
        <tr r="D15" s="10"/>
      </tp>
      <tp t="s">
        <v>#N/A N/A</v>
        <stp/>
        <stp>BDH|8175496244537287824</stp>
        <tr r="M21" s="5"/>
      </tp>
      <tp t="s">
        <v>#N/A N/A</v>
        <stp/>
        <stp>BDH|4021894498471941357</stp>
        <tr r="H17" s="4"/>
      </tp>
      <tp t="s">
        <v>#N/A N/A</v>
        <stp/>
        <stp>BDH|5998502828501945450</stp>
        <tr r="C16" s="2"/>
      </tp>
      <tp t="s">
        <v>#N/A N/A</v>
        <stp/>
        <stp>BDH|9392084816947315839</stp>
        <tr r="C22" s="12"/>
      </tp>
      <tp t="s">
        <v>#N/A N/A</v>
        <stp/>
        <stp>BDH|7278304907640772301</stp>
        <tr r="N7" s="4"/>
      </tp>
      <tp t="s">
        <v>#N/A N/A</v>
        <stp/>
        <stp>BDH|4082329501212525242</stp>
        <tr r="L20" s="11"/>
      </tp>
      <tp t="s">
        <v>#N/A N/A</v>
        <stp/>
        <stp>BDH|8528493984627395499</stp>
        <tr r="E18" s="5"/>
      </tp>
      <tp t="s">
        <v>#N/A N/A</v>
        <stp/>
        <stp>BDH|2598003313795680122</stp>
        <tr r="T11" s="7"/>
      </tp>
      <tp t="s">
        <v>#N/A N/A</v>
        <stp/>
        <stp>BDH|9991497377125581808</stp>
        <tr r="L14" s="12"/>
      </tp>
      <tp t="s">
        <v>#N/A N/A</v>
        <stp/>
        <stp>BDH|4158146147757849193</stp>
        <tr r="I7" s="8"/>
      </tp>
      <tp t="s">
        <v>#N/A N/A</v>
        <stp/>
        <stp>BDH|6356100401696221633</stp>
        <tr r="P24" s="12"/>
      </tp>
      <tp t="s">
        <v>#N/A N/A</v>
        <stp/>
        <stp>BDH|7608186529577326478</stp>
        <tr r="E24" s="12"/>
      </tp>
      <tp t="s">
        <v>#N/A N/A</v>
        <stp/>
        <stp>BDH|5332933260285187820</stp>
        <tr r="L19" s="10"/>
      </tp>
      <tp t="s">
        <v>#N/A N/A</v>
        <stp/>
        <stp>BDH|3162197419815339117</stp>
        <tr r="H13" s="8"/>
      </tp>
      <tp t="s">
        <v>#N/A N/A</v>
        <stp/>
        <stp>BDH|1000044355744743758</stp>
        <tr r="J17" s="9"/>
      </tp>
      <tp t="s">
        <v>#N/A N/A</v>
        <stp/>
        <stp>BDH|3728859538499813610</stp>
        <tr r="I7" s="9"/>
      </tp>
      <tp t="s">
        <v>#N/A N/A</v>
        <stp/>
        <stp>BDH|8755958444890619205</stp>
        <tr r="D8" s="8"/>
      </tp>
      <tp t="s">
        <v>#N/A N/A</v>
        <stp/>
        <stp>BDH|8283545823329087156</stp>
        <tr r="J16" s="11"/>
      </tp>
      <tp t="s">
        <v>#N/A N/A</v>
        <stp/>
        <stp>BDH|2955652377445821135</stp>
        <tr r="E17" s="6"/>
      </tp>
      <tp t="s">
        <v>#N/A N/A</v>
        <stp/>
        <stp>BDH|5499177662250628576</stp>
        <tr r="M22" s="3"/>
      </tp>
      <tp t="s">
        <v>#N/A N/A</v>
        <stp/>
        <stp>BDH|7526179020396467562</stp>
        <tr r="D15" s="8"/>
      </tp>
      <tp t="s">
        <v>#N/A N/A</v>
        <stp/>
        <stp>BDH|2527206217163323519</stp>
        <tr r="N13" s="5"/>
      </tp>
      <tp t="s">
        <v>#N/A N/A</v>
        <stp/>
        <stp>BDH|1672074864212143251</stp>
        <tr r="J9" s="13"/>
      </tp>
      <tp t="s">
        <v>#N/A N/A</v>
        <stp/>
        <stp>BDH|4573275103594196517</stp>
        <tr r="Q7" s="5"/>
      </tp>
      <tp t="s">
        <v>#N/A N/A</v>
        <stp/>
        <stp>BDH|3627328044520062311</stp>
        <tr r="G21" s="5"/>
      </tp>
      <tp t="s">
        <v>#N/A N/A</v>
        <stp/>
        <stp>BDH|6557867692621067109</stp>
        <tr r="P13" s="12"/>
      </tp>
      <tp t="s">
        <v>#N/A N/A</v>
        <stp/>
        <stp>BDH|2287536803520230015</stp>
        <tr r="K17" s="13"/>
      </tp>
      <tp t="s">
        <v>#N/A N/A</v>
        <stp/>
        <stp>BDH|9647316845921367800</stp>
        <tr r="I7" s="7"/>
      </tp>
      <tp t="s">
        <v>#N/A N/A</v>
        <stp/>
        <stp>BDH|7887868349048984489</stp>
        <tr r="C12" s="7"/>
      </tp>
      <tp t="s">
        <v>#N/A N/A</v>
        <stp/>
        <stp>BDH|1175429954561905688</stp>
        <tr r="O13" s="7"/>
      </tp>
      <tp t="s">
        <v>#N/A N/A</v>
        <stp/>
        <stp>BDH|2597364036251326407</stp>
        <tr r="G8" s="9"/>
      </tp>
      <tp t="s">
        <v>#N/A N/A</v>
        <stp/>
        <stp>BDH|6031743332337376239</stp>
        <tr r="J12" s="3"/>
      </tp>
      <tp t="s">
        <v>#N/A N/A</v>
        <stp/>
        <stp>BDH|5585971325308313124</stp>
        <tr r="E15" s="6"/>
      </tp>
      <tp t="s">
        <v>#N/A N/A</v>
        <stp/>
        <stp>BDH|1422574602001708216</stp>
        <tr r="L10" s="11"/>
      </tp>
      <tp t="s">
        <v>#N/A N/A</v>
        <stp/>
        <stp>BDH|7020662386126037875</stp>
        <tr r="Q22" s="4"/>
      </tp>
      <tp t="s">
        <v>#N/A N/A</v>
        <stp/>
        <stp>BDH|1088723745932336736</stp>
        <tr r="D18" s="10"/>
      </tp>
      <tp t="s">
        <v>#N/A N/A</v>
        <stp/>
        <stp>BDH|1337841063020166822</stp>
        <tr r="H18" s="12"/>
      </tp>
      <tp t="s">
        <v>#N/A N/A</v>
        <stp/>
        <stp>BDH|7633842485635477549</stp>
        <tr r="Q18" s="6"/>
      </tp>
      <tp t="s">
        <v>#N/A N/A</v>
        <stp/>
        <stp>BDH|2038264127163497627</stp>
        <tr r="L6" s="5"/>
      </tp>
      <tp t="s">
        <v>#N/A N/A</v>
        <stp/>
        <stp>BDH|9094951583617572842</stp>
        <tr r="L8" s="10"/>
      </tp>
      <tp t="s">
        <v>#N/A N/A</v>
        <stp/>
        <stp>BDH|1852361471722073089</stp>
        <tr r="H20" s="13"/>
      </tp>
      <tp t="s">
        <v>#N/A N/A</v>
        <stp/>
        <stp>BDH|5656169624453252210</stp>
        <tr r="R18" s="12"/>
      </tp>
      <tp t="s">
        <v>#N/A N/A</v>
        <stp/>
        <stp>BDH|3911153870756946412</stp>
        <tr r="K13" s="6"/>
      </tp>
      <tp t="s">
        <v>#N/A N/A</v>
        <stp/>
        <stp>BDH|3300310105553397409</stp>
        <tr r="R14" s="12"/>
      </tp>
      <tp t="s">
        <v>#N/A N/A</v>
        <stp/>
        <stp>BDH|6921787104484696270</stp>
        <tr r="K13" s="13"/>
      </tp>
      <tp t="s">
        <v>#N/A N/A</v>
        <stp/>
        <stp>BDH|7121079130880409369</stp>
        <tr r="O9" s="12"/>
      </tp>
      <tp t="s">
        <v>#N/A N/A</v>
        <stp/>
        <stp>BDH|4155524898598952779</stp>
        <tr r="O15" s="12"/>
      </tp>
      <tp t="s">
        <v>#N/A N/A</v>
        <stp/>
        <stp>BDH|1468856950998140356</stp>
        <tr r="C22" s="10"/>
      </tp>
      <tp t="s">
        <v>#N/A N/A</v>
        <stp/>
        <stp>BDH|9501832010645397207</stp>
        <tr r="M7" s="8"/>
      </tp>
      <tp t="s">
        <v>#N/A N/A</v>
        <stp/>
        <stp>BDH|4442150237347620658</stp>
        <tr r="L22" s="12"/>
      </tp>
      <tp t="s">
        <v>#N/A N/A</v>
        <stp/>
        <stp>BDH|32927169340100581</stp>
        <tr r="J20" s="2"/>
      </tp>
      <tp t="s">
        <v>#N/A N/A</v>
        <stp/>
        <stp>BDH|2340548182948947767</stp>
        <tr r="M22" s="13"/>
      </tp>
      <tp t="s">
        <v>#N/A N/A</v>
        <stp/>
        <stp>BDH|3383643279110165255</stp>
        <tr r="P9" s="13"/>
      </tp>
      <tp t="s">
        <v>#N/A N/A</v>
        <stp/>
        <stp>BDH|8979348749018670783</stp>
        <tr r="I20" s="9"/>
      </tp>
      <tp t="s">
        <v>#N/A N/A</v>
        <stp/>
        <stp>BDH|9901216927620286972</stp>
        <tr r="S9" s="6"/>
      </tp>
      <tp t="s">
        <v>#N/A N/A</v>
        <stp/>
        <stp>BDH|6869352205057509278</stp>
        <tr r="Q16" s="8"/>
      </tp>
      <tp t="s">
        <v>#N/A N/A</v>
        <stp/>
        <stp>BDH|1979276511803723127</stp>
        <tr r="E18" s="6"/>
      </tp>
      <tp t="s">
        <v>#N/A N/A</v>
        <stp/>
        <stp>BDH|3154269305786880713</stp>
        <tr r="R22" s="6"/>
      </tp>
      <tp t="s">
        <v>#N/A N/A</v>
        <stp/>
        <stp>BDH|3906034104681277272</stp>
        <tr r="P16" s="6"/>
      </tp>
      <tp t="s">
        <v>#N/A N/A</v>
        <stp/>
        <stp>BDH|1410284152043305563</stp>
        <tr r="D21" s="8"/>
      </tp>
      <tp t="s">
        <v>#N/A N/A</v>
        <stp/>
        <stp>BDH|2444998810669068367</stp>
        <tr r="F12" s="9"/>
      </tp>
      <tp t="s">
        <v>#N/A N/A</v>
        <stp/>
        <stp>BDH|7972032975576570619</stp>
        <tr r="L13" s="11"/>
      </tp>
      <tp t="s">
        <v>#N/A N/A</v>
        <stp/>
        <stp>BDH|1985564276006467550</stp>
        <tr r="E20" s="9"/>
      </tp>
      <tp t="s">
        <v>#N/A N/A</v>
        <stp/>
        <stp>BDH|1783928844109119590</stp>
        <tr r="L10" s="3"/>
      </tp>
      <tp t="s">
        <v>#N/A N/A</v>
        <stp/>
        <stp>BDH|2892301691541118912</stp>
        <tr r="J20" s="9"/>
      </tp>
      <tp t="s">
        <v>#N/A N/A</v>
        <stp/>
        <stp>BDH|6466340959498217856</stp>
        <tr r="J13" s="6"/>
      </tp>
      <tp t="s">
        <v>#N/A N/A</v>
        <stp/>
        <stp>BDH|9612937015021887068</stp>
        <tr r="Q11" s="9"/>
      </tp>
      <tp t="s">
        <v>#N/A N/A</v>
        <stp/>
        <stp>BDH|5759062631407898167</stp>
        <tr r="H22" s="3"/>
      </tp>
      <tp t="s">
        <v>#N/A N/A</v>
        <stp/>
        <stp>BDH|5813690729093357246</stp>
        <tr r="G9" s="2"/>
      </tp>
      <tp t="s">
        <v>#N/A N/A</v>
        <stp/>
        <stp>BDH|2080282796779595043</stp>
        <tr r="H7" s="13"/>
      </tp>
      <tp t="s">
        <v>#N/A N/A</v>
        <stp/>
        <stp>BDH|4993539804969493859</stp>
        <tr r="K16" s="5"/>
      </tp>
      <tp t="s">
        <v>#N/A N/A</v>
        <stp/>
        <stp>BDH|3174633332133646599</stp>
        <tr r="J6" s="13"/>
      </tp>
      <tp t="s">
        <v>#N/A N/A</v>
        <stp/>
        <stp>BDH|8160395091604794629</stp>
        <tr r="M19" s="4"/>
      </tp>
      <tp t="s">
        <v>#N/A N/A</v>
        <stp/>
        <stp>BDH|6824801920149732535</stp>
        <tr r="C16" s="11"/>
      </tp>
      <tp t="s">
        <v>#N/A N/A</v>
        <stp/>
        <stp>BDH|6325535992958714299</stp>
        <tr r="L9" s="4"/>
      </tp>
      <tp t="s">
        <v>#N/A N/A</v>
        <stp/>
        <stp>BDH|9935938005318495879</stp>
        <tr r="U15" s="6"/>
      </tp>
      <tp t="s">
        <v>#N/A N/A</v>
        <stp/>
        <stp>BDH|7569112979457198606</stp>
        <tr r="K7" s="6"/>
      </tp>
      <tp t="s">
        <v>#N/A N/A</v>
        <stp/>
        <stp>BDH|3014068185833712891</stp>
        <tr r="E9" s="9"/>
      </tp>
      <tp t="s">
        <v>#N/A N/A</v>
        <stp/>
        <stp>BDH|1647480671046005422</stp>
        <tr r="E10" s="11"/>
      </tp>
      <tp t="s">
        <v>#N/A N/A</v>
        <stp/>
        <stp>BDH|4921629704320189238</stp>
        <tr r="R19" s="12"/>
      </tp>
      <tp t="s">
        <v>#N/A N/A</v>
        <stp/>
        <stp>BDH|3827298980999880040</stp>
        <tr r="H7" s="3"/>
      </tp>
      <tp t="s">
        <v>#N/A N/A</v>
        <stp/>
        <stp>BDH|2369281166075933398</stp>
        <tr r="F8" s="11"/>
      </tp>
      <tp t="s">
        <v>#N/A N/A</v>
        <stp/>
        <stp>BDH|5256435340062351704</stp>
        <tr r="P18" s="6"/>
      </tp>
      <tp t="s">
        <v>#N/A N/A</v>
        <stp/>
        <stp>BDH|7693683919478763828</stp>
        <tr r="P8" s="6"/>
      </tp>
      <tp t="s">
        <v>#N/A N/A</v>
        <stp/>
        <stp>BDH|1908055139721077377</stp>
        <tr r="E20" s="13"/>
      </tp>
      <tp t="s">
        <v>#N/A N/A</v>
        <stp/>
        <stp>BDH|5652280444684884709</stp>
        <tr r="C18" s="10"/>
      </tp>
      <tp t="s">
        <v>#N/A N/A</v>
        <stp/>
        <stp>BDH|7719536763471433512</stp>
        <tr r="F16" s="12"/>
      </tp>
      <tp t="s">
        <v>#N/A N/A</v>
        <stp/>
        <stp>BDH|2265499198999533642</stp>
        <tr r="D9" s="4"/>
      </tp>
      <tp t="s">
        <v>#N/A N/A</v>
        <stp/>
        <stp>BDH|2235790907740698580</stp>
        <tr r="L7" s="8"/>
      </tp>
      <tp t="s">
        <v>#N/A N/A</v>
        <stp/>
        <stp>BDH|2554006881399596334</stp>
        <tr r="O22" s="12"/>
      </tp>
      <tp t="s">
        <v>#N/A N/A</v>
        <stp/>
        <stp>BDH|2161639903857642342</stp>
        <tr r="H18" s="6"/>
      </tp>
      <tp t="s">
        <v>#N/A N/A</v>
        <stp/>
        <stp>BDH|6780970385987213041</stp>
        <tr r="D14" s="10"/>
      </tp>
      <tp t="s">
        <v>#N/A N/A</v>
        <stp/>
        <stp>BDH|1236245350980499613</stp>
        <tr r="L7" s="5"/>
      </tp>
      <tp t="s">
        <v>#N/A N/A</v>
        <stp/>
        <stp>BDH|7412714321176524421</stp>
        <tr r="D17" s="9"/>
      </tp>
      <tp t="s">
        <v>#N/A N/A</v>
        <stp/>
        <stp>BDH|1769229653032264470</stp>
        <tr r="D10" s="13"/>
      </tp>
      <tp t="s">
        <v>#N/A N/A</v>
        <stp/>
        <stp>BDH|7670396578437072473</stp>
        <tr r="N16" s="9"/>
      </tp>
      <tp t="s">
        <v>#N/A N/A</v>
        <stp/>
        <stp>BDH|3228918698133869039</stp>
        <tr r="H17" s="5"/>
      </tp>
      <tp t="s">
        <v>#N/A N/A</v>
        <stp/>
        <stp>BDH|1473056117913780314</stp>
        <tr r="K17" s="6"/>
      </tp>
      <tp t="s">
        <v>#N/A N/A</v>
        <stp/>
        <stp>BDH|9320061025879666267</stp>
        <tr r="K16" s="6"/>
      </tp>
      <tp t="s">
        <v>#N/A N/A</v>
        <stp/>
        <stp>BDH|8846079699082020362</stp>
        <tr r="H16" s="11"/>
      </tp>
      <tp t="s">
        <v>#N/A N/A</v>
        <stp/>
        <stp>BDH|8898352464269103485</stp>
        <tr r="M17" s="10"/>
      </tp>
      <tp t="s">
        <v>#N/A N/A</v>
        <stp/>
        <stp>BDH|8275727190867793162</stp>
        <tr r="D19" s="4"/>
      </tp>
      <tp t="s">
        <v>#N/A N/A</v>
        <stp/>
        <stp>BDH|1691341263074272029</stp>
        <tr r="M13" s="12"/>
      </tp>
      <tp t="s">
        <v>#N/A N/A</v>
        <stp/>
        <stp>BDH|1705419022342745520</stp>
        <tr r="K17" s="2"/>
      </tp>
      <tp t="s">
        <v>#N/A N/A</v>
        <stp/>
        <stp>BDH|2264719426053494474</stp>
        <tr r="F8" s="6"/>
      </tp>
      <tp t="s">
        <v>#N/A N/A</v>
        <stp/>
        <stp>BDH|5141101754015779445</stp>
        <tr r="E25" s="2"/>
      </tp>
      <tp t="s">
        <v>#N/A N/A</v>
        <stp/>
        <stp>BDH|5581979195942808788</stp>
        <tr r="F8" s="2"/>
      </tp>
      <tp t="s">
        <v>#N/A N/A</v>
        <stp/>
        <stp>BDH|7927890493006264060</stp>
        <tr r="H22" s="5"/>
      </tp>
      <tp t="s">
        <v>#N/A N/A</v>
        <stp/>
        <stp>BDH|8535162892523110373</stp>
        <tr r="K14" s="8"/>
      </tp>
      <tp t="s">
        <v>#N/A N/A</v>
        <stp/>
        <stp>BDH|7104299969605059666</stp>
        <tr r="G9" s="6"/>
      </tp>
      <tp t="s">
        <v>#N/A N/A</v>
        <stp/>
        <stp>BDH|3189091371330811465</stp>
        <tr r="P7" s="7"/>
      </tp>
      <tp t="s">
        <v>#N/A N/A</v>
        <stp/>
        <stp>BDH|6067600996328108134</stp>
        <tr r="F9" s="13"/>
      </tp>
      <tp t="s">
        <v>#N/A N/A</v>
        <stp/>
        <stp>BDH|5518574109327887779</stp>
        <tr r="F14" s="6"/>
      </tp>
      <tp t="s">
        <v>#N/A N/A</v>
        <stp/>
        <stp>BDH|8810353355128511694</stp>
        <tr r="C17" s="10"/>
      </tp>
      <tp t="s">
        <v>#N/A N/A</v>
        <stp/>
        <stp>BDH|4552596409834788565</stp>
        <tr r="G7" s="11"/>
      </tp>
      <tp t="s">
        <v>#N/A N/A</v>
        <stp/>
        <stp>BDH|1309755664774529439</stp>
        <tr r="P15" s="8"/>
      </tp>
      <tp t="s">
        <v>#N/A N/A</v>
        <stp/>
        <stp>BDH|7505257008881949456</stp>
        <tr r="G6" s="13"/>
      </tp>
      <tp t="s">
        <v>#N/A N/A</v>
        <stp/>
        <stp>BDH|4326400094101103831</stp>
        <tr r="I18" s="4"/>
      </tp>
      <tp t="s">
        <v>#N/A N/A</v>
        <stp/>
        <stp>BDH|3270459196979046747</stp>
        <tr r="M19" s="2"/>
      </tp>
      <tp t="s">
        <v>#N/A N/A</v>
        <stp/>
        <stp>BDH|2773172607084280704</stp>
        <tr r="O13" s="8"/>
      </tp>
      <tp t="s">
        <v>#N/A N/A</v>
        <stp/>
        <stp>BDH|2665659045593469371</stp>
        <tr r="E9" s="8"/>
      </tp>
      <tp t="s">
        <v>#N/A N/A</v>
        <stp/>
        <stp>BDH|3003575012377693061</stp>
        <tr r="J20" s="7"/>
      </tp>
      <tp t="s">
        <v>#N/A N/A</v>
        <stp/>
        <stp>BDH|5276188318345880105</stp>
        <tr r="O17" s="9"/>
      </tp>
      <tp t="s">
        <v>#N/A N/A</v>
        <stp/>
        <stp>BDH|5287370671825750595</stp>
        <tr r="D14" s="12"/>
      </tp>
      <tp t="s">
        <v>#N/A N/A</v>
        <stp/>
        <stp>BDH|7396639431780879335</stp>
        <tr r="L15" s="2"/>
      </tp>
      <tp t="s">
        <v>#N/A N/A</v>
        <stp/>
        <stp>BDH|3915736856983788313</stp>
        <tr r="C19" s="10"/>
      </tp>
      <tp t="s">
        <v>#N/A N/A</v>
        <stp/>
        <stp>BDH|2735291470052659420</stp>
        <tr r="F20" s="9"/>
      </tp>
      <tp t="s">
        <v>#N/A N/A</v>
        <stp/>
        <stp>BDH|5129249224637976323</stp>
        <tr r="L10" s="2"/>
      </tp>
      <tp t="s">
        <v>#N/A N/A</v>
        <stp/>
        <stp>BDH|6590318232942921557</stp>
        <tr r="F8" s="12"/>
      </tp>
      <tp t="s">
        <v>#N/A N/A</v>
        <stp/>
        <stp>BDH|5117216049656565468</stp>
        <tr r="M19" s="10"/>
      </tp>
      <tp t="s">
        <v>#N/A N/A</v>
        <stp/>
        <stp>BDH|3925321153183324702</stp>
        <tr r="U12" s="6"/>
      </tp>
      <tp t="s">
        <v>#N/A N/A</v>
        <stp/>
        <stp>BDH|5406896034016005923</stp>
        <tr r="C13" s="7"/>
      </tp>
      <tp t="s">
        <v>#N/A N/A</v>
        <stp/>
        <stp>BDH|7492769351367272395</stp>
        <tr r="H20" s="7"/>
      </tp>
      <tp t="s">
        <v>#N/A N/A</v>
        <stp/>
        <stp>BDH|6343333924672851446</stp>
        <tr r="S9" s="7"/>
      </tp>
      <tp t="s">
        <v>#N/A N/A</v>
        <stp/>
        <stp>BDH|5558450997958713189</stp>
        <tr r="E24" s="10"/>
      </tp>
      <tp t="s">
        <v>#N/A N/A</v>
        <stp/>
        <stp>BDH|4530031871343831179</stp>
        <tr r="U21" s="6"/>
      </tp>
      <tp t="s">
        <v>#N/A N/A</v>
        <stp/>
        <stp>BDH|2976425811012278409</stp>
        <tr r="H13" s="7"/>
      </tp>
      <tp t="s">
        <v>#N/A N/A</v>
        <stp/>
        <stp>BDH|9708183598887645791</stp>
        <tr r="I9" s="13"/>
      </tp>
      <tp t="s">
        <v>#N/A N/A</v>
        <stp/>
        <stp>BDH|6163916498885202239</stp>
        <tr r="H19" s="10"/>
      </tp>
      <tp t="s">
        <v>#N/A N/A</v>
        <stp/>
        <stp>BDH|7681853648498462262</stp>
        <tr r="L9" s="13"/>
      </tp>
      <tp t="s">
        <v>#N/A N/A</v>
        <stp/>
        <stp>BDH|5762906608619251430</stp>
        <tr r="P7" s="8"/>
      </tp>
      <tp t="s">
        <v>#N/A N/A</v>
        <stp/>
        <stp>BDH|1400402325876818078</stp>
        <tr r="J17" s="7"/>
      </tp>
      <tp t="s">
        <v>#N/A N/A</v>
        <stp/>
        <stp>BDH|7028352450651841137</stp>
        <tr r="K24" s="4"/>
      </tp>
      <tp t="s">
        <v>#N/A N/A</v>
        <stp/>
        <stp>BDH|2176694698054774884</stp>
        <tr r="R15" s="4"/>
      </tp>
      <tp t="s">
        <v>#N/A N/A</v>
        <stp/>
        <stp>BDH|6047415269203363647</stp>
        <tr r="N18" s="3"/>
      </tp>
      <tp t="s">
        <v>#N/A N/A</v>
        <stp/>
        <stp>BDH|2624945586514223696</stp>
        <tr r="O16" s="4"/>
      </tp>
      <tp t="s">
        <v>#N/A N/A</v>
        <stp/>
        <stp>BDH|3535186544797028051</stp>
        <tr r="O14" s="6"/>
      </tp>
      <tp t="s">
        <v>#N/A N/A</v>
        <stp/>
        <stp>BDH|1929408277870729353</stp>
        <tr r="P16" s="4"/>
      </tp>
      <tp t="s">
        <v>#N/A N/A</v>
        <stp/>
        <stp>BDH|3255376258597827392</stp>
        <tr r="L21" s="11"/>
      </tp>
      <tp t="s">
        <v>#N/A N/A</v>
        <stp/>
        <stp>BDH|2063793229972523496</stp>
        <tr r="E8" s="11"/>
      </tp>
      <tp t="s">
        <v>#N/A N/A</v>
        <stp/>
        <stp>BDH|9356897722905040743</stp>
        <tr r="M13" s="8"/>
      </tp>
      <tp t="s">
        <v>#N/A N/A</v>
        <stp/>
        <stp>BDH|1915780453515822777</stp>
        <tr r="G16" s="3"/>
      </tp>
      <tp t="s">
        <v>#N/A N/A</v>
        <stp/>
        <stp>BDH|6302078315820422688</stp>
        <tr r="T13" s="6"/>
      </tp>
      <tp t="s">
        <v>#N/A N/A</v>
        <stp/>
        <stp>BDH|8032972634333083016</stp>
        <tr r="K6" s="3"/>
      </tp>
      <tp t="s">
        <v>#N/A N/A</v>
        <stp/>
        <stp>BDH|3968343260413691488</stp>
        <tr r="D13" s="3"/>
      </tp>
      <tp t="s">
        <v>#N/A N/A</v>
        <stp/>
        <stp>BDH|8318970823795130756</stp>
        <tr r="I12" s="5"/>
      </tp>
      <tp t="s">
        <v>#N/A N/A</v>
        <stp/>
        <stp>BDH|2861890976264201862</stp>
        <tr r="I13" s="10"/>
      </tp>
      <tp t="s">
        <v>#N/A N/A</v>
        <stp/>
        <stp>BDH|5107477393528191171</stp>
        <tr r="L7" s="13"/>
      </tp>
      <tp t="s">
        <v>#N/A N/A</v>
        <stp/>
        <stp>BDH|4165342399316799984</stp>
        <tr r="Q17" s="12"/>
      </tp>
      <tp t="s">
        <v>#N/A N/A</v>
        <stp/>
        <stp>BDH|6071042160974019577</stp>
        <tr r="U17" s="7"/>
      </tp>
      <tp t="s">
        <v>#N/A N/A</v>
        <stp/>
        <stp>BDH|9309931904240325171</stp>
        <tr r="K15" s="7"/>
      </tp>
      <tp t="s">
        <v>#N/A N/A</v>
        <stp/>
        <stp>BDH|6761324907332296602</stp>
        <tr r="S7" s="6"/>
      </tp>
      <tp t="s">
        <v>#N/A N/A</v>
        <stp/>
        <stp>BDH|9442736225294382912</stp>
        <tr r="D12" s="6"/>
      </tp>
      <tp t="s">
        <v>#N/A N/A</v>
        <stp/>
        <stp>BDH|6755771058956187399</stp>
        <tr r="N10" s="3"/>
      </tp>
      <tp t="s">
        <v>#N/A N/A</v>
        <stp/>
        <stp>BDH|9030648682522262458</stp>
        <tr r="L18" s="2"/>
      </tp>
      <tp t="s">
        <v>#N/A N/A</v>
        <stp/>
        <stp>BDH|7964032779712738353</stp>
        <tr r="I9" s="11"/>
      </tp>
      <tp t="s">
        <v>#N/A N/A</v>
        <stp/>
        <stp>BDH|3009967997123075105</stp>
        <tr r="L16" s="9"/>
      </tp>
      <tp t="s">
        <v>#N/A N/A</v>
        <stp/>
        <stp>BDH|6490349321393139516</stp>
        <tr r="M8" s="9"/>
      </tp>
      <tp t="s">
        <v>#N/A N/A</v>
        <stp/>
        <stp>BDH|7424038072043329270</stp>
        <tr r="K13" s="5"/>
      </tp>
      <tp t="s">
        <v>#N/A N/A</v>
        <stp/>
        <stp>BDH|8085816168140041781</stp>
        <tr r="H22" s="6"/>
      </tp>
      <tp t="s">
        <v>#N/A N/A</v>
        <stp/>
        <stp>BDH|8772519386220390456</stp>
        <tr r="M15" s="12"/>
      </tp>
      <tp t="s">
        <v>#N/A N/A</v>
        <stp/>
        <stp>BDH|1544221230691622073</stp>
        <tr r="L17" s="10"/>
      </tp>
      <tp t="s">
        <v>#N/A N/A</v>
        <stp/>
        <stp>BDH|5871798616825039711</stp>
        <tr r="N14" s="13"/>
      </tp>
      <tp t="s">
        <v>#N/A N/A</v>
        <stp/>
        <stp>BDH|3742085613115376693</stp>
        <tr r="E20" s="5"/>
      </tp>
      <tp t="s">
        <v>#N/A N/A</v>
        <stp/>
        <stp>BDH|2479988460334981833</stp>
        <tr r="C7" s="12"/>
      </tp>
      <tp t="s">
        <v>#N/A N/A</v>
        <stp/>
        <stp>BDH|8096130292684574521</stp>
        <tr r="N16" s="3"/>
      </tp>
      <tp t="s">
        <v>#N/A N/A</v>
        <stp/>
        <stp>BDH|3173962785203664030</stp>
        <tr r="K10" s="3"/>
      </tp>
      <tp t="s">
        <v>#N/A N/A</v>
        <stp/>
        <stp>BDH|8588158312709664030</stp>
        <tr r="F22" s="13"/>
      </tp>
      <tp t="s">
        <v>#N/A N/A</v>
        <stp/>
        <stp>BDH|7109536910193156141</stp>
        <tr r="G16" s="13"/>
      </tp>
      <tp t="s">
        <v>#N/A N/A</v>
        <stp/>
        <stp>BDH|3758259765726974099</stp>
        <tr r="H13" s="10"/>
      </tp>
      <tp t="s">
        <v>#N/A N/A</v>
        <stp/>
        <stp>BDH|9928024882410631089</stp>
        <tr r="H7" s="2"/>
      </tp>
      <tp t="s">
        <v>#N/A N/A</v>
        <stp/>
        <stp>BDH|1503812500141499971</stp>
        <tr r="C13" s="12"/>
      </tp>
      <tp t="s">
        <v>#N/A N/A</v>
        <stp/>
        <stp>BDH|9574843713172288370</stp>
        <tr r="H8" s="11"/>
      </tp>
      <tp t="s">
        <v>#N/A N/A</v>
        <stp/>
        <stp>BDH|6297017270234447439</stp>
        <tr r="C17" s="6"/>
      </tp>
      <tp t="s">
        <v>#N/A N/A</v>
        <stp/>
        <stp>BDH|7115555530085539557</stp>
        <tr r="M12" s="13"/>
      </tp>
      <tp t="s">
        <v>#N/A N/A</v>
        <stp/>
        <stp>BDH|4451929880654282002</stp>
        <tr r="Q11" s="7"/>
      </tp>
      <tp t="s">
        <v>#N/A N/A</v>
        <stp/>
        <stp>BDH|8312402020849598621</stp>
        <tr r="H9" s="5"/>
      </tp>
      <tp t="s">
        <v>#N/A N/A</v>
        <stp/>
        <stp>BDH|1415317003116771555</stp>
        <tr r="D9" s="11"/>
      </tp>
      <tp t="s">
        <v>#N/A N/A</v>
        <stp/>
        <stp>BDH|3744815881116029436</stp>
        <tr r="O9" s="7"/>
      </tp>
      <tp t="s">
        <v>#N/A N/A</v>
        <stp/>
        <stp>BDH|4442631523310066104</stp>
        <tr r="T12" s="6"/>
      </tp>
      <tp t="s">
        <v>#N/A N/A</v>
        <stp/>
        <stp>BDH|1128684170514916550</stp>
        <tr r="K6" s="5"/>
      </tp>
      <tp t="s">
        <v>#N/A N/A</v>
        <stp/>
        <stp>BDH|5643775722224236547</stp>
        <tr r="O13" s="9"/>
      </tp>
      <tp t="s">
        <v>#N/A N/A</v>
        <stp/>
        <stp>BDH|7699760020472439114</stp>
        <tr r="E20" s="8"/>
      </tp>
      <tp t="s">
        <v>#N/A N/A</v>
        <stp/>
        <stp>BDH|1974739463626403782</stp>
        <tr r="E12" s="6"/>
      </tp>
      <tp t="s">
        <v>#N/A N/A</v>
        <stp/>
        <stp>BDH|3825251778615880179</stp>
        <tr r="L20" s="7"/>
      </tp>
      <tp t="s">
        <v>#N/A N/A</v>
        <stp/>
        <stp>BDH|5720595522839529934</stp>
        <tr r="E22" s="11"/>
      </tp>
      <tp t="s">
        <v>#N/A N/A</v>
        <stp/>
        <stp>BDH|3898424833507724140</stp>
        <tr r="H13" s="4"/>
      </tp>
      <tp t="s">
        <v>#N/A N/A</v>
        <stp/>
        <stp>BDH|4656968684602989560</stp>
        <tr r="G22" s="13"/>
      </tp>
      <tp t="s">
        <v>#N/A N/A</v>
        <stp/>
        <stp>BDH|4081417366025894144</stp>
        <tr r="K10" s="12"/>
      </tp>
      <tp t="s">
        <v>#N/A N/A</v>
        <stp/>
        <stp>BDH|5923759020467721504</stp>
        <tr r="N8" s="8"/>
      </tp>
      <tp t="s">
        <v>#N/A N/A</v>
        <stp/>
        <stp>BDH|5681662779587080117</stp>
        <tr r="G10" s="12"/>
      </tp>
      <tp t="s">
        <v>#N/A N/A</v>
        <stp/>
        <stp>BDH|4282128627101893469</stp>
        <tr r="I21" s="6"/>
      </tp>
      <tp t="s">
        <v>#N/A N/A</v>
        <stp/>
        <stp>BDH|9837870638611740191</stp>
        <tr r="C14" s="6"/>
      </tp>
      <tp t="s">
        <v>#N/A N/A</v>
        <stp/>
        <stp>BDH|4969554845877288022</stp>
        <tr r="E22" s="8"/>
      </tp>
      <tp t="s">
        <v>#N/A N/A</v>
        <stp/>
        <stp>BDH|3782707022320498481</stp>
        <tr r="D17" s="7"/>
      </tp>
      <tp t="s">
        <v>#N/A N/A</v>
        <stp/>
        <stp>BDH|8606506249678148370</stp>
        <tr r="H18" s="11"/>
      </tp>
      <tp t="s">
        <v>#N/A N/A</v>
        <stp/>
        <stp>BDH|2773715033206321280</stp>
        <tr r="D16" s="5"/>
      </tp>
      <tp t="s">
        <v>#N/A N/A</v>
        <stp/>
        <stp>BDH|3809782448114227643</stp>
        <tr r="F17" s="6"/>
      </tp>
      <tp t="s">
        <v>#N/A N/A</v>
        <stp/>
        <stp>BDH|1918906162415144943</stp>
        <tr r="D17" s="4"/>
      </tp>
      <tp t="s">
        <v>#N/A N/A</v>
        <stp/>
        <stp>BDH|5283038750374918673</stp>
        <tr r="D8" s="12"/>
      </tp>
      <tp t="s">
        <v>#N/A N/A</v>
        <stp/>
        <stp>BDH|5568960897973362484</stp>
        <tr r="F21" s="8"/>
      </tp>
      <tp t="s">
        <v>#N/A N/A</v>
        <stp/>
        <stp>BDH|6644619435802782395</stp>
        <tr r="R10" s="12"/>
      </tp>
      <tp t="s">
        <v>#N/A N/A</v>
        <stp/>
        <stp>BDH|3775047851641832568</stp>
        <tr r="M24" s="2"/>
      </tp>
      <tp t="s">
        <v>#N/A N/A</v>
        <stp/>
        <stp>BDH|5131534724829253986</stp>
        <tr r="M15" s="8"/>
      </tp>
      <tp t="s">
        <v>#N/A N/A</v>
        <stp/>
        <stp>BDH|1476110643432941438</stp>
        <tr r="C11" s="9"/>
      </tp>
      <tp t="s">
        <v>#N/A N/A</v>
        <stp/>
        <stp>BDH|7595803471548987219</stp>
        <tr r="R14" s="4"/>
      </tp>
      <tp t="s">
        <v>#N/A N/A</v>
        <stp/>
        <stp>BDH|6950652501587952596</stp>
        <tr r="D8" s="9"/>
      </tp>
      <tp t="s">
        <v>#N/A N/A</v>
        <stp/>
        <stp>BDH|7375095207561064401</stp>
        <tr r="H14" s="3"/>
      </tp>
      <tp t="s">
        <v>#N/A N/A</v>
        <stp/>
        <stp>BDH|1092712948785092545</stp>
        <tr r="O16" s="12"/>
      </tp>
      <tp t="s">
        <v>#N/A N/A</v>
        <stp/>
        <stp>BDH|5226943981116286088</stp>
        <tr r="L17" s="7"/>
      </tp>
      <tp t="s">
        <v>#N/A N/A</v>
        <stp/>
        <stp>BDH|6478191610460173415</stp>
        <tr r="F8" s="9"/>
      </tp>
      <tp t="s">
        <v>#N/A N/A</v>
        <stp/>
        <stp>BDH|1268632248695450404</stp>
        <tr r="E7" s="3"/>
      </tp>
      <tp t="s">
        <v>#N/A N/A</v>
        <stp/>
        <stp>BDH|5326977396030641794</stp>
        <tr r="D12" s="5"/>
      </tp>
      <tp t="s">
        <v>#N/A N/A</v>
        <stp/>
        <stp>BDH|1736964206318985238</stp>
        <tr r="D16" s="11"/>
      </tp>
      <tp t="s">
        <v>#N/A N/A</v>
        <stp/>
        <stp>BDH|1736425309611638677</stp>
        <tr r="C8" s="9"/>
      </tp>
      <tp t="s">
        <v>#N/A N/A</v>
        <stp/>
        <stp>BDH|7860551055151086459</stp>
        <tr r="J13" s="4"/>
      </tp>
      <tp t="s">
        <v>#N/A N/A</v>
        <stp/>
        <stp>BDH|7577103447236647694</stp>
        <tr r="N7" s="7"/>
      </tp>
      <tp t="s">
        <v>#N/A N/A</v>
        <stp/>
        <stp>BDH|1967372875772396551</stp>
        <tr r="J17" s="2"/>
      </tp>
      <tp t="s">
        <v>#N/A N/A</v>
        <stp/>
        <stp>BDH|9040701313614979978</stp>
        <tr r="M13" s="9"/>
      </tp>
      <tp t="s">
        <v>#N/A N/A</v>
        <stp/>
        <stp>BDH|7712461534700638215</stp>
        <tr r="I16" s="5"/>
      </tp>
      <tp t="s">
        <v>#N/A N/A</v>
        <stp/>
        <stp>BDH|5192145404054077239</stp>
        <tr r="E16" s="6"/>
      </tp>
      <tp t="s">
        <v>#N/A N/A</v>
        <stp/>
        <stp>BDH|7660468204843448225</stp>
        <tr r="H8" s="12"/>
      </tp>
      <tp t="s">
        <v>#N/A N/A</v>
        <stp/>
        <stp>BDH|4370343323653660408</stp>
        <tr r="K14" s="11"/>
      </tp>
      <tp t="s">
        <v>#N/A N/A</v>
        <stp/>
        <stp>BDH|2547668187657529937</stp>
        <tr r="M14" s="2"/>
      </tp>
      <tp t="s">
        <v>#N/A N/A</v>
        <stp/>
        <stp>BDH|5523652930035262717</stp>
        <tr r="M14" s="13"/>
      </tp>
      <tp t="s">
        <v>#N/A N/A</v>
        <stp/>
        <stp>BDH|4262642202640251055</stp>
        <tr r="F16" s="9"/>
      </tp>
      <tp t="s">
        <v>#N/A N/A</v>
        <stp/>
        <stp>BDH|7361585447006812270</stp>
        <tr r="C7" s="7"/>
      </tp>
      <tp t="s">
        <v>#N/A N/A</v>
        <stp/>
        <stp>BDH|5651191877158930923</stp>
        <tr r="I16" s="11"/>
      </tp>
      <tp t="s">
        <v>#N/A N/A</v>
        <stp/>
        <stp>BDH|9548691992554422094</stp>
        <tr r="H14" s="8"/>
      </tp>
      <tp t="s">
        <v>#N/A N/A</v>
        <stp/>
        <stp>BDH|9047093182291899235</stp>
        <tr r="R8" s="13"/>
      </tp>
      <tp t="s">
        <v>#N/A N/A</v>
        <stp/>
        <stp>BDH|7335614164906659306</stp>
        <tr r="E17" s="4"/>
      </tp>
      <tp t="s">
        <v>#N/A N/A</v>
        <stp/>
        <stp>BDH|8565204514730913997</stp>
        <tr r="D8" s="2"/>
      </tp>
      <tp t="s">
        <v>#N/A N/A</v>
        <stp/>
        <stp>BDH|9382645006748214528</stp>
        <tr r="I20" s="13"/>
      </tp>
      <tp t="s">
        <v>#N/A N/A</v>
        <stp/>
        <stp>BDH|6839656824023929311</stp>
        <tr r="K7" s="13"/>
      </tp>
      <tp t="s">
        <v>#N/A N/A</v>
        <stp/>
        <stp>BDH|6829225308387194127</stp>
        <tr r="N9" s="9"/>
      </tp>
      <tp t="s">
        <v>#N/A N/A</v>
        <stp/>
        <stp>BDH|3120697248936048515</stp>
        <tr r="D14" s="2"/>
      </tp>
      <tp t="s">
        <v>#N/A N/A</v>
        <stp/>
        <stp>BDH|2667760228064006198</stp>
        <tr r="D16" s="4"/>
      </tp>
      <tp t="s">
        <v>#N/A N/A</v>
        <stp/>
        <stp>BDH|4716614344395454103</stp>
        <tr r="L13" s="7"/>
      </tp>
      <tp t="s">
        <v>#N/A N/A</v>
        <stp/>
        <stp>BDH|4225252421667057101</stp>
        <tr r="L19" s="2"/>
      </tp>
      <tp t="s">
        <v>#N/A N/A</v>
        <stp/>
        <stp>BDH|5852563606413808166</stp>
        <tr r="P13" s="9"/>
      </tp>
      <tp t="s">
        <v>#N/A N/A</v>
        <stp/>
        <stp>BDH|1701308824527349562</stp>
        <tr r="G18" s="10"/>
      </tp>
      <tp t="s">
        <v>#N/A N/A</v>
        <stp/>
        <stp>BDH|8000235981086693623</stp>
        <tr r="M21" s="8"/>
      </tp>
      <tp t="s">
        <v>#N/A N/A</v>
        <stp/>
        <stp>BDH|2305820706481656965</stp>
        <tr r="F17" s="13"/>
      </tp>
      <tp t="s">
        <v>#N/A N/A</v>
        <stp/>
        <stp>BDH|9449775901934639830</stp>
        <tr r="R8" s="7"/>
      </tp>
      <tp t="s">
        <v>#N/A N/A</v>
        <stp/>
        <stp>BDH|3377179968535182392</stp>
        <tr r="L15" s="9"/>
      </tp>
      <tp t="s">
        <v>#N/A N/A</v>
        <stp/>
        <stp>BDH|4446639076607778029</stp>
        <tr r="G10" s="3"/>
      </tp>
      <tp t="s">
        <v>#N/A N/A</v>
        <stp/>
        <stp>BDH|6009318983299564637</stp>
        <tr r="I12" s="9"/>
      </tp>
      <tp t="s">
        <v>#N/A N/A</v>
        <stp/>
        <stp>BDH|4135248995959264468</stp>
        <tr r="O15" s="4"/>
      </tp>
      <tp t="s">
        <v>#N/A N/A</v>
        <stp/>
        <stp>BDH|4076019873216693715</stp>
        <tr r="G13" s="2"/>
      </tp>
      <tp t="s">
        <v>#N/A N/A</v>
        <stp/>
        <stp>BDH|6249257015160597728</stp>
        <tr r="M12" s="5"/>
      </tp>
      <tp t="s">
        <v>#N/A N/A</v>
        <stp/>
        <stp>BDH|1007776739050205793</stp>
        <tr r="O16" s="6"/>
      </tp>
      <tp t="s">
        <v>#N/A N/A</v>
        <stp/>
        <stp>BDH|2707047071680705707</stp>
        <tr r="Q6" s="5"/>
      </tp>
      <tp t="s">
        <v>#N/A N/A</v>
        <stp/>
        <stp>BDH|4799963620275055845</stp>
        <tr r="F12" s="8"/>
      </tp>
      <tp t="s">
        <v>#N/A N/A</v>
        <stp/>
        <stp>BDH|4998385956189277906</stp>
        <tr r="N12" s="3"/>
      </tp>
      <tp t="s">
        <v>#N/A N/A</v>
        <stp/>
        <stp>BDH|64601205729706025</stp>
        <tr r="N8" s="3"/>
      </tp>
      <tp t="s">
        <v>#N/A N/A</v>
        <stp/>
        <stp>BDH|78858603403363496</stp>
        <tr r="D18" s="2"/>
      </tp>
      <tp t="s">
        <v>#N/A N/A</v>
        <stp/>
        <stp>BDH|7209519326261732289</stp>
        <tr r="K20" s="3"/>
      </tp>
      <tp t="s">
        <v>#N/A N/A</v>
        <stp/>
        <stp>BDH|1775537269850066177</stp>
        <tr r="I8" s="9"/>
      </tp>
      <tp t="s">
        <v>#N/A N/A</v>
        <stp/>
        <stp>BDH|1622941303723356890</stp>
        <tr r="H17" s="12"/>
      </tp>
      <tp t="s">
        <v>#N/A N/A</v>
        <stp/>
        <stp>BDH|3149222011473128080</stp>
        <tr r="G23" s="12"/>
      </tp>
      <tp t="s">
        <v>#N/A N/A</v>
        <stp/>
        <stp>BDH|1484483933844220162</stp>
        <tr r="E13" s="12"/>
      </tp>
      <tp t="s">
        <v>#N/A N/A</v>
        <stp/>
        <stp>BDH|8149052928098184165</stp>
        <tr r="M7" s="12"/>
      </tp>
      <tp t="s">
        <v>#N/A N/A</v>
        <stp/>
        <stp>BDH|7909483245207556395</stp>
        <tr r="I14" s="5"/>
      </tp>
      <tp t="s">
        <v>#N/A N/A</v>
        <stp/>
        <stp>BDH|4016300356929730892</stp>
        <tr r="G15" s="8"/>
      </tp>
      <tp t="s">
        <v>#N/A N/A</v>
        <stp/>
        <stp>BDH|5791129000273827458</stp>
        <tr r="C7" s="6"/>
      </tp>
      <tp t="s">
        <v>#N/A N/A</v>
        <stp/>
        <stp>BDH|6381066446691822034</stp>
        <tr r="J14" s="2"/>
      </tp>
      <tp t="s">
        <v>#N/A N/A</v>
        <stp/>
        <stp>BDH|4829262679714640680</stp>
        <tr r="Q8" s="12"/>
      </tp>
      <tp t="s">
        <v>#N/A N/A</v>
        <stp/>
        <stp>BDH|5720990236248700464</stp>
        <tr r="K7" s="3"/>
      </tp>
      <tp t="s">
        <v>#N/A N/A</v>
        <stp/>
        <stp>BDH|2638241123718858906</stp>
        <tr r="F8" s="13"/>
      </tp>
      <tp t="s">
        <v>#N/A N/A</v>
        <stp/>
        <stp>BDH|5609492009150820279</stp>
        <tr r="M22" s="11"/>
      </tp>
      <tp t="s">
        <v>#N/A N/A</v>
        <stp/>
        <stp>BDH|6734680102077786437</stp>
        <tr r="F25" s="2"/>
      </tp>
      <tp t="s">
        <v>#N/A N/A</v>
        <stp/>
        <stp>BDH|7398938373308442293</stp>
        <tr r="O8" s="8"/>
      </tp>
      <tp t="s">
        <v>#N/A N/A</v>
        <stp/>
        <stp>BDH|3981504282238463511</stp>
        <tr r="O12" s="13"/>
      </tp>
      <tp t="s">
        <v>#N/A N/A</v>
        <stp/>
        <stp>BDH|1023362003696288792</stp>
        <tr r="J9" s="11"/>
      </tp>
      <tp t="s">
        <v>#N/A N/A</v>
        <stp/>
        <stp>BDH|4351939594002304593</stp>
        <tr r="I15" s="4"/>
      </tp>
      <tp t="s">
        <v>#N/A N/A</v>
        <stp/>
        <stp>BDH|7649598417282583227</stp>
        <tr r="F18" s="12"/>
      </tp>
      <tp t="s">
        <v>#N/A N/A</v>
        <stp/>
        <stp>BDH|9647507989063227421</stp>
        <tr r="G19" s="10"/>
      </tp>
      <tp t="s">
        <v>#N/A N/A</v>
        <stp/>
        <stp>BDH|2244487116074277012</stp>
        <tr r="P17" s="4"/>
      </tp>
      <tp t="s">
        <v>#N/A N/A</v>
        <stp/>
        <stp>BDH|4687482964954794123</stp>
        <tr r="H20" s="3"/>
      </tp>
      <tp t="s">
        <v>#N/A N/A</v>
        <stp/>
        <stp>BDH|8586498746832749925</stp>
        <tr r="G15" s="9"/>
      </tp>
      <tp t="s">
        <v>#N/A N/A</v>
        <stp/>
        <stp>BDH|8183031660124961946</stp>
        <tr r="K17" s="8"/>
      </tp>
      <tp t="s">
        <v>#N/A N/A</v>
        <stp/>
        <stp>BDH|3309359780089073294</stp>
        <tr r="C20" s="9"/>
      </tp>
      <tp t="s">
        <v>#N/A N/A</v>
        <stp/>
        <stp>BDH|6247742918063211038</stp>
        <tr r="J17" s="8"/>
      </tp>
      <tp t="s">
        <v>#N/A N/A</v>
        <stp/>
        <stp>BDH|4866596369724483031</stp>
        <tr r="L13" s="13"/>
      </tp>
      <tp t="s">
        <v>#N/A N/A</v>
        <stp/>
        <stp>BDH|5872329630033787516</stp>
        <tr r="C12" s="3"/>
      </tp>
      <tp t="s">
        <v>#N/A N/A</v>
        <stp/>
        <stp>BDH|9967166493651166314</stp>
        <tr r="H22" s="11"/>
      </tp>
      <tp t="s">
        <v>#N/A N/A</v>
        <stp/>
        <stp>BDH|4346782206345556547</stp>
        <tr r="P18" s="12"/>
      </tp>
      <tp t="s">
        <v>#N/A N/A</v>
        <stp/>
        <stp>BDH|2036211229344098544</stp>
        <tr r="C15" s="2"/>
      </tp>
      <tp t="s">
        <v>#N/A N/A</v>
        <stp/>
        <stp>BDH|8482338498024667558</stp>
        <tr r="E22" s="12"/>
      </tp>
      <tp t="s">
        <v>#N/A N/A</v>
        <stp/>
        <stp>BDH|2414767268763143364</stp>
        <tr r="S20" s="7"/>
      </tp>
      <tp t="s">
        <v>#N/A N/A</v>
        <stp/>
        <stp>BDH|6878044768340163384</stp>
        <tr r="N16" s="5"/>
      </tp>
      <tp t="s">
        <v>#N/A N/A</v>
        <stp/>
        <stp>BDH|6656378449913780127</stp>
        <tr r="O16" s="7"/>
      </tp>
      <tp t="s">
        <v>#N/A N/A</v>
        <stp/>
        <stp>BDH|2183038408984671515</stp>
        <tr r="M13" s="10"/>
      </tp>
      <tp t="s">
        <v>#N/A N/A</v>
        <stp/>
        <stp>BDH|9923660914515125878</stp>
        <tr r="O14" s="13"/>
      </tp>
      <tp t="s">
        <v>#N/A N/A</v>
        <stp/>
        <stp>BDH|7025656608585285726</stp>
        <tr r="C20" s="13"/>
      </tp>
      <tp t="s">
        <v>#N/A N/A</v>
        <stp/>
        <stp>BDH|1851843668638656406</stp>
        <tr r="D13" s="4"/>
      </tp>
      <tp t="s">
        <v>#N/A N/A</v>
        <stp/>
        <stp>BDH|4124997783071851715</stp>
        <tr r="D18" s="5"/>
      </tp>
      <tp t="s">
        <v>#N/A N/A</v>
        <stp/>
        <stp>BDH|6028891489714729152</stp>
        <tr r="N16" s="4"/>
      </tp>
      <tp t="s">
        <v>#N/A N/A</v>
        <stp/>
        <stp>BDH|9158249181928286844</stp>
        <tr r="F7" s="10"/>
      </tp>
      <tp t="s">
        <v>#N/A N/A</v>
        <stp/>
        <stp>BDH|2140228924486136744</stp>
        <tr r="G12" s="5"/>
      </tp>
      <tp t="s">
        <v>#N/A N/A</v>
        <stp/>
        <stp>BDH|2171311057512435502</stp>
        <tr r="H14" s="13"/>
      </tp>
      <tp t="s">
        <v>#N/A N/A</v>
        <stp/>
        <stp>BDH|4015971586526280008</stp>
        <tr r="L9" s="3"/>
      </tp>
      <tp t="s">
        <v>#N/A N/A</v>
        <stp/>
        <stp>BDH|3882794455334077673</stp>
        <tr r="J25" s="5"/>
      </tp>
      <tp t="s">
        <v>#N/A N/A</v>
        <stp/>
        <stp>BDH|4825603812851900107</stp>
        <tr r="J8" s="7"/>
      </tp>
      <tp t="s">
        <v>#N/A N/A</v>
        <stp/>
        <stp>BDH|6937173452000975155</stp>
        <tr r="M12" s="3"/>
      </tp>
      <tp t="s">
        <v>#N/A N/A</v>
        <stp/>
        <stp>BDH|5633583932151428186</stp>
        <tr r="S23" s="6"/>
      </tp>
      <tp t="s">
        <v>#N/A N/A</v>
        <stp/>
        <stp>BDH|9463333195856216603</stp>
        <tr r="C11" s="7"/>
      </tp>
      <tp t="s">
        <v>#N/A N/A</v>
        <stp/>
        <stp>BDH|7238629913325602648</stp>
        <tr r="C20" s="11"/>
      </tp>
      <tp t="s">
        <v>#N/A N/A</v>
        <stp/>
        <stp>BDH|8467822353443217562</stp>
        <tr r="L13" s="8"/>
      </tp>
      <tp t="s">
        <v>#N/A N/A</v>
        <stp/>
        <stp>BDH|3028920553445266925</stp>
        <tr r="C6" s="3"/>
      </tp>
      <tp t="s">
        <v>#N/A N/A</v>
        <stp/>
        <stp>BDH|6520080233760970666</stp>
        <tr r="M10" s="13"/>
      </tp>
      <tp t="s">
        <v>#N/A N/A</v>
        <stp/>
        <stp>BDH|5718334270023087157</stp>
        <tr r="O9" s="5"/>
      </tp>
      <tp t="s">
        <v>#N/A N/A</v>
        <stp/>
        <stp>BDH|4902840282164858369</stp>
        <tr r="I24" s="2"/>
      </tp>
      <tp t="s">
        <v>#N/A N/A</v>
        <stp/>
        <stp>BDH|3339102112884226425</stp>
        <tr r="U14" s="6"/>
      </tp>
      <tp t="s">
        <v>#N/A N/A</v>
        <stp/>
        <stp>BDH|7465201697657450811</stp>
        <tr r="F8" s="7"/>
      </tp>
      <tp t="s">
        <v>#N/A N/A</v>
        <stp/>
        <stp>BDH|6177210022656423305</stp>
        <tr r="S18" s="6"/>
      </tp>
      <tp t="s">
        <v>#N/A N/A</v>
        <stp/>
        <stp>BDH|6577049097998962497</stp>
        <tr r="E23" s="2"/>
      </tp>
      <tp t="s">
        <v>#N/A N/A</v>
        <stp/>
        <stp>BDH|4154429587649348215</stp>
        <tr r="C21" s="5"/>
      </tp>
      <tp t="s">
        <v>#N/A N/A</v>
        <stp/>
        <stp>BDH|9991522147869880221</stp>
        <tr r="H24" s="12"/>
      </tp>
      <tp t="s">
        <v>#N/A N/A</v>
        <stp/>
        <stp>BDH|2990154079683705446</stp>
        <tr r="D8" s="6"/>
      </tp>
      <tp t="s">
        <v>#N/A N/A</v>
        <stp/>
        <stp>BDH|6731704929830877007</stp>
        <tr r="P7" s="5"/>
      </tp>
      <tp t="s">
        <v>#N/A N/A</v>
        <stp/>
        <stp>BDH|9184730781454717130</stp>
        <tr r="Q14" s="12"/>
      </tp>
      <tp t="s">
        <v>#N/A N/A</v>
        <stp/>
        <stp>BDH|4895331953678879975</stp>
        <tr r="E10" s="3"/>
      </tp>
      <tp t="s">
        <v>#N/A N/A</v>
        <stp/>
        <stp>BDH|8536484379069071102</stp>
        <tr r="J8" s="11"/>
      </tp>
      <tp t="s">
        <v>#N/A N/A</v>
        <stp/>
        <stp>BDH|6282767194283460809</stp>
        <tr r="C21" s="3"/>
      </tp>
      <tp t="s">
        <v>#N/A N/A</v>
        <stp/>
        <stp>BDH|3150310005705500646</stp>
        <tr r="D21" s="13"/>
      </tp>
      <tp t="s">
        <v>#N/A N/A</v>
        <stp/>
        <stp>BDH|6656974263412154878</stp>
        <tr r="C14" s="3"/>
      </tp>
      <tp t="s">
        <v>#N/A N/A</v>
        <stp/>
        <stp>BDH|3690511740015433477</stp>
        <tr r="C13" s="9"/>
      </tp>
      <tp t="s">
        <v>#N/A N/A</v>
        <stp/>
        <stp>BDH|8426370973047584815</stp>
        <tr r="C14" s="8"/>
      </tp>
      <tp t="s">
        <v>#N/A N/A</v>
        <stp/>
        <stp>BDH|6277222077097595763</stp>
        <tr r="C9" s="7"/>
      </tp>
      <tp t="s">
        <v>#N/A N/A</v>
        <stp/>
        <stp>BDH|3586655368169412995</stp>
        <tr r="K13" s="11"/>
      </tp>
      <tp t="s">
        <v>#N/A N/A</v>
        <stp/>
        <stp>BDH|6821635029591222058</stp>
        <tr r="E14" s="3"/>
      </tp>
      <tp t="s">
        <v>#N/A N/A</v>
        <stp/>
        <stp>BDH|5146541533625387500</stp>
        <tr r="P14" s="5"/>
      </tp>
      <tp t="s">
        <v>#N/A N/A</v>
        <stp/>
        <stp>BDH|6453373476465094407</stp>
        <tr r="K18" s="10"/>
      </tp>
      <tp t="s">
        <v>#N/A N/A</v>
        <stp/>
        <stp>BDH|3335884000999828162</stp>
        <tr r="Q13" s="13"/>
      </tp>
      <tp t="s">
        <v>#N/A N/A</v>
        <stp/>
        <stp>BDH|4304477221215938498</stp>
        <tr r="N23" s="2"/>
      </tp>
    </main>
    <main first="bofaddin.rtdserver">
      <tp t="s">
        <v>#N/A N/A</v>
        <stp/>
        <stp>BDH|286017364005392693</stp>
        <tr r="G16" s="2"/>
      </tp>
      <tp t="s">
        <v>#N/A N/A</v>
        <stp/>
        <stp>BDH|565284904893078467</stp>
        <tr r="D13" s="8"/>
      </tp>
      <tp t="s">
        <v>#N/A N/A</v>
        <stp/>
        <stp>BDH|297905790974214146</stp>
        <tr r="L23" s="10"/>
      </tp>
      <tp t="s">
        <v>#N/A N/A</v>
        <stp/>
        <stp>BDH|173287333587609397</stp>
        <tr r="C20" s="5"/>
      </tp>
      <tp t="s">
        <v>#N/A N/A</v>
        <stp/>
        <stp>BDH|649676219725864769</stp>
        <tr r="C8" s="4"/>
      </tp>
      <tp t="s">
        <v>#N/A N/A</v>
        <stp/>
        <stp>BDH|708467814730600041</stp>
        <tr r="L12" s="6"/>
      </tp>
      <tp t="s">
        <v>#N/A N/A</v>
        <stp/>
        <stp>BDH|192319633747560214</stp>
        <tr r="H8" s="2"/>
      </tp>
      <tp t="s">
        <v>#N/A N/A</v>
        <stp/>
        <stp>BDH|196865889177978270</stp>
        <tr r="D24" s="12"/>
      </tp>
      <tp t="s">
        <v>#N/A N/A</v>
        <stp/>
        <stp>BDH|708059132233093513</stp>
        <tr r="R18" s="4"/>
      </tp>
      <tp t="s">
        <v>#N/A N/A</v>
        <stp/>
        <stp>BDH|333634102955348630</stp>
        <tr r="C12" s="6"/>
      </tp>
      <tp t="s">
        <v>#N/A N/A</v>
        <stp/>
        <stp>BDH|420450706276066753</stp>
        <tr r="N20" s="9"/>
      </tp>
      <tp t="s">
        <v>#N/A N/A</v>
        <stp/>
        <stp>BDH|683183426512634535</stp>
        <tr r="L7" s="10"/>
      </tp>
      <tp t="s">
        <v>#N/A N/A</v>
        <stp/>
        <stp>BDH|650762752381447792</stp>
        <tr r="H16" s="7"/>
      </tp>
      <tp t="s">
        <v>#N/A N/A</v>
        <stp/>
        <stp>BDH|508670574822964759</stp>
        <tr r="E16" s="13"/>
      </tp>
      <tp t="s">
        <v>#N/A N/A</v>
        <stp/>
        <stp>BDH|301812181535579155</stp>
        <tr r="I17" s="5"/>
      </tp>
      <tp t="s">
        <v>#N/A N/A</v>
        <stp/>
        <stp>BDH|976749547016577234</stp>
        <tr r="O18" s="13"/>
      </tp>
      <tp t="s">
        <v>#N/A N/A</v>
        <stp/>
        <stp>BDH|219362543334967434</stp>
        <tr r="K20" s="9"/>
      </tp>
      <tp t="s">
        <v>#N/A N/A</v>
        <stp/>
        <stp>BDH|259419181352524923</stp>
        <tr r="E20" s="7"/>
      </tp>
      <tp t="s">
        <v>#N/A N/A</v>
        <stp/>
        <stp>BDH|922157908921125756</stp>
        <tr r="F18" s="10"/>
      </tp>
      <tp t="s">
        <v>#N/A N/A</v>
        <stp/>
        <stp>BDH|535828826489267417</stp>
        <tr r="M14" s="3"/>
      </tp>
      <tp t="s">
        <v>#N/A N/A</v>
        <stp/>
        <stp>BDH|181763672725995303</stp>
        <tr r="J17" s="3"/>
      </tp>
      <tp t="s">
        <v>#N/A N/A</v>
        <stp/>
        <stp>BDH|264080962017349769</stp>
        <tr r="L8" s="6"/>
      </tp>
      <tp t="s">
        <v>#N/A N/A</v>
        <stp/>
        <stp>BDH|875285423403964574</stp>
        <tr r="S12" s="7"/>
      </tp>
      <tp t="s">
        <v>#N/A N/A</v>
        <stp/>
        <stp>BDH|247011159097144440</stp>
        <tr r="E17" s="7"/>
      </tp>
      <tp t="s">
        <v>#N/A N/A</v>
        <stp/>
        <stp>BDH|566659447356821265</stp>
        <tr r="N7" s="3"/>
      </tp>
      <tp t="s">
        <v>#N/A N/A</v>
        <stp/>
        <stp>BDH|689667971604904319</stp>
        <tr r="S22" s="6"/>
      </tp>
      <tp t="s">
        <v>#N/A N/A</v>
        <stp/>
        <stp>BDH|654144358812059013</stp>
        <tr r="C19" s="12"/>
      </tp>
      <tp t="s">
        <v>#N/A N/A</v>
        <stp/>
        <stp>BDH|900443399769220215</stp>
        <tr r="L24" s="10"/>
      </tp>
      <tp t="s">
        <v>#N/A N/A</v>
        <stp/>
        <stp>BDH|551231573326334511</stp>
        <tr r="R23" s="6"/>
      </tp>
      <tp t="s">
        <v>#N/A N/A</v>
        <stp/>
        <stp>BDH|633619827910070228</stp>
        <tr r="L8" s="9"/>
      </tp>
      <tp t="s">
        <v>#N/A N/A</v>
        <stp/>
        <stp>BDH|759487576851403335</stp>
        <tr r="P12" s="7"/>
      </tp>
      <tp t="s">
        <v>#N/A N/A</v>
        <stp/>
        <stp>BDH|335550068701232323</stp>
        <tr r="N18" s="6"/>
      </tp>
      <tp t="s">
        <v>#N/A N/A</v>
        <stp/>
        <stp>BDH|126321698098241373</stp>
        <tr r="K20" s="5"/>
      </tp>
      <tp t="s">
        <v>#N/A N/A</v>
        <stp/>
        <stp>BDH|603219485569906230</stp>
        <tr r="J12" s="6"/>
      </tp>
      <tp t="s">
        <v>#N/A N/A</v>
        <stp/>
        <stp>BDH|386290584393455829</stp>
        <tr r="L7" s="6"/>
      </tp>
      <tp t="s">
        <v>#N/A N/A</v>
        <stp/>
        <stp>BDH|169109211239085896</stp>
        <tr r="E23" s="12"/>
      </tp>
      <tp t="s">
        <v>#N/A N/A</v>
        <stp/>
        <stp>BDH|981493666717629442</stp>
        <tr r="C19" s="2"/>
      </tp>
      <tp t="s">
        <v>#N/A N/A</v>
        <stp/>
        <stp>BDH|767330201333050107</stp>
        <tr r="J18" s="12"/>
      </tp>
      <tp t="s">
        <v>#N/A N/A</v>
        <stp/>
        <stp>BDH|997549743955852514</stp>
        <tr r="T15" s="7"/>
      </tp>
      <tp t="s">
        <v>#N/A N/A</v>
        <stp/>
        <stp>BDH|752720247857771567</stp>
        <tr r="K13" s="2"/>
      </tp>
      <tp t="s">
        <v>#N/A N/A</v>
        <stp/>
        <stp>BDH|488290114745529616</stp>
        <tr r="E8" s="6"/>
      </tp>
      <tp t="s">
        <v>#N/A N/A</v>
        <stp/>
        <stp>BDH|544190457551378559</stp>
        <tr r="L12" s="5"/>
      </tp>
      <tp t="s">
        <v>#N/A N/A</v>
        <stp/>
        <stp>BDH|778423657536969751</stp>
        <tr r="N15" s="9"/>
      </tp>
      <tp t="s">
        <v>#N/A N/A</v>
        <stp/>
        <stp>BDH|980690669112724266</stp>
        <tr r="O10" s="13"/>
      </tp>
      <tp t="s">
        <v>#N/A N/A</v>
        <stp/>
        <stp>BDH|628490896315630851</stp>
        <tr r="K9" s="12"/>
      </tp>
      <tp t="s">
        <v>#N/A N/A</v>
        <stp/>
        <stp>BDH|631396955830219632</stp>
        <tr r="F13" s="12"/>
      </tp>
      <tp t="s">
        <v>#N/A N/A</v>
        <stp/>
        <stp>BDH|553706112634400269</stp>
        <tr r="H10" s="2"/>
      </tp>
      <tp t="s">
        <v>#N/A N/A</v>
        <stp/>
        <stp>BDH|527035886340147843</stp>
        <tr r="M8" s="4"/>
      </tp>
      <tp t="s">
        <v>#N/A N/A</v>
        <stp/>
        <stp>BDH|476548154083438366</stp>
        <tr r="Q9" s="13"/>
      </tp>
      <tp t="s">
        <v>#N/A N/A</v>
        <stp/>
        <stp>BDH|175809981389749968</stp>
        <tr r="J9" s="8"/>
      </tp>
      <tp t="s">
        <v>#N/A N/A</v>
        <stp/>
        <stp>BDH|902988591976300624</stp>
        <tr r="M12" s="6"/>
      </tp>
      <tp t="s">
        <v>#N/A N/A</v>
        <stp/>
        <stp>BDH|274297936587846661</stp>
        <tr r="M6" s="3"/>
      </tp>
      <tp t="s">
        <v>#N/A N/A</v>
        <stp/>
        <stp>BDH|121493705803682470</stp>
        <tr r="G18" s="2"/>
      </tp>
      <tp t="s">
        <v>#N/A N/A</v>
        <stp/>
        <stp>BDH|468521859721190260</stp>
        <tr r="D16" s="9"/>
      </tp>
      <tp t="s">
        <v>#N/A N/A</v>
        <stp/>
        <stp>BDH|599116222704801480</stp>
        <tr r="I21" s="3"/>
      </tp>
      <tp t="s">
        <v>#N/A N/A</v>
        <stp/>
        <stp>BDH|722722424222709400</stp>
        <tr r="N10" s="2"/>
      </tp>
      <tp t="s">
        <v>#N/A N/A</v>
        <stp/>
        <stp>BDH|977287212298170842</stp>
        <tr r="G18" s="13"/>
      </tp>
      <tp t="s">
        <v>#N/A N/A</v>
        <stp/>
        <stp>BDH|232337668743897506</stp>
        <tr r="I15" s="10"/>
      </tp>
      <tp t="s">
        <v>#N/A N/A</v>
        <stp/>
        <stp>BDH|254713287754266875</stp>
        <tr r="E19" s="4"/>
      </tp>
      <tp t="s">
        <v>#N/A N/A</v>
        <stp/>
        <stp>BDH|259156479270508477</stp>
        <tr r="N18" s="5"/>
      </tp>
      <tp t="s">
        <v>#N/A N/A</v>
        <stp/>
        <stp>BDH|860757687788541561</stp>
        <tr r="G8" s="13"/>
      </tp>
      <tp t="s">
        <v>#N/A N/A</v>
        <stp/>
        <stp>BDH|984068866584677046</stp>
        <tr r="E21" s="11"/>
      </tp>
      <tp t="s">
        <v>#N/A N/A</v>
        <stp/>
        <stp>BDH|921162220228690989</stp>
        <tr r="N9" s="7"/>
      </tp>
      <tp t="s">
        <v>#N/A N/A</v>
        <stp/>
        <stp>BDH|355549869236308809</stp>
        <tr r="R7" s="7"/>
      </tp>
      <tp t="s">
        <v>#N/A N/A</v>
        <stp/>
        <stp>BDH|614731613059898272</stp>
        <tr r="H15" s="4"/>
      </tp>
      <tp t="s">
        <v>#N/A N/A</v>
        <stp/>
        <stp>BDH|363912519902389713</stp>
        <tr r="L21" s="6"/>
      </tp>
      <tp t="s">
        <v>#N/A N/A</v>
        <stp/>
        <stp>BDH|684558405038275024</stp>
        <tr r="M23" s="2"/>
      </tp>
      <tp t="s">
        <v>#N/A N/A</v>
        <stp/>
        <stp>BDH|338229763298039135</stp>
        <tr r="O22" s="5"/>
      </tp>
      <tp t="s">
        <v>#N/A N/A</v>
        <stp/>
        <stp>BDH|520115284127915384</stp>
        <tr r="E14" s="6"/>
      </tp>
      <tp t="s">
        <v>#N/A N/A</v>
        <stp/>
        <stp>BDH|187921707783373697</stp>
        <tr r="F7" s="11"/>
      </tp>
      <tp t="s">
        <v>#N/A N/A</v>
        <stp/>
        <stp>BDH|674316226485220887</stp>
        <tr r="F17" s="2"/>
      </tp>
      <tp t="s">
        <v>#N/A N/A</v>
        <stp/>
        <stp>BDH|642859914241045429</stp>
        <tr r="L13" s="9"/>
      </tp>
      <tp t="s">
        <v>#N/A N/A</v>
        <stp/>
        <stp>BDH|213604625371469902</stp>
        <tr r="H17" s="11"/>
      </tp>
      <tp t="s">
        <v>#N/A N/A</v>
        <stp/>
        <stp>BDH|953575878475942830</stp>
        <tr r="F22" s="6"/>
      </tp>
      <tp t="s">
        <v>#N/A N/A</v>
        <stp/>
        <stp>BDH|477189242473300905</stp>
        <tr r="M13" s="3"/>
      </tp>
      <tp t="s">
        <v>#N/A N/A</v>
        <stp/>
        <stp>BDH|495695264818161772</stp>
        <tr r="O7" s="7"/>
      </tp>
      <tp t="s">
        <v>#N/A N/A</v>
        <stp/>
        <stp>BDH|594077878661259913</stp>
        <tr r="R20" s="5"/>
      </tp>
      <tp t="s">
        <v>#N/A N/A</v>
        <stp/>
        <stp>BDH|495845262283855202</stp>
        <tr r="I7" s="12"/>
      </tp>
      <tp t="s">
        <v>#N/A N/A</v>
        <stp/>
        <stp>BDH|407773020979040383</stp>
        <tr r="D24" s="10"/>
      </tp>
      <tp t="s">
        <v>#N/A N/A</v>
        <stp/>
        <stp>BDH|649919774149596868</stp>
        <tr r="I22" s="4"/>
      </tp>
      <tp t="s">
        <v>#N/A N/A</v>
        <stp/>
        <stp>BDH|176644378428158706</stp>
        <tr r="I6" s="11"/>
      </tp>
      <tp t="s">
        <v>#N/A N/A</v>
        <stp/>
        <stp>BDH|694961166374944524</stp>
        <tr r="N20" s="8"/>
      </tp>
      <tp t="s">
        <v>#N/A N/A</v>
        <stp/>
        <stp>BDH|130273013199968471</stp>
        <tr r="C9" s="2"/>
      </tp>
      <tp t="s">
        <v>#N/A N/A</v>
        <stp/>
        <stp>BDH|165070327435538940</stp>
        <tr r="G21" s="6"/>
      </tp>
      <tp t="s">
        <v>#N/A N/A</v>
        <stp/>
        <stp>BDH|764529298562755093</stp>
        <tr r="D18" s="13"/>
      </tp>
      <tp t="s">
        <v>#N/A N/A</v>
        <stp/>
        <stp>BDH|561332569568288471</stp>
        <tr r="H7" s="6"/>
      </tp>
      <tp t="s">
        <v>#N/A N/A</v>
        <stp/>
        <stp>BDH|928175717610843955</stp>
        <tr r="I7" s="2"/>
      </tp>
      <tp t="s">
        <v>#N/A N/A</v>
        <stp/>
        <stp>BDH|324518235799442632</stp>
        <tr r="K19" s="4"/>
      </tp>
      <tp t="s">
        <v>#N/A N/A</v>
        <stp/>
        <stp>BDH|296740915079177600</stp>
        <tr r="J7" s="11"/>
      </tp>
      <tp t="s">
        <v>#N/A N/A</v>
        <stp/>
        <stp>BDH|831619099404417382</stp>
        <tr r="L12" s="11"/>
      </tp>
      <tp t="s">
        <v>#N/A N/A</v>
        <stp/>
        <stp>BDH|514565334439363780</stp>
        <tr r="G18" s="3"/>
      </tp>
      <tp t="s">
        <v>#N/A N/A</v>
        <stp/>
        <stp>BDH|296891133702639134</stp>
        <tr r="D17" s="8"/>
      </tp>
      <tp t="s">
        <v>#N/A N/A</v>
        <stp/>
        <stp>BDH|293087788902764287</stp>
        <tr r="P9" s="7"/>
      </tp>
      <tp t="s">
        <v>#N/A N/A</v>
        <stp/>
        <stp>BDH|806266672175326856</stp>
        <tr r="I9" s="4"/>
      </tp>
      <tp t="s">
        <v>#N/A N/A</v>
        <stp/>
        <stp>BDH|711880236256910567</stp>
        <tr r="C12" s="5"/>
      </tp>
      <tp t="s">
        <v>#N/A N/A</v>
        <stp/>
        <stp>BDH|500665980276559066</stp>
        <tr r="K9" s="10"/>
      </tp>
      <tp t="s">
        <v>#N/A N/A</v>
        <stp/>
        <stp>BDH|967502584315404088</stp>
        <tr r="N8" s="7"/>
      </tp>
      <tp t="s">
        <v>#N/A N/A</v>
        <stp/>
        <stp>BDH|741804490660397971</stp>
        <tr r="O20" s="8"/>
      </tp>
      <tp t="s">
        <v>#N/A N/A</v>
        <stp/>
        <stp>BDH|131131100309572043</stp>
        <tr r="H15" s="6"/>
      </tp>
      <tp t="s">
        <v>#N/A N/A</v>
        <stp/>
        <stp>BDH|252781900545736937</stp>
        <tr r="M16" s="13"/>
      </tp>
      <tp t="s">
        <v>#N/A N/A</v>
        <stp/>
        <stp>BDH|261332438399410254</stp>
        <tr r="P16" s="8"/>
      </tp>
      <tp t="s">
        <v>#N/A N/A</v>
        <stp/>
        <stp>BDH|300598596960592700</stp>
        <tr r="M18" s="10"/>
      </tp>
      <tp t="s">
        <v>#N/A N/A</v>
        <stp/>
        <stp>BDH|934566638005932845</stp>
        <tr r="J7" s="5"/>
      </tp>
      <tp t="s">
        <v>#N/A N/A</v>
        <stp/>
        <stp>BDH|272816579323657786</stp>
        <tr r="D17" s="10"/>
      </tp>
      <tp t="s">
        <v>#N/A N/A</v>
        <stp/>
        <stp>BDH|659294893269001994</stp>
        <tr r="C8" s="13"/>
      </tp>
      <tp t="s">
        <v>#N/A N/A</v>
        <stp/>
        <stp>BDH|544970928972575322</stp>
        <tr r="J8" s="10"/>
      </tp>
      <tp t="s">
        <v>#N/A N/A</v>
        <stp/>
        <stp>BDH|932977825539189822</stp>
        <tr r="H8" s="7"/>
      </tp>
      <tp t="s">
        <v>#N/A N/A</v>
        <stp/>
        <stp>BDH|810578639195780981</stp>
        <tr r="D23" s="10"/>
      </tp>
      <tp t="s">
        <v>#N/A N/A</v>
        <stp/>
        <stp>BDH|583159895386782482</stp>
        <tr r="P12" s="13"/>
      </tp>
      <tp t="s">
        <v>#N/A N/A</v>
        <stp/>
        <stp>BDH|444323087296574717</stp>
        <tr r="H18" s="3"/>
      </tp>
      <tp t="s">
        <v>#N/A N/A</v>
        <stp/>
        <stp>BDH|154888245500800638</stp>
        <tr r="E13" s="2"/>
      </tp>
      <tp t="s">
        <v>#N/A N/A</v>
        <stp/>
        <stp>BDH|147845700288179</stp>
        <tr r="K16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A31" sqref="A31"/>
    </sheetView>
  </sheetViews>
  <sheetFormatPr defaultRowHeight="15.75" x14ac:dyDescent="0.25"/>
  <cols>
    <col min="1" max="1" width="35.140625" customWidth="1"/>
    <col min="2" max="2" width="0" hidden="1" customWidth="1"/>
    <col min="3" max="14" width="11.85546875" customWidth="1"/>
  </cols>
  <sheetData>
    <row r="1" spans="1:14" ht="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20.25" x14ac:dyDescent="0.25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" x14ac:dyDescent="0.25">
      <c r="A4" s="9" t="s">
        <v>3</v>
      </c>
      <c r="B4" s="9"/>
      <c r="C4" s="10" t="s">
        <v>4</v>
      </c>
      <c r="D4" s="10" t="s">
        <v>5</v>
      </c>
      <c r="E4" s="10" t="s">
        <v>6</v>
      </c>
      <c r="F4" s="10" t="s">
        <v>1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</row>
    <row r="5" spans="1:14" ht="15" x14ac:dyDescent="0.25">
      <c r="A5" s="15" t="s">
        <v>15</v>
      </c>
      <c r="B5" s="15"/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  <c r="H5" s="11" t="s">
        <v>21</v>
      </c>
      <c r="I5" s="11" t="s">
        <v>22</v>
      </c>
      <c r="J5" s="11" t="s">
        <v>23</v>
      </c>
      <c r="K5" s="11" t="s">
        <v>24</v>
      </c>
      <c r="L5" s="11" t="s">
        <v>25</v>
      </c>
      <c r="M5" s="11" t="s">
        <v>26</v>
      </c>
      <c r="N5" s="11" t="s">
        <v>27</v>
      </c>
    </row>
    <row r="6" spans="1:14" ht="15" x14ac:dyDescent="0.25">
      <c r="A6" s="1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ht="15" x14ac:dyDescent="0.25">
      <c r="A7" s="16" t="s">
        <v>29</v>
      </c>
      <c r="B7" s="16" t="s">
        <v>30</v>
      </c>
      <c r="C7" s="18" t="str">
        <f>_xll.BDH("SCS IN Equity","RETURN_COM_EQY","FY 2002","FY 2002","Currency=INR","Period=FY","BEST_FPERIOD_OVERRIDE=FY","FILING_STATUS=MR","EQY_CONSOLIDATED=Y","FA_ADJUSTED=GAAP","Sort=A","Dates=H","DateFormat=P","Fill=—","Direction=H","UseDPDF=Y")</f>
        <v>—</v>
      </c>
      <c r="D7" s="18">
        <f>_xll.BDH("SCS IN Equity","RETURN_COM_EQY","FY 2003","FY 2003","Currency=INR","Period=FY","BEST_FPERIOD_OVERRIDE=FY","FILING_STATUS=MR","EQY_CONSOLIDATED=Y","FA_ADJUSTED=GAAP","Sort=A","Dates=H","DateFormat=P","Fill=—","Direction=H","UseDPDF=Y")</f>
        <v>16.657499999999999</v>
      </c>
      <c r="E7" s="18">
        <f>_xll.BDH("SCS IN Equity","RETURN_COM_EQY","FY 2004","FY 2004","Currency=INR","Period=FY","BEST_FPERIOD_OVERRIDE=FY","FILING_STATUS=MR","EQY_CONSOLIDATED=Y","FA_ADJUSTED=GAAP","Sort=A","Dates=H","DateFormat=P","Fill=—","Direction=H","UseDPDF=Y")</f>
        <v>21.162099999999999</v>
      </c>
      <c r="F7" s="18">
        <f>_xll.BDH("SCS IN Equity","RETURN_COM_EQY","FY 2005","FY 2005","Currency=INR","Period=FY","BEST_FPERIOD_OVERRIDE=FY","FILING_STATUS=MR","EQY_CONSOLIDATED=Y","FA_ADJUSTED=GAAP","Sort=A","Dates=H","DateFormat=P","Fill=—","Direction=H","UseDPDF=Y")</f>
        <v>24.2849</v>
      </c>
      <c r="G7" s="18">
        <f>_xll.BDH("SCS IN Equity","RETURN_COM_EQY","FY 2006","FY 2006","Currency=INR","Period=FY","BEST_FPERIOD_OVERRIDE=FY","FILING_STATUS=MR","EQY_CONSOLIDATED=Y","FA_ADJUSTED=GAAP","Sort=A","Dates=H","DateFormat=P","Fill=—","Direction=H","UseDPDF=Y")</f>
        <v>30.719100000000001</v>
      </c>
      <c r="H7" s="18">
        <f>_xll.BDH("SCS IN Equity","RETURN_COM_EQY","FY 2007","FY 2007","Currency=INR","Period=FY","BEST_FPERIOD_OVERRIDE=FY","FILING_STATUS=MR","EQY_CONSOLIDATED=Y","FA_ADJUSTED=GAAP","Sort=A","Dates=H","DateFormat=P","Fill=—","Direction=H","UseDPDF=Y")</f>
        <v>28.154399999999999</v>
      </c>
      <c r="I7" s="18">
        <f>_xll.BDH("SCS IN Equity","RETURN_COM_EQY","FY 2008","FY 2008","Currency=INR","Period=FY","BEST_FPERIOD_OVERRIDE=FY","FILING_STATUS=MR","EQY_CONSOLIDATED=Y","FA_ADJUSTED=GAAP","Sort=A","Dates=H","DateFormat=P","Fill=—","Direction=H","UseDPDF=Y")</f>
        <v>25.983899999999998</v>
      </c>
      <c r="J7" s="18">
        <f>_xll.BDH("SCS IN Equity","RETURN_COM_EQY","FY 2009","FY 2009","Currency=INR","Period=FY","BEST_FPERIOD_OVERRIDE=FY","FILING_STATUS=MR","EQY_CONSOLIDATED=Y","FA_ADJUSTED=GAAP","Sort=A","Dates=H","DateFormat=P","Fill=—","Direction=H","UseDPDF=Y")</f>
        <v>-182.03639999999999</v>
      </c>
      <c r="K7" s="18">
        <f>_xll.BDH("SCS IN Equity","RETURN_COM_EQY","FY 2010","FY 2010","Currency=INR","Period=FY","BEST_FPERIOD_OVERRIDE=FY","FILING_STATUS=MR","EQY_CONSOLIDATED=Y","FA_ADJUSTED=GAAP","Sort=A","Dates=H","DateFormat=P","Fill=—","Direction=H","UseDPDF=Y")</f>
        <v>-3.9093</v>
      </c>
      <c r="L7" s="18">
        <f>_xll.BDH("SCS IN Equity","RETURN_COM_EQY","FY 2011","FY 2011","Currency=INR","Period=FY","BEST_FPERIOD_OVERRIDE=FY","FILING_STATUS=MR","EQY_CONSOLIDATED=Y","FA_ADJUSTED=GAAP","Sort=A","Dates=H","DateFormat=P","Fill=—","Direction=H","UseDPDF=Y")</f>
        <v>-4.6357999999999997</v>
      </c>
      <c r="M7" s="18">
        <f>_xll.BDH("SCS IN Equity","RETURN_COM_EQY","FY 2012","FY 2012","Currency=INR","Period=FY","BEST_FPERIOD_OVERRIDE=FY","FILING_STATUS=MR","EQY_CONSOLIDATED=Y","FA_ADJUSTED=GAAP","Sort=A","Dates=H","DateFormat=P","Fill=—","Direction=H","UseDPDF=Y")</f>
        <v>55.430599999999998</v>
      </c>
      <c r="N7" s="18">
        <f>_xll.BDH("SCS IN Equity","RETURN_COM_EQY","FY 2013","FY 2013","Currency=INR","Period=FY","BEST_FPERIOD_OVERRIDE=FY","FILING_STATUS=MR","EQY_CONSOLIDATED=Y","FA_ADJUSTED=GAAP","Sort=A","Dates=H","DateFormat=P","Fill=—","Direction=H","UseDPDF=Y")</f>
        <v>32.738999999999997</v>
      </c>
    </row>
    <row r="8" spans="1:14" ht="15" x14ac:dyDescent="0.25">
      <c r="A8" s="16" t="s">
        <v>31</v>
      </c>
      <c r="B8" s="16" t="s">
        <v>32</v>
      </c>
      <c r="C8" s="18" t="str">
        <f>_xll.BDH("SCS IN Equity","RETURN_ON_ASSET","FY 2002","FY 2002","Currency=INR","Period=FY","BEST_FPERIOD_OVERRIDE=FY","FILING_STATUS=MR","EQY_CONSOLIDATED=Y","FA_ADJUSTED=GAAP","Sort=A","Dates=H","DateFormat=P","Fill=—","Direction=H","UseDPDF=Y")</f>
        <v>—</v>
      </c>
      <c r="D8" s="18">
        <f>_xll.BDH("SCS IN Equity","RETURN_ON_ASSET","FY 2003","FY 2003","Currency=INR","Period=FY","BEST_FPERIOD_OVERRIDE=FY","FILING_STATUS=MR","EQY_CONSOLIDATED=Y","FA_ADJUSTED=GAAP","Sort=A","Dates=H","DateFormat=P","Fill=—","Direction=H","UseDPDF=Y")</f>
        <v>13.755599999999999</v>
      </c>
      <c r="E8" s="18">
        <f>_xll.BDH("SCS IN Equity","RETURN_ON_ASSET","FY 2004","FY 2004","Currency=INR","Period=FY","BEST_FPERIOD_OVERRIDE=FY","FILING_STATUS=MR","EQY_CONSOLIDATED=Y","FA_ADJUSTED=GAAP","Sort=A","Dates=H","DateFormat=P","Fill=—","Direction=H","UseDPDF=Y")</f>
        <v>18.351900000000001</v>
      </c>
      <c r="F8" s="18">
        <f>_xll.BDH("SCS IN Equity","RETURN_ON_ASSET","FY 2005","FY 2005","Currency=INR","Period=FY","BEST_FPERIOD_OVERRIDE=FY","FILING_STATUS=MR","EQY_CONSOLIDATED=Y","FA_ADJUSTED=GAAP","Sort=A","Dates=H","DateFormat=P","Fill=—","Direction=H","UseDPDF=Y")</f>
        <v>21.0626</v>
      </c>
      <c r="G8" s="18">
        <f>_xll.BDH("SCS IN Equity","RETURN_ON_ASSET","FY 2006","FY 2006","Currency=INR","Period=FY","BEST_FPERIOD_OVERRIDE=FY","FILING_STATUS=MR","EQY_CONSOLIDATED=Y","FA_ADJUSTED=GAAP","Sort=A","Dates=H","DateFormat=P","Fill=—","Direction=H","UseDPDF=Y")</f>
        <v>25.68</v>
      </c>
      <c r="H8" s="18">
        <f>_xll.BDH("SCS IN Equity","RETURN_ON_ASSET","FY 2007","FY 2007","Currency=INR","Period=FY","BEST_FPERIOD_OVERRIDE=FY","FILING_STATUS=MR","EQY_CONSOLIDATED=Y","FA_ADJUSTED=GAAP","Sort=A","Dates=H","DateFormat=P","Fill=—","Direction=H","UseDPDF=Y")</f>
        <v>23.349599999999999</v>
      </c>
      <c r="I8" s="18">
        <f>_xll.BDH("SCS IN Equity","RETURN_ON_ASSET","FY 2008","FY 2008","Currency=INR","Period=FY","BEST_FPERIOD_OVERRIDE=FY","FILING_STATUS=MR","EQY_CONSOLIDATED=Y","FA_ADJUSTED=GAAP","Sort=A","Dates=H","DateFormat=P","Fill=—","Direction=H","UseDPDF=Y")</f>
        <v>21.367100000000001</v>
      </c>
      <c r="J8" s="18">
        <f>_xll.BDH("SCS IN Equity","RETURN_ON_ASSET","FY 2009","FY 2009","Currency=INR","Period=FY","BEST_FPERIOD_OVERRIDE=FY","FILING_STATUS=MR","EQY_CONSOLIDATED=Y","FA_ADJUSTED=GAAP","Sort=A","Dates=H","DateFormat=P","Fill=—","Direction=H","UseDPDF=Y")</f>
        <v>-104.9337</v>
      </c>
      <c r="K8" s="18">
        <f>_xll.BDH("SCS IN Equity","RETURN_ON_ASSET","FY 2010","FY 2010","Currency=INR","Period=FY","BEST_FPERIOD_OVERRIDE=FY","FILING_STATUS=MR","EQY_CONSOLIDATED=Y","FA_ADJUSTED=GAAP","Sort=A","Dates=H","DateFormat=P","Fill=—","Direction=H","UseDPDF=Y")</f>
        <v>-1.6592</v>
      </c>
      <c r="L8" s="18">
        <f>_xll.BDH("SCS IN Equity","RETURN_ON_ASSET","FY 2011","FY 2011","Currency=INR","Period=FY","BEST_FPERIOD_OVERRIDE=FY","FILING_STATUS=MR","EQY_CONSOLIDATED=Y","FA_ADJUSTED=GAAP","Sort=A","Dates=H","DateFormat=P","Fill=—","Direction=H","UseDPDF=Y")</f>
        <v>-2.0390000000000001</v>
      </c>
      <c r="M8" s="18">
        <f>_xll.BDH("SCS IN Equity","RETURN_ON_ASSET","FY 2012","FY 2012","Currency=INR","Period=FY","BEST_FPERIOD_OVERRIDE=FY","FILING_STATUS=MR","EQY_CONSOLIDATED=Y","FA_ADJUSTED=GAAP","Sort=A","Dates=H","DateFormat=P","Fill=—","Direction=H","UseDPDF=Y")</f>
        <v>19.978300000000001</v>
      </c>
      <c r="N8" s="18">
        <f>_xll.BDH("SCS IN Equity","RETURN_ON_ASSET","FY 2013","FY 2013","Currency=INR","Period=FY","BEST_FPERIOD_OVERRIDE=FY","FILING_STATUS=MR","EQY_CONSOLIDATED=Y","FA_ADJUSTED=GAAP","Sort=A","Dates=H","DateFormat=P","Fill=—","Direction=H","UseDPDF=Y")</f>
        <v>15.611700000000001</v>
      </c>
    </row>
    <row r="9" spans="1:14" ht="15" x14ac:dyDescent="0.25">
      <c r="A9" s="16" t="s">
        <v>33</v>
      </c>
      <c r="B9" s="16" t="s">
        <v>34</v>
      </c>
      <c r="C9" s="18" t="str">
        <f>_xll.BDH("SCS IN Equity","RETURN_ON_CAP","FY 2002","FY 2002","Currency=INR","Period=FY","BEST_FPERIOD_OVERRIDE=FY","FILING_STATUS=MR","EQY_CONSOLIDATED=Y","FA_ADJUSTED=GAAP","Sort=A","Dates=H","DateFormat=P","Fill=—","Direction=H","UseDPDF=Y")</f>
        <v>—</v>
      </c>
      <c r="D9" s="18">
        <f>_xll.BDH("SCS IN Equity","RETURN_ON_CAP","FY 2003","FY 2003","Currency=INR","Period=FY","BEST_FPERIOD_OVERRIDE=FY","FILING_STATUS=MR","EQY_CONSOLIDATED=Y","FA_ADJUSTED=GAAP","Sort=A","Dates=H","DateFormat=P","Fill=—","Direction=H","UseDPDF=Y")</f>
        <v>13.054500000000001</v>
      </c>
      <c r="E9" s="18">
        <f>_xll.BDH("SCS IN Equity","RETURN_ON_CAP","FY 2004","FY 2004","Currency=INR","Period=FY","BEST_FPERIOD_OVERRIDE=FY","FILING_STATUS=MR","EQY_CONSOLIDATED=Y","FA_ADJUSTED=GAAP","Sort=A","Dates=H","DateFormat=P","Fill=—","Direction=H","UseDPDF=Y")</f>
        <v>21.047899999999998</v>
      </c>
      <c r="F9" s="18">
        <f>_xll.BDH("SCS IN Equity","RETURN_ON_CAP","FY 2005","FY 2005","Currency=INR","Period=FY","BEST_FPERIOD_OVERRIDE=FY","FILING_STATUS=MR","EQY_CONSOLIDATED=Y","FA_ADJUSTED=GAAP","Sort=A","Dates=H","DateFormat=P","Fill=—","Direction=H","UseDPDF=Y")</f>
        <v>23.831299999999999</v>
      </c>
      <c r="G9" s="18">
        <f>_xll.BDH("SCS IN Equity","RETURN_ON_CAP","FY 2006","FY 2006","Currency=INR","Period=FY","BEST_FPERIOD_OVERRIDE=FY","FILING_STATUS=MR","EQY_CONSOLIDATED=Y","FA_ADJUSTED=GAAP","Sort=A","Dates=H","DateFormat=P","Fill=—","Direction=H","UseDPDF=Y")</f>
        <v>29.604600000000001</v>
      </c>
      <c r="H9" s="18">
        <f>_xll.BDH("SCS IN Equity","RETURN_ON_CAP","FY 2007","FY 2007","Currency=INR","Period=FY","BEST_FPERIOD_OVERRIDE=FY","FILING_STATUS=MR","EQY_CONSOLIDATED=Y","FA_ADJUSTED=GAAP","Sort=A","Dates=H","DateFormat=P","Fill=—","Direction=H","UseDPDF=Y")</f>
        <v>27.350999999999999</v>
      </c>
      <c r="I9" s="18">
        <f>_xll.BDH("SCS IN Equity","RETURN_ON_CAP","FY 2008","FY 2008","Currency=INR","Period=FY","BEST_FPERIOD_OVERRIDE=FY","FILING_STATUS=MR","EQY_CONSOLIDATED=Y","FA_ADJUSTED=GAAP","Sort=A","Dates=H","DateFormat=P","Fill=—","Direction=H","UseDPDF=Y")</f>
        <v>25.456600000000002</v>
      </c>
      <c r="J9" s="18">
        <f>_xll.BDH("SCS IN Equity","RETURN_ON_CAP","FY 2009","FY 2009","Currency=INR","Period=FY","BEST_FPERIOD_OVERRIDE=FY","FILING_STATUS=MR","EQY_CONSOLIDATED=Y","FA_ADJUSTED=GAAP","Sort=A","Dates=H","DateFormat=P","Fill=—","Direction=H","UseDPDF=Y")</f>
        <v>-162.5196</v>
      </c>
      <c r="K9" s="18">
        <f>_xll.BDH("SCS IN Equity","RETURN_ON_CAP","FY 2010","FY 2010","Currency=INR","Period=FY","BEST_FPERIOD_OVERRIDE=FY","FILING_STATUS=MR","EQY_CONSOLIDATED=Y","FA_ADJUSTED=GAAP","Sort=A","Dates=H","DateFormat=P","Fill=—","Direction=H","UseDPDF=Y")</f>
        <v>-3.1522999999999999</v>
      </c>
      <c r="L9" s="18">
        <f>_xll.BDH("SCS IN Equity","RETURN_ON_CAP","FY 2011","FY 2011","Currency=INR","Period=FY","BEST_FPERIOD_OVERRIDE=FY","FILING_STATUS=MR","EQY_CONSOLIDATED=Y","FA_ADJUSTED=GAAP","Sort=A","Dates=H","DateFormat=P","Fill=—","Direction=H","UseDPDF=Y")</f>
        <v>-4.4310999999999998</v>
      </c>
      <c r="M9" s="18">
        <f>_xll.BDH("SCS IN Equity","RETURN_ON_CAP","FY 2012","FY 2012","Currency=INR","Period=FY","BEST_FPERIOD_OVERRIDE=FY","FILING_STATUS=MR","EQY_CONSOLIDATED=Y","FA_ADJUSTED=GAAP","Sort=A","Dates=H","DateFormat=P","Fill=—","Direction=H","UseDPDF=Y")</f>
        <v>53.981499999999997</v>
      </c>
      <c r="N9" s="18">
        <f>_xll.BDH("SCS IN Equity","RETURN_ON_CAP","FY 2013","FY 2013","Currency=INR","Period=FY","BEST_FPERIOD_OVERRIDE=FY","FILING_STATUS=MR","EQY_CONSOLIDATED=Y","FA_ADJUSTED=GAAP","Sort=A","Dates=H","DateFormat=P","Fill=—","Direction=H","UseDPDF=Y")</f>
        <v>32.886099999999999</v>
      </c>
    </row>
    <row r="10" spans="1:14" ht="15" x14ac:dyDescent="0.25">
      <c r="A10" s="16" t="s">
        <v>35</v>
      </c>
      <c r="B10" s="16" t="s">
        <v>36</v>
      </c>
      <c r="C10" s="18" t="str">
        <f>_xll.BDH("SCS IN Equity","RETURN_ON_INV_CAPITAL","FY 2002","FY 2002","Currency=INR","Period=FY","BEST_FPERIOD_OVERRIDE=FY","FILING_STATUS=MR","EQY_CONSOLIDATED=Y","FA_ADJUSTED=GAAP","Sort=A","Dates=H","DateFormat=P","Fill=—","Direction=H","UseDPDF=Y")</f>
        <v>—</v>
      </c>
      <c r="D10" s="18">
        <f>_xll.BDH("SCS IN Equity","RETURN_ON_INV_CAPITAL","FY 2003","FY 2003","Currency=INR","Period=FY","BEST_FPERIOD_OVERRIDE=FY","FILING_STATUS=MR","EQY_CONSOLIDATED=Y","FA_ADJUSTED=GAAP","Sort=A","Dates=H","DateFormat=P","Fill=—","Direction=H","UseDPDF=Y")</f>
        <v>15.107799999999999</v>
      </c>
      <c r="E10" s="18">
        <f>_xll.BDH("SCS IN Equity","RETURN_ON_INV_CAPITAL","FY 2004","FY 2004","Currency=INR","Period=FY","BEST_FPERIOD_OVERRIDE=FY","FILING_STATUS=MR","EQY_CONSOLIDATED=Y","FA_ADJUSTED=GAAP","Sort=A","Dates=H","DateFormat=P","Fill=—","Direction=H","UseDPDF=Y")</f>
        <v>19.372800000000002</v>
      </c>
      <c r="F10" s="18">
        <f>_xll.BDH("SCS IN Equity","RETURN_ON_INV_CAPITAL","FY 2005","FY 2005","Currency=INR","Period=FY","BEST_FPERIOD_OVERRIDE=FY","FILING_STATUS=MR","EQY_CONSOLIDATED=Y","FA_ADJUSTED=GAAP","Sort=A","Dates=H","DateFormat=P","Fill=—","Direction=H","UseDPDF=Y")</f>
        <v>21.9269</v>
      </c>
      <c r="G10" s="18">
        <f>_xll.BDH("SCS IN Equity","RETURN_ON_INV_CAPITAL","FY 2006","FY 2006","Currency=INR","Period=FY","BEST_FPERIOD_OVERRIDE=FY","FILING_STATUS=MR","EQY_CONSOLIDATED=Y","FA_ADJUSTED=GAAP","Sort=A","Dates=H","DateFormat=P","Fill=—","Direction=H","UseDPDF=Y")</f>
        <v>22.222100000000001</v>
      </c>
      <c r="H10" s="18">
        <f>_xll.BDH("SCS IN Equity","RETURN_ON_INV_CAPITAL","FY 2007","FY 2007","Currency=INR","Period=FY","BEST_FPERIOD_OVERRIDE=FY","FILING_STATUS=MR","EQY_CONSOLIDATED=Y","FA_ADJUSTED=GAAP","Sort=A","Dates=H","DateFormat=P","Fill=—","Direction=H","UseDPDF=Y")</f>
        <v>24.047599999999999</v>
      </c>
      <c r="I10" s="18">
        <f>_xll.BDH("SCS IN Equity","RETURN_ON_INV_CAPITAL","FY 2008","FY 2008","Currency=INR","Period=FY","BEST_FPERIOD_OVERRIDE=FY","FILING_STATUS=MR","EQY_CONSOLIDATED=Y","FA_ADJUSTED=GAAP","Sort=A","Dates=H","DateFormat=P","Fill=—","Direction=H","UseDPDF=Y")</f>
        <v>21.595400000000001</v>
      </c>
      <c r="J10" s="18">
        <f>_xll.BDH("SCS IN Equity","RETURN_ON_INV_CAPITAL","FY 2009","FY 2009","Currency=INR","Period=FY","BEST_FPERIOD_OVERRIDE=FY","FILING_STATUS=MR","EQY_CONSOLIDATED=Y","FA_ADJUSTED=GAAP","Sort=A","Dates=H","DateFormat=P","Fill=—","Direction=H","UseDPDF=Y")</f>
        <v>-72.705600000000004</v>
      </c>
      <c r="K10" s="18">
        <f>_xll.BDH("SCS IN Equity","RETURN_ON_INV_CAPITAL","FY 2010","FY 2010","Currency=INR","Period=FY","BEST_FPERIOD_OVERRIDE=FY","FILING_STATUS=MR","EQY_CONSOLIDATED=Y","FA_ADJUSTED=GAAP","Sort=A","Dates=H","DateFormat=P","Fill=—","Direction=H","UseDPDF=Y")</f>
        <v>3.7115</v>
      </c>
      <c r="L10" s="18">
        <f>_xll.BDH("SCS IN Equity","RETURN_ON_INV_CAPITAL","FY 2011","FY 2011","Currency=INR","Period=FY","BEST_FPERIOD_OVERRIDE=FY","FILING_STATUS=MR","EQY_CONSOLIDATED=Y","FA_ADJUSTED=GAAP","Sort=A","Dates=H","DateFormat=P","Fill=—","Direction=H","UseDPDF=Y")</f>
        <v>2.6076000000000001</v>
      </c>
      <c r="M10" s="18">
        <f>_xll.BDH("SCS IN Equity","RETURN_ON_INV_CAPITAL","FY 2012","FY 2012","Currency=INR","Period=FY","BEST_FPERIOD_OVERRIDE=FY","FILING_STATUS=MR","EQY_CONSOLIDATED=Y","FA_ADJUSTED=GAAP","Sort=A","Dates=H","DateFormat=P","Fill=—","Direction=H","UseDPDF=Y")</f>
        <v>28.672499999999999</v>
      </c>
      <c r="N10" s="18">
        <f>_xll.BDH("SCS IN Equity","RETURN_ON_INV_CAPITAL","FY 2013","FY 2013","Currency=INR","Period=FY","BEST_FPERIOD_OVERRIDE=FY","FILING_STATUS=MR","EQY_CONSOLIDATED=Y","FA_ADJUSTED=GAAP","Sort=A","Dates=H","DateFormat=P","Fill=—","Direction=H","UseDPDF=Y")</f>
        <v>28.670100000000001</v>
      </c>
    </row>
    <row r="11" spans="1:14" ht="15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x14ac:dyDescent="0.25">
      <c r="A12" s="12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" x14ac:dyDescent="0.25">
      <c r="A13" s="16" t="s">
        <v>38</v>
      </c>
      <c r="B13" s="16" t="s">
        <v>39</v>
      </c>
      <c r="C13" s="18" t="str">
        <f>_xll.BDH("SCS IN Equity","GROSS_MARGIN","FY 2002","FY 2002","Currency=INR","Period=FY","BEST_FPERIOD_OVERRIDE=FY","FILING_STATUS=MR","EQY_CONSOLIDATED=Y","FA_ADJUSTED=GAAP","Sort=A","Dates=H","DateFormat=P","Fill=—","Direction=H","UseDPDF=Y")</f>
        <v>—</v>
      </c>
      <c r="D13" s="18" t="str">
        <f>_xll.BDH("SCS IN Equity","GROSS_MARGIN","FY 2003","FY 2003","Currency=INR","Period=FY","BEST_FPERIOD_OVERRIDE=FY","FILING_STATUS=MR","EQY_CONSOLIDATED=Y","FA_ADJUSTED=GAAP","Sort=A","Dates=H","DateFormat=P","Fill=—","Direction=H","UseDPDF=Y")</f>
        <v>—</v>
      </c>
      <c r="E13" s="18" t="str">
        <f>_xll.BDH("SCS IN Equity","GROSS_MARGIN","FY 2004","FY 2004","Currency=INR","Period=FY","BEST_FPERIOD_OVERRIDE=FY","FILING_STATUS=MR","EQY_CONSOLIDATED=Y","FA_ADJUSTED=GAAP","Sort=A","Dates=H","DateFormat=P","Fill=—","Direction=H","UseDPDF=Y")</f>
        <v>—</v>
      </c>
      <c r="F13" s="18" t="str">
        <f>_xll.BDH("SCS IN Equity","GROSS_MARGIN","FY 2005","FY 2005","Currency=INR","Period=FY","BEST_FPERIOD_OVERRIDE=FY","FILING_STATUS=MR","EQY_CONSOLIDATED=Y","FA_ADJUSTED=GAAP","Sort=A","Dates=H","DateFormat=P","Fill=—","Direction=H","UseDPDF=Y")</f>
        <v>—</v>
      </c>
      <c r="G13" s="18" t="str">
        <f>_xll.BDH("SCS IN Equity","GROSS_MARGIN","FY 2006","FY 2006","Currency=INR","Period=FY","BEST_FPERIOD_OVERRIDE=FY","FILING_STATUS=MR","EQY_CONSOLIDATED=Y","FA_ADJUSTED=GAAP","Sort=A","Dates=H","DateFormat=P","Fill=—","Direction=H","UseDPDF=Y")</f>
        <v>—</v>
      </c>
      <c r="H13" s="18" t="str">
        <f>_xll.BDH("SCS IN Equity","GROSS_MARGIN","FY 2007","FY 2007","Currency=INR","Period=FY","BEST_FPERIOD_OVERRIDE=FY","FILING_STATUS=MR","EQY_CONSOLIDATED=Y","FA_ADJUSTED=GAAP","Sort=A","Dates=H","DateFormat=P","Fill=—","Direction=H","UseDPDF=Y")</f>
        <v>—</v>
      </c>
      <c r="I13" s="18">
        <f>_xll.BDH("SCS IN Equity","GROSS_MARGIN","FY 2008","FY 2008","Currency=INR","Period=FY","BEST_FPERIOD_OVERRIDE=FY","FILING_STATUS=MR","EQY_CONSOLIDATED=Y","FA_ADJUSTED=GAAP","Sort=A","Dates=H","DateFormat=P","Fill=—","Direction=H","UseDPDF=Y")</f>
        <v>99.9726</v>
      </c>
      <c r="J13" s="18" t="str">
        <f>_xll.BDH("SCS IN Equity","GROSS_MARGIN","FY 2009","FY 2009","Currency=INR","Period=FY","BEST_FPERIOD_OVERRIDE=FY","FILING_STATUS=MR","EQY_CONSOLIDATED=Y","FA_ADJUSTED=GAAP","Sort=A","Dates=H","DateFormat=P","Fill=—","Direction=H","UseDPDF=Y")</f>
        <v>—</v>
      </c>
      <c r="K13" s="18" t="str">
        <f>_xll.BDH("SCS IN Equity","GROSS_MARGIN","FY 2010","FY 2010","Currency=INR","Period=FY","BEST_FPERIOD_OVERRIDE=FY","FILING_STATUS=MR","EQY_CONSOLIDATED=Y","FA_ADJUSTED=GAAP","Sort=A","Dates=H","DateFormat=P","Fill=—","Direction=H","UseDPDF=Y")</f>
        <v>—</v>
      </c>
      <c r="L13" s="18" t="str">
        <f>_xll.BDH("SCS IN Equity","GROSS_MARGIN","FY 2011","FY 2011","Currency=INR","Period=FY","BEST_FPERIOD_OVERRIDE=FY","FILING_STATUS=MR","EQY_CONSOLIDATED=Y","FA_ADJUSTED=GAAP","Sort=A","Dates=H","DateFormat=P","Fill=—","Direction=H","UseDPDF=Y")</f>
        <v>—</v>
      </c>
      <c r="M13" s="18" t="str">
        <f>_xll.BDH("SCS IN Equity","GROSS_MARGIN","FY 2012","FY 2012","Currency=INR","Period=FY","BEST_FPERIOD_OVERRIDE=FY","FILING_STATUS=MR","EQY_CONSOLIDATED=Y","FA_ADJUSTED=GAAP","Sort=A","Dates=H","DateFormat=P","Fill=—","Direction=H","UseDPDF=Y")</f>
        <v>—</v>
      </c>
      <c r="N13" s="18" t="str">
        <f>_xll.BDH("SCS IN Equity","GROSS_MARGIN","FY 2013","FY 2013","Currency=INR","Period=FY","BEST_FPERIOD_OVERRIDE=FY","FILING_STATUS=MR","EQY_CONSOLIDATED=Y","FA_ADJUSTED=GAAP","Sort=A","Dates=H","DateFormat=P","Fill=—","Direction=H","UseDPDF=Y")</f>
        <v>—</v>
      </c>
    </row>
    <row r="14" spans="1:14" ht="15" x14ac:dyDescent="0.25">
      <c r="A14" s="16" t="s">
        <v>40</v>
      </c>
      <c r="B14" s="16" t="s">
        <v>41</v>
      </c>
      <c r="C14" s="18">
        <f>_xll.BDH("SCS IN Equity","EBITDA_TO_REVENUE","FY 2002","FY 2002","Currency=INR","Period=FY","BEST_FPERIOD_OVERRIDE=FY","FILING_STATUS=MR","EQY_CONSOLIDATED=Y","FA_ADJUSTED=GAAP","Sort=A","Dates=H","DateFormat=P","Fill=—","Direction=H","UseDPDF=Y")</f>
        <v>22.624099999999999</v>
      </c>
      <c r="D14" s="18">
        <f>_xll.BDH("SCS IN Equity","EBITDA_TO_REVENUE","FY 2003","FY 2003","Currency=INR","Period=FY","BEST_FPERIOD_OVERRIDE=FY","FILING_STATUS=MR","EQY_CONSOLIDATED=Y","FA_ADJUSTED=GAAP","Sort=A","Dates=H","DateFormat=P","Fill=—","Direction=H","UseDPDF=Y")</f>
        <v>25.071100000000001</v>
      </c>
      <c r="E14" s="18">
        <f>_xll.BDH("SCS IN Equity","EBITDA_TO_REVENUE","FY 2004","FY 2004","Currency=INR","Period=FY","BEST_FPERIOD_OVERRIDE=FY","FILING_STATUS=MR","EQY_CONSOLIDATED=Y","FA_ADJUSTED=GAAP","Sort=A","Dates=H","DateFormat=P","Fill=—","Direction=H","UseDPDF=Y")</f>
        <v>26.360299999999999</v>
      </c>
      <c r="F14" s="18">
        <f>_xll.BDH("SCS IN Equity","EBITDA_TO_REVENUE","FY 2005","FY 2005","Currency=INR","Period=FY","BEST_FPERIOD_OVERRIDE=FY","FILING_STATUS=MR","EQY_CONSOLIDATED=Y","FA_ADJUSTED=GAAP","Sort=A","Dates=H","DateFormat=P","Fill=—","Direction=H","UseDPDF=Y")</f>
        <v>24.750699999999998</v>
      </c>
      <c r="G14" s="18">
        <f>_xll.BDH("SCS IN Equity","EBITDA_TO_REVENUE","FY 2006","FY 2006","Currency=INR","Period=FY","BEST_FPERIOD_OVERRIDE=FY","FILING_STATUS=MR","EQY_CONSOLIDATED=Y","FA_ADJUSTED=GAAP","Sort=A","Dates=H","DateFormat=P","Fill=—","Direction=H","UseDPDF=Y")</f>
        <v>24.475100000000001</v>
      </c>
      <c r="H14" s="18">
        <f>_xll.BDH("SCS IN Equity","EBITDA_TO_REVENUE","FY 2007","FY 2007","Currency=INR","Period=FY","BEST_FPERIOD_OVERRIDE=FY","FILING_STATUS=MR","EQY_CONSOLIDATED=Y","FA_ADJUSTED=GAAP","Sort=A","Dates=H","DateFormat=P","Fill=—","Direction=H","UseDPDF=Y")</f>
        <v>23.780999999999999</v>
      </c>
      <c r="I14" s="18">
        <f>_xll.BDH("SCS IN Equity","EBITDA_TO_REVENUE","FY 2008","FY 2008","Currency=INR","Period=FY","BEST_FPERIOD_OVERRIDE=FY","FILING_STATUS=MR","EQY_CONSOLIDATED=Y","FA_ADJUSTED=GAAP","Sort=A","Dates=H","DateFormat=P","Fill=—","Direction=H","UseDPDF=Y")</f>
        <v>21.754100000000001</v>
      </c>
      <c r="J14" s="18">
        <f>_xll.BDH("SCS IN Equity","EBITDA_TO_REVENUE","FY 2009","FY 2009","Currency=INR","Period=FY","BEST_FPERIOD_OVERRIDE=FY","FILING_STATUS=MR","EQY_CONSOLIDATED=Y","FA_ADJUSTED=GAAP","Sort=A","Dates=H","DateFormat=P","Fill=—","Direction=H","UseDPDF=Y")</f>
        <v>-9.4840999999999998</v>
      </c>
      <c r="K14" s="18">
        <f>_xll.BDH("SCS IN Equity","EBITDA_TO_REVENUE","FY 2010","FY 2010","Currency=INR","Period=FY","BEST_FPERIOD_OVERRIDE=FY","FILING_STATUS=MR","EQY_CONSOLIDATED=Y","FA_ADJUSTED=GAAP","Sort=A","Dates=H","DateFormat=P","Fill=—","Direction=H","UseDPDF=Y")</f>
        <v>10.122199999999999</v>
      </c>
      <c r="L14" s="18">
        <f>_xll.BDH("SCS IN Equity","EBITDA_TO_REVENUE","FY 2011","FY 2011","Currency=INR","Period=FY","BEST_FPERIOD_OVERRIDE=FY","FILING_STATUS=MR","EQY_CONSOLIDATED=Y","FA_ADJUSTED=GAAP","Sort=A","Dates=H","DateFormat=P","Fill=—","Direction=H","UseDPDF=Y")</f>
        <v>8.7230000000000008</v>
      </c>
      <c r="M14" s="18">
        <f>_xll.BDH("SCS IN Equity","EBITDA_TO_REVENUE","FY 2012","FY 2012","Currency=INR","Period=FY","BEST_FPERIOD_OVERRIDE=FY","FILING_STATUS=MR","EQY_CONSOLIDATED=Y","FA_ADJUSTED=GAAP","Sort=A","Dates=H","DateFormat=P","Fill=—","Direction=H","UseDPDF=Y")</f>
        <v>16.010999999999999</v>
      </c>
      <c r="N14" s="18">
        <f>_xll.BDH("SCS IN Equity","EBITDA_TO_REVENUE","FY 2013","FY 2013","Currency=INR","Period=FY","BEST_FPERIOD_OVERRIDE=FY","FILING_STATUS=MR","EQY_CONSOLIDATED=Y","FA_ADJUSTED=GAAP","Sort=A","Dates=H","DateFormat=P","Fill=—","Direction=H","UseDPDF=Y")</f>
        <v>21.218900000000001</v>
      </c>
    </row>
    <row r="15" spans="1:14" ht="15" x14ac:dyDescent="0.25">
      <c r="A15" s="16" t="s">
        <v>42</v>
      </c>
      <c r="B15" s="16" t="s">
        <v>43</v>
      </c>
      <c r="C15" s="18">
        <f>_xll.BDH("SCS IN Equity","OPER_MARGIN","FY 2002","FY 2002","Currency=INR","Period=FY","BEST_FPERIOD_OVERRIDE=FY","FILING_STATUS=MR","EQY_CONSOLIDATED=Y","FA_ADJUSTED=GAAP","Sort=A","Dates=H","DateFormat=P","Fill=—","Direction=H","UseDPDF=Y")</f>
        <v>-9.4232999999999993</v>
      </c>
      <c r="D15" s="18">
        <f>_xll.BDH("SCS IN Equity","OPER_MARGIN","FY 2003","FY 2003","Currency=INR","Period=FY","BEST_FPERIOD_OVERRIDE=FY","FILING_STATUS=MR","EQY_CONSOLIDATED=Y","FA_ADJUSTED=GAAP","Sort=A","Dates=H","DateFormat=P","Fill=—","Direction=H","UseDPDF=Y")</f>
        <v>16.983899999999998</v>
      </c>
      <c r="E15" s="18">
        <f>_xll.BDH("SCS IN Equity","OPER_MARGIN","FY 2004","FY 2004","Currency=INR","Period=FY","BEST_FPERIOD_OVERRIDE=FY","FILING_STATUS=MR","EQY_CONSOLIDATED=Y","FA_ADJUSTED=GAAP","Sort=A","Dates=H","DateFormat=P","Fill=—","Direction=H","UseDPDF=Y")</f>
        <v>21.868200000000002</v>
      </c>
      <c r="F15" s="18">
        <f>_xll.BDH("SCS IN Equity","OPER_MARGIN","FY 2005","FY 2005","Currency=INR","Period=FY","BEST_FPERIOD_OVERRIDE=FY","FILING_STATUS=MR","EQY_CONSOLIDATED=Y","FA_ADJUSTED=GAAP","Sort=A","Dates=H","DateFormat=P","Fill=—","Direction=H","UseDPDF=Y")</f>
        <v>21.532699999999998</v>
      </c>
      <c r="G15" s="18">
        <f>_xll.BDH("SCS IN Equity","OPER_MARGIN","FY 2006","FY 2006","Currency=INR","Period=FY","BEST_FPERIOD_OVERRIDE=FY","FILING_STATUS=MR","EQY_CONSOLIDATED=Y","FA_ADJUSTED=GAAP","Sort=A","Dates=H","DateFormat=P","Fill=—","Direction=H","UseDPDF=Y")</f>
        <v>21.610700000000001</v>
      </c>
      <c r="H15" s="18">
        <f>_xll.BDH("SCS IN Equity","OPER_MARGIN","FY 2007","FY 2007","Currency=INR","Period=FY","BEST_FPERIOD_OVERRIDE=FY","FILING_STATUS=MR","EQY_CONSOLIDATED=Y","FA_ADJUSTED=GAAP","Sort=A","Dates=H","DateFormat=P","Fill=—","Direction=H","UseDPDF=Y")</f>
        <v>21.492100000000001</v>
      </c>
      <c r="I15" s="18">
        <f>_xll.BDH("SCS IN Equity","OPER_MARGIN","FY 2008","FY 2008","Currency=INR","Period=FY","BEST_FPERIOD_OVERRIDE=FY","FILING_STATUS=MR","EQY_CONSOLIDATED=Y","FA_ADJUSTED=GAAP","Sort=A","Dates=H","DateFormat=P","Fill=—","Direction=H","UseDPDF=Y")</f>
        <v>19.823499999999999</v>
      </c>
      <c r="J15" s="18">
        <f>_xll.BDH("SCS IN Equity","OPER_MARGIN","FY 2009","FY 2009","Currency=INR","Period=FY","BEST_FPERIOD_OVERRIDE=FY","FILING_STATUS=MR","EQY_CONSOLIDATED=Y","FA_ADJUSTED=GAAP","Sort=A","Dates=H","DateFormat=P","Fill=—","Direction=H","UseDPDF=Y")</f>
        <v>-19.778500000000001</v>
      </c>
      <c r="K15" s="18">
        <f>_xll.BDH("SCS IN Equity","OPER_MARGIN","FY 2010","FY 2010","Currency=INR","Period=FY","BEST_FPERIOD_OVERRIDE=FY","FILING_STATUS=MR","EQY_CONSOLIDATED=Y","FA_ADJUSTED=GAAP","Sort=A","Dates=H","DateFormat=P","Fill=—","Direction=H","UseDPDF=Y")</f>
        <v>6.2104999999999997</v>
      </c>
      <c r="L15" s="18">
        <f>_xll.BDH("SCS IN Equity","OPER_MARGIN","FY 2011","FY 2011","Currency=INR","Period=FY","BEST_FPERIOD_OVERRIDE=FY","FILING_STATUS=MR","EQY_CONSOLIDATED=Y","FA_ADJUSTED=GAAP","Sort=A","Dates=H","DateFormat=P","Fill=—","Direction=H","UseDPDF=Y")</f>
        <v>5.3780000000000001</v>
      </c>
      <c r="M15" s="18">
        <f>_xll.BDH("SCS IN Equity","OPER_MARGIN","FY 2012","FY 2012","Currency=INR","Period=FY","BEST_FPERIOD_OVERRIDE=FY","FILING_STATUS=MR","EQY_CONSOLIDATED=Y","FA_ADJUSTED=GAAP","Sort=A","Dates=H","DateFormat=P","Fill=—","Direction=H","UseDPDF=Y")</f>
        <v>13.545199999999999</v>
      </c>
      <c r="N15" s="18">
        <f>_xll.BDH("SCS IN Equity","OPER_MARGIN","FY 2013","FY 2013","Currency=INR","Period=FY","BEST_FPERIOD_OVERRIDE=FY","FILING_STATUS=MR","EQY_CONSOLIDATED=Y","FA_ADJUSTED=GAAP","Sort=A","Dates=H","DateFormat=P","Fill=—","Direction=H","UseDPDF=Y")</f>
        <v>18.754799999999999</v>
      </c>
    </row>
    <row r="16" spans="1:14" ht="15" x14ac:dyDescent="0.25">
      <c r="A16" s="16" t="s">
        <v>44</v>
      </c>
      <c r="B16" s="16" t="s">
        <v>45</v>
      </c>
      <c r="C16" s="18" t="str">
        <f>_xll.BDH("SCS IN Equity","INCREMENTAL_OPERATING_MARGIN","FY 2002","FY 2002","Currency=INR","Period=FY","BEST_FPERIOD_OVERRIDE=FY","FILING_STATUS=MR","EQY_CONSOLIDATED=Y","FA_ADJUSTED=GAAP","Sort=A","Dates=H","DateFormat=P","Fill=—","Direction=H","UseDPDF=Y")</f>
        <v>—</v>
      </c>
      <c r="D16" s="18">
        <f>_xll.BDH("SCS IN Equity","INCREMENTAL_OPERATING_MARGIN","FY 2003","FY 2003","Currency=INR","Period=FY","BEST_FPERIOD_OVERRIDE=FY","FILING_STATUS=MR","EQY_CONSOLIDATED=Y","FA_ADJUSTED=GAAP","Sort=A","Dates=H","DateFormat=P","Fill=—","Direction=H","UseDPDF=Y")</f>
        <v>220.5453</v>
      </c>
      <c r="E16" s="18">
        <f>_xll.BDH("SCS IN Equity","INCREMENTAL_OPERATING_MARGIN","FY 2004","FY 2004","Currency=INR","Period=FY","BEST_FPERIOD_OVERRIDE=FY","FILING_STATUS=MR","EQY_CONSOLIDATED=Y","FA_ADJUSTED=GAAP","Sort=A","Dates=H","DateFormat=P","Fill=—","Direction=H","UseDPDF=Y")</f>
        <v>53.926099999999998</v>
      </c>
      <c r="F16" s="18">
        <f>_xll.BDH("SCS IN Equity","INCREMENTAL_OPERATING_MARGIN","FY 2005","FY 2005","Currency=INR","Period=FY","BEST_FPERIOD_OVERRIDE=FY","FILING_STATUS=MR","EQY_CONSOLIDATED=Y","FA_ADJUSTED=GAAP","Sort=A","Dates=H","DateFormat=P","Fill=—","Direction=H","UseDPDF=Y")</f>
        <v>20.638200000000001</v>
      </c>
      <c r="G16" s="18">
        <f>_xll.BDH("SCS IN Equity","INCREMENTAL_OPERATING_MARGIN","FY 2006","FY 2006","Currency=INR","Period=FY","BEST_FPERIOD_OVERRIDE=FY","FILING_STATUS=MR","EQY_CONSOLIDATED=Y","FA_ADJUSTED=GAAP","Sort=A","Dates=H","DateFormat=P","Fill=—","Direction=H","UseDPDF=Y")</f>
        <v>21.8264</v>
      </c>
      <c r="H16" s="18">
        <f>_xll.BDH("SCS IN Equity","INCREMENTAL_OPERATING_MARGIN","FY 2007","FY 2007","Currency=INR","Period=FY","BEST_FPERIOD_OVERRIDE=FY","FILING_STATUS=MR","EQY_CONSOLIDATED=Y","FA_ADJUSTED=GAAP","Sort=A","Dates=H","DateFormat=P","Fill=—","Direction=H","UseDPDF=Y")</f>
        <v>21.156400000000001</v>
      </c>
      <c r="I16" s="18">
        <f>_xll.BDH("SCS IN Equity","INCREMENTAL_OPERATING_MARGIN","FY 2008","FY 2008","Currency=INR","Period=FY","BEST_FPERIOD_OVERRIDE=FY","FILING_STATUS=MR","EQY_CONSOLIDATED=Y","FA_ADJUSTED=GAAP","Sort=A","Dates=H","DateFormat=P","Fill=—","Direction=H","UseDPDF=Y")</f>
        <v>14.3813</v>
      </c>
      <c r="J16" s="18" t="str">
        <f>_xll.BDH("SCS IN Equity","INCREMENTAL_OPERATING_MARGIN","FY 2009","FY 2009","Currency=INR","Period=FY","BEST_FPERIOD_OVERRIDE=FY","FILING_STATUS=MR","EQY_CONSOLIDATED=Y","FA_ADJUSTED=GAAP","Sort=A","Dates=H","DateFormat=P","Fill=—","Direction=H","UseDPDF=Y")</f>
        <v>—</v>
      </c>
      <c r="K16" s="18" t="str">
        <f>_xll.BDH("SCS IN Equity","INCREMENTAL_OPERATING_MARGIN","FY 2010","FY 2010","Currency=INR","Period=FY","BEST_FPERIOD_OVERRIDE=FY","FILING_STATUS=MR","EQY_CONSOLIDATED=Y","FA_ADJUSTED=GAAP","Sort=A","Dates=H","DateFormat=P","Fill=—","Direction=H","UseDPDF=Y")</f>
        <v>—</v>
      </c>
      <c r="L16" s="18">
        <f>_xll.BDH("SCS IN Equity","INCREMENTAL_OPERATING_MARGIN","FY 2011","FY 2011","Currency=INR","Period=FY","BEST_FPERIOD_OVERRIDE=FY","FILING_STATUS=MR","EQY_CONSOLIDATED=Y","FA_ADJUSTED=GAAP","Sort=A","Dates=H","DateFormat=P","Fill=—","Direction=H","UseDPDF=Y")</f>
        <v>-18.958300000000001</v>
      </c>
      <c r="M16" s="18">
        <f>_xll.BDH("SCS IN Equity","INCREMENTAL_OPERATING_MARGIN","FY 2012","FY 2012","Currency=INR","Period=FY","BEST_FPERIOD_OVERRIDE=FY","FILING_STATUS=MR","EQY_CONSOLIDATED=Y","FA_ADJUSTED=GAAP","Sort=A","Dates=H","DateFormat=P","Fill=—","Direction=H","UseDPDF=Y")</f>
        <v>47.145400000000002</v>
      </c>
      <c r="N16" s="18">
        <f>_xll.BDH("SCS IN Equity","INCREMENTAL_OPERATING_MARGIN","FY 2013","FY 2013","Currency=INR","Period=FY","BEST_FPERIOD_OVERRIDE=FY","FILING_STATUS=MR","EQY_CONSOLIDATED=Y","FA_ADJUSTED=GAAP","Sort=A","Dates=H","DateFormat=P","Fill=—","Direction=H","UseDPDF=Y")</f>
        <v>44.426299999999998</v>
      </c>
    </row>
    <row r="17" spans="1:14" ht="15" x14ac:dyDescent="0.25">
      <c r="A17" s="16" t="s">
        <v>46</v>
      </c>
      <c r="B17" s="16" t="s">
        <v>47</v>
      </c>
      <c r="C17" s="18">
        <f>_xll.BDH("SCS IN Equity","PRETAX_INC_TO_NET_SALES","FY 2002","FY 2002","Currency=INR","Period=FY","BEST_FPERIOD_OVERRIDE=FY","FILING_STATUS=MR","EQY_CONSOLIDATED=Y","FA_ADJUSTED=GAAP","Sort=A","Dates=H","DateFormat=P","Fill=—","Direction=H","UseDPDF=Y")</f>
        <v>-5.5323000000000002</v>
      </c>
      <c r="D17" s="18">
        <f>_xll.BDH("SCS IN Equity","PRETAX_INC_TO_NET_SALES","FY 2003","FY 2003","Currency=INR","Period=FY","BEST_FPERIOD_OVERRIDE=FY","FILING_STATUS=MR","EQY_CONSOLIDATED=Y","FA_ADJUSTED=GAAP","Sort=A","Dates=H","DateFormat=P","Fill=—","Direction=H","UseDPDF=Y")</f>
        <v>15.5519</v>
      </c>
      <c r="E17" s="18">
        <f>_xll.BDH("SCS IN Equity","PRETAX_INC_TO_NET_SALES","FY 2004","FY 2004","Currency=INR","Period=FY","BEST_FPERIOD_OVERRIDE=FY","FILING_STATUS=MR","EQY_CONSOLIDATED=Y","FA_ADJUSTED=GAAP","Sort=A","Dates=H","DateFormat=P","Fill=—","Direction=H","UseDPDF=Y")</f>
        <v>24.200199999999999</v>
      </c>
      <c r="F17" s="18">
        <f>_xll.BDH("SCS IN Equity","PRETAX_INC_TO_NET_SALES","FY 2005","FY 2005","Currency=INR","Period=FY","BEST_FPERIOD_OVERRIDE=FY","FILING_STATUS=MR","EQY_CONSOLIDATED=Y","FA_ADJUSTED=GAAP","Sort=A","Dates=H","DateFormat=P","Fill=—","Direction=H","UseDPDF=Y")</f>
        <v>23.551300000000001</v>
      </c>
      <c r="G17" s="18">
        <f>_xll.BDH("SCS IN Equity","PRETAX_INC_TO_NET_SALES","FY 2006","FY 2006","Currency=INR","Period=FY","BEST_FPERIOD_OVERRIDE=FY","FILING_STATUS=MR","EQY_CONSOLIDATED=Y","FA_ADJUSTED=GAAP","Sort=A","Dates=H","DateFormat=P","Fill=—","Direction=H","UseDPDF=Y")</f>
        <v>28.140499999999999</v>
      </c>
      <c r="H17" s="18">
        <f>_xll.BDH("SCS IN Equity","PRETAX_INC_TO_NET_SALES","FY 2007","FY 2007","Currency=INR","Period=FY","BEST_FPERIOD_OVERRIDE=FY","FILING_STATUS=MR","EQY_CONSOLIDATED=Y","FA_ADJUSTED=GAAP","Sort=A","Dates=H","DateFormat=P","Fill=—","Direction=H","UseDPDF=Y")</f>
        <v>24.005099999999999</v>
      </c>
      <c r="I17" s="18">
        <f>_xll.BDH("SCS IN Equity","PRETAX_INC_TO_NET_SALES","FY 2008","FY 2008","Currency=INR","Period=FY","BEST_FPERIOD_OVERRIDE=FY","FILING_STATUS=MR","EQY_CONSOLIDATED=Y","FA_ADJUSTED=GAAP","Sort=A","Dates=H","DateFormat=P","Fill=—","Direction=H","UseDPDF=Y")</f>
        <v>22.638300000000001</v>
      </c>
      <c r="J17" s="18">
        <f>_xll.BDH("SCS IN Equity","PRETAX_INC_TO_NET_SALES","FY 2009","FY 2009","Currency=INR","Period=FY","BEST_FPERIOD_OVERRIDE=FY","FILING_STATUS=MR","EQY_CONSOLIDATED=Y","FA_ADJUSTED=GAAP","Sort=A","Dates=H","DateFormat=P","Fill=—","Direction=H","UseDPDF=Y")</f>
        <v>-90.956100000000006</v>
      </c>
      <c r="K17" s="18">
        <f>_xll.BDH("SCS IN Equity","PRETAX_INC_TO_NET_SALES","FY 2010","FY 2010","Currency=INR","Period=FY","BEST_FPERIOD_OVERRIDE=FY","FILING_STATUS=MR","EQY_CONSOLIDATED=Y","FA_ADJUSTED=GAAP","Sort=A","Dates=H","DateFormat=P","Fill=—","Direction=H","UseDPDF=Y")</f>
        <v>-1.8554999999999999</v>
      </c>
      <c r="L17" s="18">
        <f>_xll.BDH("SCS IN Equity","PRETAX_INC_TO_NET_SALES","FY 2011","FY 2011","Currency=INR","Period=FY","BEST_FPERIOD_OVERRIDE=FY","FILING_STATUS=MR","EQY_CONSOLIDATED=Y","FA_ADJUSTED=GAAP","Sort=A","Dates=H","DateFormat=P","Fill=—","Direction=H","UseDPDF=Y")</f>
        <v>-1.6754</v>
      </c>
      <c r="M17" s="18">
        <f>_xll.BDH("SCS IN Equity","PRETAX_INC_TO_NET_SALES","FY 2012","FY 2012","Currency=INR","Period=FY","BEST_FPERIOD_OVERRIDE=FY","FILING_STATUS=MR","EQY_CONSOLIDATED=Y","FA_ADJUSTED=GAAP","Sort=A","Dates=H","DateFormat=P","Fill=—","Direction=H","UseDPDF=Y")</f>
        <v>21.621099999999998</v>
      </c>
      <c r="N17" s="18">
        <f>_xll.BDH("SCS IN Equity","PRETAX_INC_TO_NET_SALES","FY 2013","FY 2013","Currency=INR","Period=FY","BEST_FPERIOD_OVERRIDE=FY","FILING_STATUS=MR","EQY_CONSOLIDATED=Y","FA_ADJUSTED=GAAP","Sort=A","Dates=H","DateFormat=P","Fill=—","Direction=H","UseDPDF=Y")</f>
        <v>20.629300000000001</v>
      </c>
    </row>
    <row r="18" spans="1:14" ht="15" x14ac:dyDescent="0.25">
      <c r="A18" s="16" t="s">
        <v>48</v>
      </c>
      <c r="B18" s="16" t="s">
        <v>49</v>
      </c>
      <c r="C18" s="18">
        <f>_xll.BDH("SCS IN Equity","INC_BEF_XO_ITEMS_TO_NET_SALES","FY 2002","FY 2002","Currency=INR","Period=FY","BEST_FPERIOD_OVERRIDE=FY","FILING_STATUS=MR","EQY_CONSOLIDATED=Y","FA_ADJUSTED=GAAP","Sort=A","Dates=H","DateFormat=P","Fill=—","Direction=H","UseDPDF=Y")</f>
        <v>-7.3190999999999997</v>
      </c>
      <c r="D18" s="18">
        <f>_xll.BDH("SCS IN Equity","INC_BEF_XO_ITEMS_TO_NET_SALES","FY 2003","FY 2003","Currency=INR","Period=FY","BEST_FPERIOD_OVERRIDE=FY","FILING_STATUS=MR","EQY_CONSOLIDATED=Y","FA_ADJUSTED=GAAP","Sort=A","Dates=H","DateFormat=P","Fill=—","Direction=H","UseDPDF=Y")</f>
        <v>12.7723</v>
      </c>
      <c r="E18" s="18">
        <f>_xll.BDH("SCS IN Equity","INC_BEF_XO_ITEMS_TO_NET_SALES","FY 2004","FY 2004","Currency=INR","Period=FY","BEST_FPERIOD_OVERRIDE=FY","FILING_STATUS=MR","EQY_CONSOLIDATED=Y","FA_ADJUSTED=GAAP","Sort=A","Dates=H","DateFormat=P","Fill=—","Direction=H","UseDPDF=Y")</f>
        <v>20.0503</v>
      </c>
      <c r="F18" s="18">
        <f>_xll.BDH("SCS IN Equity","INC_BEF_XO_ITEMS_TO_NET_SALES","FY 2005","FY 2005","Currency=INR","Period=FY","BEST_FPERIOD_OVERRIDE=FY","FILING_STATUS=MR","EQY_CONSOLIDATED=Y","FA_ADJUSTED=GAAP","Sort=A","Dates=H","DateFormat=P","Fill=—","Direction=H","UseDPDF=Y")</f>
        <v>20.212299999999999</v>
      </c>
      <c r="G18" s="18">
        <f>_xll.BDH("SCS IN Equity","INC_BEF_XO_ITEMS_TO_NET_SALES","FY 2006","FY 2006","Currency=INR","Period=FY","BEST_FPERIOD_OVERRIDE=FY","FILING_STATUS=MR","EQY_CONSOLIDATED=Y","FA_ADJUSTED=GAAP","Sort=A","Dates=H","DateFormat=P","Fill=—","Direction=H","UseDPDF=Y")</f>
        <v>23.811299999999999</v>
      </c>
      <c r="H18" s="18">
        <f>_xll.BDH("SCS IN Equity","INC_BEF_XO_ITEMS_TO_NET_SALES","FY 2007","FY 2007","Currency=INR","Period=FY","BEST_FPERIOD_OVERRIDE=FY","FILING_STATUS=MR","EQY_CONSOLIDATED=Y","FA_ADJUSTED=GAAP","Sort=A","Dates=H","DateFormat=P","Fill=—","Direction=H","UseDPDF=Y")</f>
        <v>21.661100000000001</v>
      </c>
      <c r="I18" s="18">
        <f>_xll.BDH("SCS IN Equity","INC_BEF_XO_ITEMS_TO_NET_SALES","FY 2008","FY 2008","Currency=INR","Period=FY","BEST_FPERIOD_OVERRIDE=FY","FILING_STATUS=MR","EQY_CONSOLIDATED=Y","FA_ADJUSTED=GAAP","Sort=A","Dates=H","DateFormat=P","Fill=—","Direction=H","UseDPDF=Y")</f>
        <v>19.919699999999999</v>
      </c>
      <c r="J18" s="18">
        <f>_xll.BDH("SCS IN Equity","INC_BEF_XO_ITEMS_TO_NET_SALES","FY 2009","FY 2009","Currency=INR","Period=FY","BEST_FPERIOD_OVERRIDE=FY","FILING_STATUS=MR","EQY_CONSOLIDATED=Y","FA_ADJUSTED=GAAP","Sort=A","Dates=H","DateFormat=P","Fill=—","Direction=H","UseDPDF=Y")</f>
        <v>-92.760400000000004</v>
      </c>
      <c r="K18" s="18">
        <f>_xll.BDH("SCS IN Equity","INC_BEF_XO_ITEMS_TO_NET_SALES","FY 2010","FY 2010","Currency=INR","Period=FY","BEST_FPERIOD_OVERRIDE=FY","FILING_STATUS=MR","EQY_CONSOLIDATED=Y","FA_ADJUSTED=GAAP","Sort=A","Dates=H","DateFormat=P","Fill=—","Direction=H","UseDPDF=Y")</f>
        <v>-2.2605</v>
      </c>
      <c r="L18" s="18">
        <f>_xll.BDH("SCS IN Equity","INC_BEF_XO_ITEMS_TO_NET_SALES","FY 2011","FY 2011","Currency=INR","Period=FY","BEST_FPERIOD_OVERRIDE=FY","FILING_STATUS=MR","EQY_CONSOLIDATED=Y","FA_ADJUSTED=GAAP","Sort=A","Dates=H","DateFormat=P","Fill=—","Direction=H","UseDPDF=Y")</f>
        <v>-2.7988</v>
      </c>
      <c r="M18" s="18">
        <f>_xll.BDH("SCS IN Equity","INC_BEF_XO_ITEMS_TO_NET_SALES","FY 2012","FY 2012","Currency=INR","Period=FY","BEST_FPERIOD_OVERRIDE=FY","FILING_STATUS=MR","EQY_CONSOLIDATED=Y","FA_ADJUSTED=GAAP","Sort=A","Dates=H","DateFormat=P","Fill=—","Direction=H","UseDPDF=Y")</f>
        <v>20.288900000000002</v>
      </c>
      <c r="N18" s="18">
        <f>_xll.BDH("SCS IN Equity","INC_BEF_XO_ITEMS_TO_NET_SALES","FY 2013","FY 2013","Currency=INR","Period=FY","BEST_FPERIOD_OVERRIDE=FY","FILING_STATUS=MR","EQY_CONSOLIDATED=Y","FA_ADJUSTED=GAAP","Sort=A","Dates=H","DateFormat=P","Fill=—","Direction=H","UseDPDF=Y")</f>
        <v>15.2699</v>
      </c>
    </row>
    <row r="19" spans="1:14" ht="15" x14ac:dyDescent="0.25">
      <c r="A19" s="16" t="s">
        <v>50</v>
      </c>
      <c r="B19" s="16" t="s">
        <v>51</v>
      </c>
      <c r="C19" s="18">
        <f>_xll.BDH("SCS IN Equity","PROF_MARGIN","FY 2002","FY 2002","Currency=INR","Period=FY","BEST_FPERIOD_OVERRIDE=FY","FILING_STATUS=MR","EQY_CONSOLIDATED=Y","FA_ADJUSTED=GAAP","Sort=A","Dates=H","DateFormat=P","Fill=—","Direction=H","UseDPDF=Y")</f>
        <v>3.9912999999999998</v>
      </c>
      <c r="D19" s="18">
        <f>_xll.BDH("SCS IN Equity","PROF_MARGIN","FY 2003","FY 2003","Currency=INR","Period=FY","BEST_FPERIOD_OVERRIDE=FY","FILING_STATUS=MR","EQY_CONSOLIDATED=Y","FA_ADJUSTED=GAAP","Sort=A","Dates=H","DateFormat=P","Fill=—","Direction=H","UseDPDF=Y")</f>
        <v>15.619</v>
      </c>
      <c r="E19" s="18">
        <f>_xll.BDH("SCS IN Equity","PROF_MARGIN","FY 2004","FY 2004","Currency=INR","Period=FY","BEST_FPERIOD_OVERRIDE=FY","FILING_STATUS=MR","EQY_CONSOLIDATED=Y","FA_ADJUSTED=GAAP","Sort=A","Dates=H","DateFormat=P","Fill=—","Direction=H","UseDPDF=Y")</f>
        <v>20.0503</v>
      </c>
      <c r="F19" s="18">
        <f>_xll.BDH("SCS IN Equity","PROF_MARGIN","FY 2005","FY 2005","Currency=INR","Period=FY","BEST_FPERIOD_OVERRIDE=FY","FILING_STATUS=MR","EQY_CONSOLIDATED=Y","FA_ADJUSTED=GAAP","Sort=A","Dates=H","DateFormat=P","Fill=—","Direction=H","UseDPDF=Y")</f>
        <v>20.212299999999999</v>
      </c>
      <c r="G19" s="18">
        <f>_xll.BDH("SCS IN Equity","PROF_MARGIN","FY 2006","FY 2006","Currency=INR","Period=FY","BEST_FPERIOD_OVERRIDE=FY","FILING_STATUS=MR","EQY_CONSOLIDATED=Y","FA_ADJUSTED=GAAP","Sort=A","Dates=H","DateFormat=P","Fill=—","Direction=H","UseDPDF=Y")</f>
        <v>23.822800000000001</v>
      </c>
      <c r="H19" s="18">
        <f>_xll.BDH("SCS IN Equity","PROF_MARGIN","FY 2007","FY 2007","Currency=INR","Period=FY","BEST_FPERIOD_OVERRIDE=FY","FILING_STATUS=MR","EQY_CONSOLIDATED=Y","FA_ADJUSTED=GAAP","Sort=A","Dates=H","DateFormat=P","Fill=—","Direction=H","UseDPDF=Y")</f>
        <v>21.661100000000001</v>
      </c>
      <c r="I19" s="18">
        <f>_xll.BDH("SCS IN Equity","PROF_MARGIN","FY 2008","FY 2008","Currency=INR","Period=FY","BEST_FPERIOD_OVERRIDE=FY","FILING_STATUS=MR","EQY_CONSOLIDATED=Y","FA_ADJUSTED=GAAP","Sort=A","Dates=H","DateFormat=P","Fill=—","Direction=H","UseDPDF=Y")</f>
        <v>19.919699999999999</v>
      </c>
      <c r="J19" s="18">
        <f>_xll.BDH("SCS IN Equity","PROF_MARGIN","FY 2009","FY 2009","Currency=INR","Period=FY","BEST_FPERIOD_OVERRIDE=FY","FILING_STATUS=MR","EQY_CONSOLIDATED=Y","FA_ADJUSTED=GAAP","Sort=A","Dates=H","DateFormat=P","Fill=—","Direction=H","UseDPDF=Y")</f>
        <v>-92.785300000000007</v>
      </c>
      <c r="K19" s="18">
        <f>_xll.BDH("SCS IN Equity","PROF_MARGIN","FY 2010","FY 2010","Currency=INR","Period=FY","BEST_FPERIOD_OVERRIDE=FY","FILING_STATUS=MR","EQY_CONSOLIDATED=Y","FA_ADJUSTED=GAAP","Sort=A","Dates=H","DateFormat=P","Fill=—","Direction=H","UseDPDF=Y")</f>
        <v>-2.2732999999999999</v>
      </c>
      <c r="L19" s="18">
        <f>_xll.BDH("SCS IN Equity","PROF_MARGIN","FY 2011","FY 2011","Currency=INR","Period=FY","BEST_FPERIOD_OVERRIDE=FY","FILING_STATUS=MR","EQY_CONSOLIDATED=Y","FA_ADJUSTED=GAAP","Sort=A","Dates=H","DateFormat=P","Fill=—","Direction=H","UseDPDF=Y")</f>
        <v>-2.863</v>
      </c>
      <c r="M19" s="18">
        <f>_xll.BDH("SCS IN Equity","PROF_MARGIN","FY 2012","FY 2012","Currency=INR","Period=FY","BEST_FPERIOD_OVERRIDE=FY","FILING_STATUS=MR","EQY_CONSOLIDATED=Y","FA_ADJUSTED=GAAP","Sort=A","Dates=H","DateFormat=P","Fill=—","Direction=H","UseDPDF=Y")</f>
        <v>20.420300000000001</v>
      </c>
      <c r="N19" s="18">
        <f>_xll.BDH("SCS IN Equity","PROF_MARGIN","FY 2013","FY 2013","Currency=INR","Period=FY","BEST_FPERIOD_OVERRIDE=FY","FILING_STATUS=MR","EQY_CONSOLIDATED=Y","FA_ADJUSTED=GAAP","Sort=A","Dates=H","DateFormat=P","Fill=—","Direction=H","UseDPDF=Y")</f>
        <v>15.133900000000001</v>
      </c>
    </row>
    <row r="20" spans="1:14" ht="15" x14ac:dyDescent="0.25">
      <c r="A20" s="16" t="s">
        <v>52</v>
      </c>
      <c r="B20" s="16" t="s">
        <v>53</v>
      </c>
      <c r="C20" s="18">
        <f>_xll.BDH("SCS IN Equity","NET_INCOME_TO_COMMON_MARGIN","FY 2002","FY 2002","Currency=INR","Period=FY","BEST_FPERIOD_OVERRIDE=FY","FILING_STATUS=MR","EQY_CONSOLIDATED=Y","FA_ADJUSTED=GAAP","Sort=A","Dates=H","DateFormat=P","Fill=—","Direction=H","UseDPDF=Y")</f>
        <v>3.9912999999999998</v>
      </c>
      <c r="D20" s="18">
        <f>_xll.BDH("SCS IN Equity","NET_INCOME_TO_COMMON_MARGIN","FY 2003","FY 2003","Currency=INR","Period=FY","BEST_FPERIOD_OVERRIDE=FY","FILING_STATUS=MR","EQY_CONSOLIDATED=Y","FA_ADJUSTED=GAAP","Sort=A","Dates=H","DateFormat=P","Fill=—","Direction=H","UseDPDF=Y")</f>
        <v>15.619</v>
      </c>
      <c r="E20" s="18">
        <f>_xll.BDH("SCS IN Equity","NET_INCOME_TO_COMMON_MARGIN","FY 2004","FY 2004","Currency=INR","Period=FY","BEST_FPERIOD_OVERRIDE=FY","FILING_STATUS=MR","EQY_CONSOLIDATED=Y","FA_ADJUSTED=GAAP","Sort=A","Dates=H","DateFormat=P","Fill=—","Direction=H","UseDPDF=Y")</f>
        <v>20.0503</v>
      </c>
      <c r="F20" s="18">
        <f>_xll.BDH("SCS IN Equity","NET_INCOME_TO_COMMON_MARGIN","FY 2005","FY 2005","Currency=INR","Period=FY","BEST_FPERIOD_OVERRIDE=FY","FILING_STATUS=MR","EQY_CONSOLIDATED=Y","FA_ADJUSTED=GAAP","Sort=A","Dates=H","DateFormat=P","Fill=—","Direction=H","UseDPDF=Y")</f>
        <v>20.212299999999999</v>
      </c>
      <c r="G20" s="18">
        <f>_xll.BDH("SCS IN Equity","NET_INCOME_TO_COMMON_MARGIN","FY 2006","FY 2006","Currency=INR","Period=FY","BEST_FPERIOD_OVERRIDE=FY","FILING_STATUS=MR","EQY_CONSOLIDATED=Y","FA_ADJUSTED=GAAP","Sort=A","Dates=H","DateFormat=P","Fill=—","Direction=H","UseDPDF=Y")</f>
        <v>23.822800000000001</v>
      </c>
      <c r="H20" s="18">
        <f>_xll.BDH("SCS IN Equity","NET_INCOME_TO_COMMON_MARGIN","FY 2007","FY 2007","Currency=INR","Period=FY","BEST_FPERIOD_OVERRIDE=FY","FILING_STATUS=MR","EQY_CONSOLIDATED=Y","FA_ADJUSTED=GAAP","Sort=A","Dates=H","DateFormat=P","Fill=—","Direction=H","UseDPDF=Y")</f>
        <v>21.661100000000001</v>
      </c>
      <c r="I20" s="18">
        <f>_xll.BDH("SCS IN Equity","NET_INCOME_TO_COMMON_MARGIN","FY 2008","FY 2008","Currency=INR","Period=FY","BEST_FPERIOD_OVERRIDE=FY","FILING_STATUS=MR","EQY_CONSOLIDATED=Y","FA_ADJUSTED=GAAP","Sort=A","Dates=H","DateFormat=P","Fill=—","Direction=H","UseDPDF=Y")</f>
        <v>19.919699999999999</v>
      </c>
      <c r="J20" s="18">
        <f>_xll.BDH("SCS IN Equity","NET_INCOME_TO_COMMON_MARGIN","FY 2009","FY 2009","Currency=INR","Period=FY","BEST_FPERIOD_OVERRIDE=FY","FILING_STATUS=MR","EQY_CONSOLIDATED=Y","FA_ADJUSTED=GAAP","Sort=A","Dates=H","DateFormat=P","Fill=—","Direction=H","UseDPDF=Y")</f>
        <v>-92.785300000000007</v>
      </c>
      <c r="K20" s="18">
        <f>_xll.BDH("SCS IN Equity","NET_INCOME_TO_COMMON_MARGIN","FY 2010","FY 2010","Currency=INR","Period=FY","BEST_FPERIOD_OVERRIDE=FY","FILING_STATUS=MR","EQY_CONSOLIDATED=Y","FA_ADJUSTED=GAAP","Sort=A","Dates=H","DateFormat=P","Fill=—","Direction=H","UseDPDF=Y")</f>
        <v>-2.2732999999999999</v>
      </c>
      <c r="L20" s="18">
        <f>_xll.BDH("SCS IN Equity","NET_INCOME_TO_COMMON_MARGIN","FY 2011","FY 2011","Currency=INR","Period=FY","BEST_FPERIOD_OVERRIDE=FY","FILING_STATUS=MR","EQY_CONSOLIDATED=Y","FA_ADJUSTED=GAAP","Sort=A","Dates=H","DateFormat=P","Fill=—","Direction=H","UseDPDF=Y")</f>
        <v>-2.863</v>
      </c>
      <c r="M20" s="18">
        <f>_xll.BDH("SCS IN Equity","NET_INCOME_TO_COMMON_MARGIN","FY 2012","FY 2012","Currency=INR","Period=FY","BEST_FPERIOD_OVERRIDE=FY","FILING_STATUS=MR","EQY_CONSOLIDATED=Y","FA_ADJUSTED=GAAP","Sort=A","Dates=H","DateFormat=P","Fill=—","Direction=H","UseDPDF=Y")</f>
        <v>20.420300000000001</v>
      </c>
      <c r="N20" s="18">
        <f>_xll.BDH("SCS IN Equity","NET_INCOME_TO_COMMON_MARGIN","FY 2013","FY 2013","Currency=INR","Period=FY","BEST_FPERIOD_OVERRIDE=FY","FILING_STATUS=MR","EQY_CONSOLIDATED=Y","FA_ADJUSTED=GAAP","Sort=A","Dates=H","DateFormat=P","Fill=—","Direction=H","UseDPDF=Y")</f>
        <v>15.133900000000001</v>
      </c>
    </row>
    <row r="21" spans="1:14" ht="15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5" x14ac:dyDescent="0.25">
      <c r="A22" s="12" t="s">
        <v>54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5" x14ac:dyDescent="0.25">
      <c r="A23" s="16" t="s">
        <v>55</v>
      </c>
      <c r="B23" s="16" t="s">
        <v>56</v>
      </c>
      <c r="C23" s="18" t="str">
        <f>_xll.BDH("SCS IN Equity","EFF_TAX_RATE","FY 2002","FY 2002","Currency=INR","Period=FY","BEST_FPERIOD_OVERRIDE=FY","FILING_STATUS=MR","EQY_CONSOLIDATED=Y","FA_ADJUSTED=GAAP","Sort=A","Dates=H","DateFormat=P","Fill=—","Direction=H","UseDPDF=Y")</f>
        <v>—</v>
      </c>
      <c r="D23" s="18">
        <f>_xll.BDH("SCS IN Equity","EFF_TAX_RATE","FY 2003","FY 2003","Currency=INR","Period=FY","BEST_FPERIOD_OVERRIDE=FY","FILING_STATUS=MR","EQY_CONSOLIDATED=Y","FA_ADJUSTED=GAAP","Sort=A","Dates=H","DateFormat=P","Fill=—","Direction=H","UseDPDF=Y")</f>
        <v>17.8733</v>
      </c>
      <c r="E23" s="18">
        <f>_xll.BDH("SCS IN Equity","EFF_TAX_RATE","FY 2004","FY 2004","Currency=INR","Period=FY","BEST_FPERIOD_OVERRIDE=FY","FILING_STATUS=MR","EQY_CONSOLIDATED=Y","FA_ADJUSTED=GAAP","Sort=A","Dates=H","DateFormat=P","Fill=—","Direction=H","UseDPDF=Y")</f>
        <v>17.148399999999999</v>
      </c>
      <c r="F23" s="18">
        <f>_xll.BDH("SCS IN Equity","EFF_TAX_RATE","FY 2005","FY 2005","Currency=INR","Period=FY","BEST_FPERIOD_OVERRIDE=FY","FILING_STATUS=MR","EQY_CONSOLIDATED=Y","FA_ADJUSTED=GAAP","Sort=A","Dates=H","DateFormat=P","Fill=—","Direction=H","UseDPDF=Y")</f>
        <v>14.1775</v>
      </c>
      <c r="G23" s="18">
        <f>_xll.BDH("SCS IN Equity","EFF_TAX_RATE","FY 2006","FY 2006","Currency=INR","Period=FY","BEST_FPERIOD_OVERRIDE=FY","FILING_STATUS=MR","EQY_CONSOLIDATED=Y","FA_ADJUSTED=GAAP","Sort=A","Dates=H","DateFormat=P","Fill=—","Direction=H","UseDPDF=Y")</f>
        <v>15.3842</v>
      </c>
      <c r="H23" s="18">
        <f>_xll.BDH("SCS IN Equity","EFF_TAX_RATE","FY 2007","FY 2007","Currency=INR","Period=FY","BEST_FPERIOD_OVERRIDE=FY","FILING_STATUS=MR","EQY_CONSOLIDATED=Y","FA_ADJUSTED=GAAP","Sort=A","Dates=H","DateFormat=P","Fill=—","Direction=H","UseDPDF=Y")</f>
        <v>9.7645999999999997</v>
      </c>
      <c r="I23" s="18">
        <f>_xll.BDH("SCS IN Equity","EFF_TAX_RATE","FY 2008","FY 2008","Currency=INR","Period=FY","BEST_FPERIOD_OVERRIDE=FY","FILING_STATUS=MR","EQY_CONSOLIDATED=Y","FA_ADJUSTED=GAAP","Sort=A","Dates=H","DateFormat=P","Fill=—","Direction=H","UseDPDF=Y")</f>
        <v>12.008900000000001</v>
      </c>
      <c r="J23" s="18" t="str">
        <f>_xll.BDH("SCS IN Equity","EFF_TAX_RATE","FY 2009","FY 2009","Currency=INR","Period=FY","BEST_FPERIOD_OVERRIDE=FY","FILING_STATUS=MR","EQY_CONSOLIDATED=Y","FA_ADJUSTED=GAAP","Sort=A","Dates=H","DateFormat=P","Fill=—","Direction=H","UseDPDF=Y")</f>
        <v>—</v>
      </c>
      <c r="K23" s="18" t="str">
        <f>_xll.BDH("SCS IN Equity","EFF_TAX_RATE","FY 2010","FY 2010","Currency=INR","Period=FY","BEST_FPERIOD_OVERRIDE=FY","FILING_STATUS=MR","EQY_CONSOLIDATED=Y","FA_ADJUSTED=GAAP","Sort=A","Dates=H","DateFormat=P","Fill=—","Direction=H","UseDPDF=Y")</f>
        <v>—</v>
      </c>
      <c r="L23" s="18" t="str">
        <f>_xll.BDH("SCS IN Equity","EFF_TAX_RATE","FY 2011","FY 2011","Currency=INR","Period=FY","BEST_FPERIOD_OVERRIDE=FY","FILING_STATUS=MR","EQY_CONSOLIDATED=Y","FA_ADJUSTED=GAAP","Sort=A","Dates=H","DateFormat=P","Fill=—","Direction=H","UseDPDF=Y")</f>
        <v>—</v>
      </c>
      <c r="M23" s="18">
        <f>_xll.BDH("SCS IN Equity","EFF_TAX_RATE","FY 2012","FY 2012","Currency=INR","Period=FY","BEST_FPERIOD_OVERRIDE=FY","FILING_STATUS=MR","EQY_CONSOLIDATED=Y","FA_ADJUSTED=GAAP","Sort=A","Dates=H","DateFormat=P","Fill=—","Direction=H","UseDPDF=Y")</f>
        <v>6.1614000000000004</v>
      </c>
      <c r="N23" s="18">
        <f>_xll.BDH("SCS IN Equity","EFF_TAX_RATE","FY 2013","FY 2013","Currency=INR","Period=FY","BEST_FPERIOD_OVERRIDE=FY","FILING_STATUS=MR","EQY_CONSOLIDATED=Y","FA_ADJUSTED=GAAP","Sort=A","Dates=H","DateFormat=P","Fill=—","Direction=H","UseDPDF=Y")</f>
        <v>25.979299999999999</v>
      </c>
    </row>
    <row r="24" spans="1:14" ht="15" x14ac:dyDescent="0.25">
      <c r="A24" s="16" t="s">
        <v>57</v>
      </c>
      <c r="B24" s="16" t="s">
        <v>58</v>
      </c>
      <c r="C24" s="18">
        <f>_xll.BDH("SCS IN Equity","DVD_PAYOUT_RATIO","FY 2002","FY 2002","Currency=INR","Period=FY","BEST_FPERIOD_OVERRIDE=FY","FILING_STATUS=MR","EQY_CONSOLIDATED=Y","FA_ADJUSTED=GAAP","Sort=A","Dates=H","DateFormat=P","Fill=—","Direction=H","UseDPDF=Y")</f>
        <v>19.297799999999999</v>
      </c>
      <c r="D24" s="18">
        <f>_xll.BDH("SCS IN Equity","DVD_PAYOUT_RATIO","FY 2003","FY 2003","Currency=INR","Period=FY","BEST_FPERIOD_OVERRIDE=FY","FILING_STATUS=MR","EQY_CONSOLIDATED=Y","FA_ADJUSTED=GAAP","Sort=A","Dates=H","DateFormat=P","Fill=—","Direction=H","UseDPDF=Y")</f>
        <v>27.190100000000001</v>
      </c>
      <c r="E24" s="18">
        <f>_xll.BDH("SCS IN Equity","DVD_PAYOUT_RATIO","FY 2004","FY 2004","Currency=INR","Period=FY","BEST_FPERIOD_OVERRIDE=FY","FILING_STATUS=MR","EQY_CONSOLIDATED=Y","FA_ADJUSTED=GAAP","Sort=A","Dates=H","DateFormat=P","Fill=—","Direction=H","UseDPDF=Y")</f>
        <v>24.683399999999999</v>
      </c>
      <c r="F24" s="18">
        <f>_xll.BDH("SCS IN Equity","DVD_PAYOUT_RATIO","FY 2005","FY 2005","Currency=INR","Period=FY","BEST_FPERIOD_OVERRIDE=FY","FILING_STATUS=MR","EQY_CONSOLIDATED=Y","FA_ADJUSTED=GAAP","Sort=A","Dates=H","DateFormat=P","Fill=—","Direction=H","UseDPDF=Y")</f>
        <v>22.4313</v>
      </c>
      <c r="G24" s="18">
        <f>_xll.BDH("SCS IN Equity","DVD_PAYOUT_RATIO","FY 2006","FY 2006","Currency=INR","Period=FY","BEST_FPERIOD_OVERRIDE=FY","FILING_STATUS=MR","EQY_CONSOLIDATED=Y","FA_ADJUSTED=GAAP","Sort=A","Dates=H","DateFormat=P","Fill=—","Direction=H","UseDPDF=Y")</f>
        <v>19.9986</v>
      </c>
      <c r="H24" s="18">
        <f>_xll.BDH("SCS IN Equity","DVD_PAYOUT_RATIO","FY 2007","FY 2007","Currency=INR","Period=FY","BEST_FPERIOD_OVERRIDE=FY","FILING_STATUS=MR","EQY_CONSOLIDATED=Y","FA_ADJUSTED=GAAP","Sort=A","Dates=H","DateFormat=P","Fill=—","Direction=H","UseDPDF=Y")</f>
        <v>16.544699999999999</v>
      </c>
      <c r="I24" s="18">
        <f>_xll.BDH("SCS IN Equity","DVD_PAYOUT_RATIO","FY 2008","FY 2008","Currency=INR","Period=FY","BEST_FPERIOD_OVERRIDE=FY","FILING_STATUS=MR","EQY_CONSOLIDATED=Y","FA_ADJUSTED=GAAP","Sort=A","Dates=H","DateFormat=P","Fill=—","Direction=H","UseDPDF=Y")</f>
        <v>13.894299999999999</v>
      </c>
      <c r="J24" s="18" t="str">
        <f>_xll.BDH("SCS IN Equity","DVD_PAYOUT_RATIO","FY 2009","FY 2009","Currency=INR","Period=FY","BEST_FPERIOD_OVERRIDE=FY","FILING_STATUS=MR","EQY_CONSOLIDATED=Y","FA_ADJUSTED=GAAP","Sort=A","Dates=H","DateFormat=P","Fill=—","Direction=H","UseDPDF=Y")</f>
        <v>—</v>
      </c>
      <c r="K24" s="18" t="str">
        <f>_xll.BDH("SCS IN Equity","DVD_PAYOUT_RATIO","FY 2010","FY 2010","Currency=INR","Period=FY","BEST_FPERIOD_OVERRIDE=FY","FILING_STATUS=MR","EQY_CONSOLIDATED=Y","FA_ADJUSTED=GAAP","Sort=A","Dates=H","DateFormat=P","Fill=—","Direction=H","UseDPDF=Y")</f>
        <v>—</v>
      </c>
      <c r="L24" s="18" t="str">
        <f>_xll.BDH("SCS IN Equity","DVD_PAYOUT_RATIO","FY 2011","FY 2011","Currency=INR","Period=FY","BEST_FPERIOD_OVERRIDE=FY","FILING_STATUS=MR","EQY_CONSOLIDATED=Y","FA_ADJUSTED=GAAP","Sort=A","Dates=H","DateFormat=P","Fill=—","Direction=H","UseDPDF=Y")</f>
        <v>—</v>
      </c>
      <c r="M24" s="18">
        <f>_xll.BDH("SCS IN Equity","DVD_PAYOUT_RATIO","FY 2012","FY 2012","Currency=INR","Period=FY","BEST_FPERIOD_OVERRIDE=FY","FILING_STATUS=MR","EQY_CONSOLIDATED=Y","FA_ADJUSTED=GAAP","Sort=A","Dates=H","DateFormat=P","Fill=—","Direction=H","UseDPDF=Y")</f>
        <v>0</v>
      </c>
      <c r="N24" s="18">
        <f>_xll.BDH("SCS IN Equity","DVD_PAYOUT_RATIO","FY 2013","FY 2013","Currency=INR","Period=FY","BEST_FPERIOD_OVERRIDE=FY","FILING_STATUS=MR","EQY_CONSOLIDATED=Y","FA_ADJUSTED=GAAP","Sort=A","Dates=H","DateFormat=P","Fill=—","Direction=H","UseDPDF=Y")</f>
        <v>0</v>
      </c>
    </row>
    <row r="25" spans="1:14" ht="15" x14ac:dyDescent="0.25">
      <c r="A25" s="16" t="s">
        <v>59</v>
      </c>
      <c r="B25" s="16" t="s">
        <v>60</v>
      </c>
      <c r="C25" s="18" t="str">
        <f>_xll.BDH("SCS IN Equity","SUSTAIN_GROWTH_RT","FY 2002","FY 2002","Currency=INR","Period=FY","BEST_FPERIOD_OVERRIDE=FY","FILING_STATUS=MR","EQY_CONSOLIDATED=Y","FA_ADJUSTED=GAAP","Sort=A","Dates=H","DateFormat=P","Fill=—","Direction=H","UseDPDF=Y")</f>
        <v>—</v>
      </c>
      <c r="D25" s="18">
        <f>_xll.BDH("SCS IN Equity","SUSTAIN_GROWTH_RT","FY 2003","FY 2003","Currency=INR","Period=FY","BEST_FPERIOD_OVERRIDE=FY","FILING_STATUS=MR","EQY_CONSOLIDATED=Y","FA_ADJUSTED=GAAP","Sort=A","Dates=H","DateFormat=P","Fill=—","Direction=H","UseDPDF=Y")</f>
        <v>12.128299999999999</v>
      </c>
      <c r="E25" s="18">
        <f>_xll.BDH("SCS IN Equity","SUSTAIN_GROWTH_RT","FY 2004","FY 2004","Currency=INR","Period=FY","BEST_FPERIOD_OVERRIDE=FY","FILING_STATUS=MR","EQY_CONSOLIDATED=Y","FA_ADJUSTED=GAAP","Sort=A","Dates=H","DateFormat=P","Fill=—","Direction=H","UseDPDF=Y")</f>
        <v>15.938499999999999</v>
      </c>
      <c r="F25" s="18">
        <f>_xll.BDH("SCS IN Equity","SUSTAIN_GROWTH_RT","FY 2005","FY 2005","Currency=INR","Period=FY","BEST_FPERIOD_OVERRIDE=FY","FILING_STATUS=MR","EQY_CONSOLIDATED=Y","FA_ADJUSTED=GAAP","Sort=A","Dates=H","DateFormat=P","Fill=—","Direction=H","UseDPDF=Y")</f>
        <v>18.837499999999999</v>
      </c>
      <c r="G25" s="18">
        <f>_xll.BDH("SCS IN Equity","SUSTAIN_GROWTH_RT","FY 2006","FY 2006","Currency=INR","Period=FY","BEST_FPERIOD_OVERRIDE=FY","FILING_STATUS=MR","EQY_CONSOLIDATED=Y","FA_ADJUSTED=GAAP","Sort=A","Dates=H","DateFormat=P","Fill=—","Direction=H","UseDPDF=Y")</f>
        <v>24.575700000000001</v>
      </c>
      <c r="H25" s="18">
        <f>_xll.BDH("SCS IN Equity","SUSTAIN_GROWTH_RT","FY 2007","FY 2007","Currency=INR","Period=FY","BEST_FPERIOD_OVERRIDE=FY","FILING_STATUS=MR","EQY_CONSOLIDATED=Y","FA_ADJUSTED=GAAP","Sort=A","Dates=H","DateFormat=P","Fill=—","Direction=H","UseDPDF=Y")</f>
        <v>23.496300000000002</v>
      </c>
      <c r="I25" s="18">
        <f>_xll.BDH("SCS IN Equity","SUSTAIN_GROWTH_RT","FY 2008","FY 2008","Currency=INR","Period=FY","BEST_FPERIOD_OVERRIDE=FY","FILING_STATUS=MR","EQY_CONSOLIDATED=Y","FA_ADJUSTED=GAAP","Sort=A","Dates=H","DateFormat=P","Fill=—","Direction=H","UseDPDF=Y")</f>
        <v>22.373699999999999</v>
      </c>
      <c r="J25" s="18" t="str">
        <f>_xll.BDH("SCS IN Equity","SUSTAIN_GROWTH_RT","FY 2009","FY 2009","Currency=INR","Period=FY","BEST_FPERIOD_OVERRIDE=FY","FILING_STATUS=MR","EQY_CONSOLIDATED=Y","FA_ADJUSTED=GAAP","Sort=A","Dates=H","DateFormat=P","Fill=—","Direction=H","UseDPDF=Y")</f>
        <v>—</v>
      </c>
      <c r="K25" s="18" t="str">
        <f>_xll.BDH("SCS IN Equity","SUSTAIN_GROWTH_RT","FY 2010","FY 2010","Currency=INR","Period=FY","BEST_FPERIOD_OVERRIDE=FY","FILING_STATUS=MR","EQY_CONSOLIDATED=Y","FA_ADJUSTED=GAAP","Sort=A","Dates=H","DateFormat=P","Fill=—","Direction=H","UseDPDF=Y")</f>
        <v>—</v>
      </c>
      <c r="L25" s="18" t="str">
        <f>_xll.BDH("SCS IN Equity","SUSTAIN_GROWTH_RT","FY 2011","FY 2011","Currency=INR","Period=FY","BEST_FPERIOD_OVERRIDE=FY","FILING_STATUS=MR","EQY_CONSOLIDATED=Y","FA_ADJUSTED=GAAP","Sort=A","Dates=H","DateFormat=P","Fill=—","Direction=H","UseDPDF=Y")</f>
        <v>—</v>
      </c>
      <c r="M25" s="18">
        <f>_xll.BDH("SCS IN Equity","SUSTAIN_GROWTH_RT","FY 2012","FY 2012","Currency=INR","Period=FY","BEST_FPERIOD_OVERRIDE=FY","FILING_STATUS=MR","EQY_CONSOLIDATED=Y","FA_ADJUSTED=GAAP","Sort=A","Dates=H","DateFormat=P","Fill=—","Direction=H","UseDPDF=Y")</f>
        <v>55.430599999999998</v>
      </c>
      <c r="N25" s="18">
        <f>_xll.BDH("SCS IN Equity","SUSTAIN_GROWTH_RT","FY 2013","FY 2013","Currency=INR","Period=FY","BEST_FPERIOD_OVERRIDE=FY","FILING_STATUS=MR","EQY_CONSOLIDATED=Y","FA_ADJUSTED=GAAP","Sort=A","Dates=H","DateFormat=P","Fill=—","Direction=H","UseDPDF=Y")</f>
        <v>32.738999999999997</v>
      </c>
    </row>
    <row r="26" spans="1:14" ht="15" x14ac:dyDescent="0.25">
      <c r="A26" s="13" t="s">
        <v>61</v>
      </c>
      <c r="B26" s="13"/>
      <c r="C26" s="13" t="s"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F223-F3B7-479A-9086-F1A17A71F337}">
  <dimension ref="A1:Q21"/>
  <sheetViews>
    <sheetView workbookViewId="0">
      <selection activeCell="G29" sqref="G29"/>
    </sheetView>
  </sheetViews>
  <sheetFormatPr defaultRowHeight="15" x14ac:dyDescent="0.25"/>
  <cols>
    <col min="1" max="1" width="35.140625" customWidth="1"/>
    <col min="2" max="2" width="0" hidden="1" customWidth="1"/>
    <col min="3" max="17" width="11.85546875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0.25" x14ac:dyDescent="0.25">
      <c r="A2" s="14" t="s">
        <v>119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6" t="s">
        <v>3</v>
      </c>
      <c r="B4" s="6"/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92</v>
      </c>
      <c r="I4" s="5" t="s">
        <v>93</v>
      </c>
      <c r="J4" s="5" t="s">
        <v>94</v>
      </c>
      <c r="K4" s="5" t="s">
        <v>95</v>
      </c>
      <c r="L4" s="5" t="s">
        <v>96</v>
      </c>
      <c r="M4" s="5" t="s">
        <v>97</v>
      </c>
      <c r="N4" s="5" t="s">
        <v>98</v>
      </c>
      <c r="O4" s="5" t="s">
        <v>99</v>
      </c>
      <c r="P4" s="5" t="s">
        <v>112</v>
      </c>
      <c r="Q4" s="5" t="s">
        <v>117</v>
      </c>
    </row>
    <row r="5" spans="1:17" x14ac:dyDescent="0.25">
      <c r="A5" s="15" t="s">
        <v>15</v>
      </c>
      <c r="B5" s="15"/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100</v>
      </c>
      <c r="I5" s="4" t="s">
        <v>101</v>
      </c>
      <c r="J5" s="4" t="s">
        <v>102</v>
      </c>
      <c r="K5" s="4" t="s">
        <v>103</v>
      </c>
      <c r="L5" s="4" t="s">
        <v>104</v>
      </c>
      <c r="M5" s="4" t="s">
        <v>105</v>
      </c>
      <c r="N5" s="4" t="s">
        <v>106</v>
      </c>
      <c r="O5" s="4" t="s">
        <v>107</v>
      </c>
      <c r="P5" s="4" t="s">
        <v>113</v>
      </c>
      <c r="Q5" s="4" t="s">
        <v>118</v>
      </c>
    </row>
    <row r="6" spans="1:17" x14ac:dyDescent="0.25">
      <c r="A6" s="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25">
      <c r="A7" s="3" t="s">
        <v>73</v>
      </c>
      <c r="B7" s="3" t="s">
        <v>74</v>
      </c>
      <c r="C7" s="18">
        <f>_xll.BDH("YES IN Equity","LT_DEBT_TO_TOT_EQY","FY 2009","FY 2009","Currency=INR","Period=FY","BEST_FPERIOD_OVERRIDE=FY","FILING_STATUS=MR","EQY_CONSOLIDATED=Y","Sort=A","Dates=H","DateFormat=P","Fill=—","Direction=H","UseDPDF=Y")</f>
        <v>0</v>
      </c>
      <c r="D7" s="18">
        <f>_xll.BDH("YES IN Equity","LT_DEBT_TO_TOT_EQY","FY 2010","FY 2010","Currency=INR","Period=FY","BEST_FPERIOD_OVERRIDE=FY","FILING_STATUS=MR","EQY_CONSOLIDATED=Y","Sort=A","Dates=H","DateFormat=P","Fill=—","Direction=H","UseDPDF=Y")</f>
        <v>74.643699999999995</v>
      </c>
      <c r="E7" s="18">
        <f>_xll.BDH("YES IN Equity","LT_DEBT_TO_TOT_EQY","FY 2011","FY 2011","Currency=INR","Period=FY","BEST_FPERIOD_OVERRIDE=FY","FILING_STATUS=MR","EQY_CONSOLIDATED=Y","Sort=A","Dates=H","DateFormat=P","Fill=—","Direction=H","UseDPDF=Y")</f>
        <v>98.964299999999994</v>
      </c>
      <c r="F7" s="18">
        <f>_xll.BDH("YES IN Equity","LT_DEBT_TO_TOT_EQY","FY 2012","FY 2012","Currency=INR","Period=FY","BEST_FPERIOD_OVERRIDE=FY","FILING_STATUS=MR","EQY_CONSOLIDATED=Y","Sort=A","Dates=H","DateFormat=P","Fill=—","Direction=H","UseDPDF=Y")</f>
        <v>127.36539999999999</v>
      </c>
      <c r="G7" s="18">
        <f>_xll.BDH("YES IN Equity","LT_DEBT_TO_TOT_EQY","FY 2013","FY 2013","Currency=INR","Period=FY","BEST_FPERIOD_OVERRIDE=FY","FILING_STATUS=MR","EQY_CONSOLIDATED=Y","Sort=A","Dates=H","DateFormat=P","Fill=—","Direction=H","UseDPDF=Y")</f>
        <v>140.5087</v>
      </c>
      <c r="H7" s="18">
        <f>_xll.BDH("YES IN Equity","LT_DEBT_TO_TOT_EQY","FY 2014","FY 2014","Currency=INR","Period=FY","BEST_FPERIOD_OVERRIDE=FY","FILING_STATUS=MR","EQY_CONSOLIDATED=Y","Sort=A","Dates=H","DateFormat=P","Fill=—","Direction=H","UseDPDF=Y")</f>
        <v>142.09809999999999</v>
      </c>
      <c r="I7" s="18">
        <f>_xll.BDH("YES IN Equity","LT_DEBT_TO_TOT_EQY","FY 2015","FY 2015","Currency=INR","Period=FY","BEST_FPERIOD_OVERRIDE=FY","FILING_STATUS=MR","EQY_CONSOLIDATED=Y","Sort=A","Dates=H","DateFormat=P","Fill=—","Direction=H","UseDPDF=Y")</f>
        <v>142.5505</v>
      </c>
      <c r="J7" s="18">
        <f>_xll.BDH("YES IN Equity","LT_DEBT_TO_TOT_EQY","FY 2016","FY 2016","Currency=INR","Period=FY","BEST_FPERIOD_OVERRIDE=FY","FILING_STATUS=MR","EQY_CONSOLIDATED=Y","Sort=A","Dates=H","DateFormat=P","Fill=—","Direction=H","UseDPDF=Y")</f>
        <v>156.3571</v>
      </c>
      <c r="K7" s="18">
        <f>_xll.BDH("YES IN Equity","LT_DEBT_TO_TOT_EQY","FY 2017","FY 2017","Currency=INR","Period=FY","BEST_FPERIOD_OVERRIDE=FY","FILING_STATUS=MR","EQY_CONSOLIDATED=Y","Sort=A","Dates=H","DateFormat=P","Fill=—","Direction=H","UseDPDF=Y")</f>
        <v>108.90689999999999</v>
      </c>
      <c r="L7" s="18">
        <f>_xll.BDH("YES IN Equity","LT_DEBT_TO_TOT_EQY","FY 2018","FY 2018","Currency=INR","Period=FY","BEST_FPERIOD_OVERRIDE=FY","FILING_STATUS=MR","EQY_CONSOLIDATED=Y","Sort=A","Dates=H","DateFormat=P","Fill=—","Direction=H","UseDPDF=Y")</f>
        <v>208.08609999999999</v>
      </c>
      <c r="M7" s="18">
        <f>_xll.BDH("YES IN Equity","LT_DEBT_TO_TOT_EQY","FY 2019","FY 2019","Currency=INR","Period=FY","BEST_FPERIOD_OVERRIDE=FY","FILING_STATUS=MR","EQY_CONSOLIDATED=Y","Sort=A","Dates=H","DateFormat=P","Fill=—","Direction=H","UseDPDF=Y")</f>
        <v>285.0514</v>
      </c>
      <c r="N7" s="18">
        <f>_xll.BDH("YES IN Equity","LT_DEBT_TO_TOT_EQY","FY 2020","FY 2020","Currency=INR","Period=FY","BEST_FPERIOD_OVERRIDE=FY","FILING_STATUS=MR","EQY_CONSOLIDATED=Y","Sort=A","Dates=H","DateFormat=P","Fill=—","Direction=H","UseDPDF=Y")</f>
        <v>211.23230000000001</v>
      </c>
      <c r="O7" s="18">
        <f>_xll.BDH("YES IN Equity","LT_DEBT_TO_TOT_EQY","FY 2021","FY 2021","Currency=INR","Period=FY","BEST_FPERIOD_OVERRIDE=FY","FILING_STATUS=MR","EQY_CONSOLIDATED=Y","Sort=A","Dates=H","DateFormat=P","Fill=—","Direction=H","UseDPDF=Y")</f>
        <v>89.6935</v>
      </c>
      <c r="P7" s="18">
        <f>_xll.BDH("YES IN Equity","LT_DEBT_TO_TOT_EQY","FY 2022","FY 2022","Currency=INR","Period=FY","BEST_FPERIOD_OVERRIDE=FY","FILING_STATUS=MR","EQY_CONSOLIDATED=Y","Sort=A","Dates=H","DateFormat=P","Fill=—","Direction=H","UseDPDF=Y")</f>
        <v>214.66589999999999</v>
      </c>
      <c r="Q7" s="18">
        <f>_xll.BDH("YES IN Equity","LT_DEBT_TO_TOT_EQY","FY 2023","FY 2023","Currency=INR","Period=FY","BEST_FPERIOD_OVERRIDE=FY","FILING_STATUS=MR","EQY_CONSOLIDATED=Y","Sort=A","Dates=H","DateFormat=P","Fill=—","Direction=H","UseDPDF=Y")</f>
        <v>190.95650000000001</v>
      </c>
    </row>
    <row r="8" spans="1:17" x14ac:dyDescent="0.25">
      <c r="A8" s="3" t="s">
        <v>75</v>
      </c>
      <c r="B8" s="3" t="s">
        <v>76</v>
      </c>
      <c r="C8" s="18">
        <f>_xll.BDH("YES IN Equity","LT_DEBT_TO_TOT_CAP","FY 2009","FY 2009","Currency=INR","Period=FY","BEST_FPERIOD_OVERRIDE=FY","FILING_STATUS=MR","EQY_CONSOLIDATED=Y","Sort=A","Dates=H","DateFormat=P","Fill=—","Direction=H","UseDPDF=Y")</f>
        <v>0</v>
      </c>
      <c r="D8" s="18">
        <f>_xll.BDH("YES IN Equity","LT_DEBT_TO_TOT_CAP","FY 2010","FY 2010","Currency=INR","Period=FY","BEST_FPERIOD_OVERRIDE=FY","FILING_STATUS=MR","EQY_CONSOLIDATED=Y","Sort=A","Dates=H","DateFormat=P","Fill=—","Direction=H","UseDPDF=Y")</f>
        <v>28.9621</v>
      </c>
      <c r="E8" s="18">
        <f>_xll.BDH("YES IN Equity","LT_DEBT_TO_TOT_CAP","FY 2011","FY 2011","Currency=INR","Period=FY","BEST_FPERIOD_OVERRIDE=FY","FILING_STATUS=MR","EQY_CONSOLIDATED=Y","Sort=A","Dates=H","DateFormat=P","Fill=—","Direction=H","UseDPDF=Y")</f>
        <v>35.551299999999998</v>
      </c>
      <c r="F8" s="18">
        <f>_xll.BDH("YES IN Equity","LT_DEBT_TO_TOT_CAP","FY 2012","FY 2012","Currency=INR","Period=FY","BEST_FPERIOD_OVERRIDE=FY","FILING_STATUS=MR","EQY_CONSOLIDATED=Y","Sort=A","Dates=H","DateFormat=P","Fill=—","Direction=H","UseDPDF=Y")</f>
        <v>31.3035</v>
      </c>
      <c r="G8" s="18">
        <f>_xll.BDH("YES IN Equity","LT_DEBT_TO_TOT_CAP","FY 2013","FY 2013","Currency=INR","Period=FY","BEST_FPERIOD_OVERRIDE=FY","FILING_STATUS=MR","EQY_CONSOLIDATED=Y","Sort=A","Dates=H","DateFormat=P","Fill=—","Direction=H","UseDPDF=Y")</f>
        <v>30.3781</v>
      </c>
      <c r="H8" s="18">
        <f>_xll.BDH("YES IN Equity","LT_DEBT_TO_TOT_CAP","FY 2014","FY 2014","Currency=INR","Period=FY","BEST_FPERIOD_OVERRIDE=FY","FILING_STATUS=MR","EQY_CONSOLIDATED=Y","Sort=A","Dates=H","DateFormat=P","Fill=—","Direction=H","UseDPDF=Y")</f>
        <v>35.309100000000001</v>
      </c>
      <c r="I8" s="18">
        <f>_xll.BDH("YES IN Equity","LT_DEBT_TO_TOT_CAP","FY 2015","FY 2015","Currency=INR","Period=FY","BEST_FPERIOD_OVERRIDE=FY","FILING_STATUS=MR","EQY_CONSOLIDATED=Y","Sort=A","Dates=H","DateFormat=P","Fill=—","Direction=H","UseDPDF=Y")</f>
        <v>43.501600000000003</v>
      </c>
      <c r="J8" s="18">
        <f>_xll.BDH("YES IN Equity","LT_DEBT_TO_TOT_CAP","FY 2016","FY 2016","Currency=INR","Period=FY","BEST_FPERIOD_OVERRIDE=FY","FILING_STATUS=MR","EQY_CONSOLIDATED=Y","Sort=A","Dates=H","DateFormat=P","Fill=—","Direction=H","UseDPDF=Y")</f>
        <v>47.046900000000001</v>
      </c>
      <c r="K8" s="18">
        <f>_xll.BDH("YES IN Equity","LT_DEBT_TO_TOT_CAP","FY 2017","FY 2017","Currency=INR","Period=FY","BEST_FPERIOD_OVERRIDE=FY","FILING_STATUS=MR","EQY_CONSOLIDATED=Y","Sort=A","Dates=H","DateFormat=P","Fill=—","Direction=H","UseDPDF=Y")</f>
        <v>39.1952</v>
      </c>
      <c r="L8" s="18">
        <f>_xll.BDH("YES IN Equity","LT_DEBT_TO_TOT_CAP","FY 2018","FY 2018","Currency=INR","Period=FY","BEST_FPERIOD_OVERRIDE=FY","FILING_STATUS=MR","EQY_CONSOLIDATED=Y","Sort=A","Dates=H","DateFormat=P","Fill=—","Direction=H","UseDPDF=Y")</f>
        <v>52.763599999999997</v>
      </c>
      <c r="M8" s="18">
        <f>_xll.BDH("YES IN Equity","LT_DEBT_TO_TOT_CAP","FY 2019","FY 2019","Currency=INR","Period=FY","BEST_FPERIOD_OVERRIDE=FY","FILING_STATUS=MR","EQY_CONSOLIDATED=Y","Sort=A","Dates=H","DateFormat=P","Fill=—","Direction=H","UseDPDF=Y")</f>
        <v>56.478499999999997</v>
      </c>
      <c r="N8" s="18">
        <f>_xll.BDH("YES IN Equity","LT_DEBT_TO_TOT_CAP","FY 2020","FY 2020","Currency=INR","Period=FY","BEST_FPERIOD_OVERRIDE=FY","FILING_STATUS=MR","EQY_CONSOLIDATED=Y","Sort=A","Dates=H","DateFormat=P","Fill=—","Direction=H","UseDPDF=Y")</f>
        <v>33.752699999999997</v>
      </c>
      <c r="O8" s="18">
        <f>_xll.BDH("YES IN Equity","LT_DEBT_TO_TOT_CAP","FY 2021","FY 2021","Currency=INR","Period=FY","BEST_FPERIOD_OVERRIDE=FY","FILING_STATUS=MR","EQY_CONSOLIDATED=Y","Sort=A","Dates=H","DateFormat=P","Fill=—","Direction=H","UseDPDF=Y")</f>
        <v>30.436299999999999</v>
      </c>
      <c r="P8" s="18">
        <f>_xll.BDH("YES IN Equity","LT_DEBT_TO_TOT_CAP","FY 2022","FY 2022","Currency=INR","Period=FY","BEST_FPERIOD_OVERRIDE=FY","FILING_STATUS=MR","EQY_CONSOLIDATED=Y","Sort=A","Dates=H","DateFormat=P","Fill=—","Direction=H","UseDPDF=Y")</f>
        <v>67.752700000000004</v>
      </c>
      <c r="Q8" s="18">
        <f>_xll.BDH("YES IN Equity","LT_DEBT_TO_TOT_CAP","FY 2023","FY 2023","Currency=INR","Period=FY","BEST_FPERIOD_OVERRIDE=FY","FILING_STATUS=MR","EQY_CONSOLIDATED=Y","Sort=A","Dates=H","DateFormat=P","Fill=—","Direction=H","UseDPDF=Y")</f>
        <v>65.217100000000002</v>
      </c>
    </row>
    <row r="9" spans="1:17" x14ac:dyDescent="0.25">
      <c r="A9" s="3" t="s">
        <v>77</v>
      </c>
      <c r="B9" s="3" t="s">
        <v>78</v>
      </c>
      <c r="C9" s="18">
        <f>_xll.BDH("YES IN Equity","LT_DEBT_TO_TOT_ASSET","FY 2009","FY 2009","Currency=INR","Period=FY","BEST_FPERIOD_OVERRIDE=FY","FILING_STATUS=MR","EQY_CONSOLIDATED=Y","Sort=A","Dates=H","DateFormat=P","Fill=—","Direction=H","UseDPDF=Y")</f>
        <v>0</v>
      </c>
      <c r="D9" s="18">
        <f>_xll.BDH("YES IN Equity","LT_DEBT_TO_TOT_ASSET","FY 2010","FY 2010","Currency=INR","Period=FY","BEST_FPERIOD_OVERRIDE=FY","FILING_STATUS=MR","EQY_CONSOLIDATED=Y","Sort=A","Dates=H","DateFormat=P","Fill=—","Direction=H","UseDPDF=Y")</f>
        <v>6.3385999999999996</v>
      </c>
      <c r="E9" s="18">
        <f>_xll.BDH("YES IN Equity","LT_DEBT_TO_TOT_ASSET","FY 2011","FY 2011","Currency=INR","Period=FY","BEST_FPERIOD_OVERRIDE=FY","FILING_STATUS=MR","EQY_CONSOLIDATED=Y","Sort=A","Dates=H","DateFormat=P","Fill=—","Direction=H","UseDPDF=Y")</f>
        <v>6.3632999999999997</v>
      </c>
      <c r="F9" s="18">
        <f>_xll.BDH("YES IN Equity","LT_DEBT_TO_TOT_ASSET","FY 2012","FY 2012","Currency=INR","Period=FY","BEST_FPERIOD_OVERRIDE=FY","FILING_STATUS=MR","EQY_CONSOLIDATED=Y","Sort=A","Dates=H","DateFormat=P","Fill=—","Direction=H","UseDPDF=Y")</f>
        <v>8.0861000000000001</v>
      </c>
      <c r="G9" s="18">
        <f>_xll.BDH("YES IN Equity","LT_DEBT_TO_TOT_ASSET","FY 2013","FY 2013","Currency=INR","Period=FY","BEST_FPERIOD_OVERRIDE=FY","FILING_STATUS=MR","EQY_CONSOLIDATED=Y","Sort=A","Dates=H","DateFormat=P","Fill=—","Direction=H","UseDPDF=Y")</f>
        <v>8.2340999999999998</v>
      </c>
      <c r="H9" s="18">
        <f>_xll.BDH("YES IN Equity","LT_DEBT_TO_TOT_ASSET","FY 2014","FY 2014","Currency=INR","Period=FY","BEST_FPERIOD_OVERRIDE=FY","FILING_STATUS=MR","EQY_CONSOLIDATED=Y","Sort=A","Dates=H","DateFormat=P","Fill=—","Direction=H","UseDPDF=Y")</f>
        <v>9.2753999999999994</v>
      </c>
      <c r="I9" s="18">
        <f>_xll.BDH("YES IN Equity","LT_DEBT_TO_TOT_ASSET","FY 2015","FY 2015","Currency=INR","Period=FY","BEST_FPERIOD_OVERRIDE=FY","FILING_STATUS=MR","EQY_CONSOLIDATED=Y","Sort=A","Dates=H","DateFormat=P","Fill=—","Direction=H","UseDPDF=Y")</f>
        <v>12.214600000000001</v>
      </c>
      <c r="J9" s="18">
        <f>_xll.BDH("YES IN Equity","LT_DEBT_TO_TOT_ASSET","FY 2016","FY 2016","Currency=INR","Period=FY","BEST_FPERIOD_OVERRIDE=FY","FILING_STATUS=MR","EQY_CONSOLIDATED=Y","Sort=A","Dates=H","DateFormat=P","Fill=—","Direction=H","UseDPDF=Y")</f>
        <v>13.0223</v>
      </c>
      <c r="K9" s="18">
        <f>_xll.BDH("YES IN Equity","LT_DEBT_TO_TOT_ASSET","FY 2017","FY 2017","Currency=INR","Period=FY","BEST_FPERIOD_OVERRIDE=FY","FILING_STATUS=MR","EQY_CONSOLIDATED=Y","Sort=A","Dates=H","DateFormat=P","Fill=—","Direction=H","UseDPDF=Y")</f>
        <v>11.1609</v>
      </c>
      <c r="L9" s="18">
        <f>_xll.BDH("YES IN Equity","LT_DEBT_TO_TOT_ASSET","FY 2018","FY 2018","Currency=INR","Period=FY","BEST_FPERIOD_OVERRIDE=FY","FILING_STATUS=MR","EQY_CONSOLIDATED=Y","Sort=A","Dates=H","DateFormat=P","Fill=—","Direction=H","UseDPDF=Y")</f>
        <v>17.150700000000001</v>
      </c>
      <c r="M9" s="18">
        <f>_xll.BDH("YES IN Equity","LT_DEBT_TO_TOT_ASSET","FY 2019","FY 2019","Currency=INR","Period=FY","BEST_FPERIOD_OVERRIDE=FY","FILING_STATUS=MR","EQY_CONSOLIDATED=Y","Sort=A","Dates=H","DateFormat=P","Fill=—","Direction=H","UseDPDF=Y")</f>
        <v>20.123699999999999</v>
      </c>
      <c r="N9" s="18">
        <f>_xll.BDH("YES IN Equity","LT_DEBT_TO_TOT_ASSET","FY 2020","FY 2020","Currency=INR","Period=FY","BEST_FPERIOD_OVERRIDE=FY","FILING_STATUS=MR","EQY_CONSOLIDATED=Y","Sort=A","Dates=H","DateFormat=P","Fill=—","Direction=H","UseDPDF=Y")</f>
        <v>17.773900000000001</v>
      </c>
      <c r="O9" s="18">
        <f>_xll.BDH("YES IN Equity","LT_DEBT_TO_TOT_ASSET","FY 2021","FY 2021","Currency=INR","Period=FY","BEST_FPERIOD_OVERRIDE=FY","FILING_STATUS=MR","EQY_CONSOLIDATED=Y","Sort=A","Dates=H","DateFormat=P","Fill=—","Direction=H","UseDPDF=Y")</f>
        <v>10.863899999999999</v>
      </c>
      <c r="P9" s="18">
        <f>_xll.BDH("YES IN Equity","LT_DEBT_TO_TOT_ASSET","FY 2022","FY 2022","Currency=INR","Period=FY","BEST_FPERIOD_OVERRIDE=FY","FILING_STATUS=MR","EQY_CONSOLIDATED=Y","Sort=A","Dates=H","DateFormat=P","Fill=—","Direction=H","UseDPDF=Y")</f>
        <v>22.7072</v>
      </c>
      <c r="Q9" s="18">
        <f>_xll.BDH("YES IN Equity","LT_DEBT_TO_TOT_ASSET","FY 2023","FY 2023","Currency=INR","Period=FY","BEST_FPERIOD_OVERRIDE=FY","FILING_STATUS=MR","EQY_CONSOLIDATED=Y","Sort=A","Dates=H","DateFormat=P","Fill=—","Direction=H","UseDPDF=Y")</f>
        <v>21.889900000000001</v>
      </c>
    </row>
    <row r="10" spans="1:17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25">
      <c r="A11" s="3" t="s">
        <v>79</v>
      </c>
      <c r="B11" s="3" t="s">
        <v>80</v>
      </c>
      <c r="C11" s="18">
        <f>_xll.BDH("YES IN Equity","TOT_DEBT_TO_TOT_EQY","FY 2009","FY 2009","Currency=INR","Period=FY","BEST_FPERIOD_OVERRIDE=FY","FILING_STATUS=MR","EQY_CONSOLIDATED=Y","Sort=A","Dates=H","DateFormat=P","Fill=—","Direction=H","UseDPDF=Y")</f>
        <v>158.99979999999999</v>
      </c>
      <c r="D11" s="18">
        <f>_xll.BDH("YES IN Equity","TOT_DEBT_TO_TOT_EQY","FY 2010","FY 2010","Currency=INR","Period=FY","BEST_FPERIOD_OVERRIDE=FY","FILING_STATUS=MR","EQY_CONSOLIDATED=Y","Sort=A","Dates=H","DateFormat=P","Fill=—","Direction=H","UseDPDF=Y")</f>
        <v>157.72919999999999</v>
      </c>
      <c r="E11" s="18">
        <f>_xll.BDH("YES IN Equity","TOT_DEBT_TO_TOT_EQY","FY 2011","FY 2011","Currency=INR","Period=FY","BEST_FPERIOD_OVERRIDE=FY","FILING_STATUS=MR","EQY_CONSOLIDATED=Y","Sort=A","Dates=H","DateFormat=P","Fill=—","Direction=H","UseDPDF=Y")</f>
        <v>178.37049999999999</v>
      </c>
      <c r="F11" s="18">
        <f>_xll.BDH("YES IN Equity","TOT_DEBT_TO_TOT_EQY","FY 2012","FY 2012","Currency=INR","Period=FY","BEST_FPERIOD_OVERRIDE=FY","FILING_STATUS=MR","EQY_CONSOLIDATED=Y","Sort=A","Dates=H","DateFormat=P","Fill=—","Direction=H","UseDPDF=Y")</f>
        <v>306.87270000000001</v>
      </c>
      <c r="G11" s="18">
        <f>_xll.BDH("YES IN Equity","TOT_DEBT_TO_TOT_EQY","FY 2013","FY 2013","Currency=INR","Period=FY","BEST_FPERIOD_OVERRIDE=FY","FILING_STATUS=MR","EQY_CONSOLIDATED=Y","Sort=A","Dates=H","DateFormat=P","Fill=—","Direction=H","UseDPDF=Y")</f>
        <v>362.53269999999998</v>
      </c>
      <c r="H11" s="18">
        <f>_xll.BDH("YES IN Equity","TOT_DEBT_TO_TOT_EQY","FY 2014","FY 2014","Currency=INR","Period=FY","BEST_FPERIOD_OVERRIDE=FY","FILING_STATUS=MR","EQY_CONSOLIDATED=Y","Sort=A","Dates=H","DateFormat=P","Fill=—","Direction=H","UseDPDF=Y")</f>
        <v>302.4409</v>
      </c>
      <c r="I11" s="18">
        <f>_xll.BDH("YES IN Equity","TOT_DEBT_TO_TOT_EQY","FY 2015","FY 2015","Currency=INR","Period=FY","BEST_FPERIOD_OVERRIDE=FY","FILING_STATUS=MR","EQY_CONSOLIDATED=Y","Sort=A","Dates=H","DateFormat=P","Fill=—","Direction=H","UseDPDF=Y")</f>
        <v>227.6901</v>
      </c>
      <c r="J11" s="18">
        <f>_xll.BDH("YES IN Equity","TOT_DEBT_TO_TOT_EQY","FY 2016","FY 2016","Currency=INR","Period=FY","BEST_FPERIOD_OVERRIDE=FY","FILING_STATUS=MR","EQY_CONSOLIDATED=Y","Sort=A","Dates=H","DateFormat=P","Fill=—","Direction=H","UseDPDF=Y")</f>
        <v>232.34299999999999</v>
      </c>
      <c r="K11" s="18">
        <f>_xll.BDH("YES IN Equity","TOT_DEBT_TO_TOT_EQY","FY 2017","FY 2017","Currency=INR","Period=FY","BEST_FPERIOD_OVERRIDE=FY","FILING_STATUS=MR","EQY_CONSOLIDATED=Y","Sort=A","Dates=H","DateFormat=P","Fill=—","Direction=H","UseDPDF=Y")</f>
        <v>177.858</v>
      </c>
      <c r="L11" s="18">
        <f>_xll.BDH("YES IN Equity","TOT_DEBT_TO_TOT_EQY","FY 2018","FY 2018","Currency=INR","Period=FY","BEST_FPERIOD_OVERRIDE=FY","FILING_STATUS=MR","EQY_CONSOLIDATED=Y","Sort=A","Dates=H","DateFormat=P","Fill=—","Direction=H","UseDPDF=Y")</f>
        <v>294.37419999999997</v>
      </c>
      <c r="M11" s="18">
        <f>_xll.BDH("YES IN Equity","TOT_DEBT_TO_TOT_EQY","FY 2019","FY 2019","Currency=INR","Period=FY","BEST_FPERIOD_OVERRIDE=FY","FILING_STATUS=MR","EQY_CONSOLIDATED=Y","Sort=A","Dates=H","DateFormat=P","Fill=—","Direction=H","UseDPDF=Y")</f>
        <v>404.70800000000003</v>
      </c>
      <c r="N11" s="18">
        <f>_xll.BDH("YES IN Equity","TOT_DEBT_TO_TOT_EQY","FY 2020","FY 2020","Currency=INR","Period=FY","BEST_FPERIOD_OVERRIDE=FY","FILING_STATUS=MR","EQY_CONSOLIDATED=Y","Sort=A","Dates=H","DateFormat=P","Fill=—","Direction=H","UseDPDF=Y")</f>
        <v>525.82360000000006</v>
      </c>
      <c r="O11" s="18">
        <f>_xll.BDH("YES IN Equity","TOT_DEBT_TO_TOT_EQY","FY 2021","FY 2021","Currency=INR","Period=FY","BEST_FPERIOD_OVERRIDE=FY","FILING_STATUS=MR","EQY_CONSOLIDATED=Y","Sort=A","Dates=H","DateFormat=P","Fill=—","Direction=H","UseDPDF=Y")</f>
        <v>194.69239999999999</v>
      </c>
      <c r="P11" s="18">
        <f>_xll.BDH("YES IN Equity","TOT_DEBT_TO_TOT_EQY","FY 2022","FY 2022","Currency=INR","Period=FY","BEST_FPERIOD_OVERRIDE=FY","FILING_STATUS=MR","EQY_CONSOLIDATED=Y","Sort=A","Dates=H","DateFormat=P","Fill=—","Direction=H","UseDPDF=Y")</f>
        <v>216.8372</v>
      </c>
      <c r="Q11" s="18">
        <f>_xll.BDH("YES IN Equity","TOT_DEBT_TO_TOT_EQY","FY 2023","FY 2023","Currency=INR","Period=FY","BEST_FPERIOD_OVERRIDE=FY","FILING_STATUS=MR","EQY_CONSOLIDATED=Y","Sort=A","Dates=H","DateFormat=P","Fill=—","Direction=H","UseDPDF=Y")</f>
        <v>192.8013</v>
      </c>
    </row>
    <row r="12" spans="1:17" x14ac:dyDescent="0.25">
      <c r="A12" s="3" t="s">
        <v>81</v>
      </c>
      <c r="B12" s="3" t="s">
        <v>82</v>
      </c>
      <c r="C12" s="18">
        <f>_xll.BDH("YES IN Equity","TOT_DEBT_TO_TOT_CAP","FY 2009","FY 2009","Currency=INR","Period=FY","BEST_FPERIOD_OVERRIDE=FY","FILING_STATUS=MR","EQY_CONSOLIDATED=Y","Sort=A","Dates=H","DateFormat=P","Fill=—","Direction=H","UseDPDF=Y")</f>
        <v>61.389899999999997</v>
      </c>
      <c r="D12" s="18">
        <f>_xll.BDH("YES IN Equity","TOT_DEBT_TO_TOT_CAP","FY 2010","FY 2010","Currency=INR","Period=FY","BEST_FPERIOD_OVERRIDE=FY","FILING_STATUS=MR","EQY_CONSOLIDATED=Y","Sort=A","Dates=H","DateFormat=P","Fill=—","Direction=H","UseDPDF=Y")</f>
        <v>61.199599999999997</v>
      </c>
      <c r="E12" s="18">
        <f>_xll.BDH("YES IN Equity","TOT_DEBT_TO_TOT_CAP","FY 2011","FY 2011","Currency=INR","Period=FY","BEST_FPERIOD_OVERRIDE=FY","FILING_STATUS=MR","EQY_CONSOLIDATED=Y","Sort=A","Dates=H","DateFormat=P","Fill=—","Direction=H","UseDPDF=Y")</f>
        <v>64.076700000000002</v>
      </c>
      <c r="F12" s="18">
        <f>_xll.BDH("YES IN Equity","TOT_DEBT_TO_TOT_CAP","FY 2012","FY 2012","Currency=INR","Period=FY","BEST_FPERIOD_OVERRIDE=FY","FILING_STATUS=MR","EQY_CONSOLIDATED=Y","Sort=A","Dates=H","DateFormat=P","Fill=—","Direction=H","UseDPDF=Y")</f>
        <v>75.422300000000007</v>
      </c>
      <c r="G12" s="18">
        <f>_xll.BDH("YES IN Equity","TOT_DEBT_TO_TOT_CAP","FY 2013","FY 2013","Currency=INR","Period=FY","BEST_FPERIOD_OVERRIDE=FY","FILING_STATUS=MR","EQY_CONSOLIDATED=Y","Sort=A","Dates=H","DateFormat=P","Fill=—","Direction=H","UseDPDF=Y")</f>
        <v>78.379900000000006</v>
      </c>
      <c r="H12" s="18">
        <f>_xll.BDH("YES IN Equity","TOT_DEBT_TO_TOT_CAP","FY 2014","FY 2014","Currency=INR","Period=FY","BEST_FPERIOD_OVERRIDE=FY","FILING_STATUS=MR","EQY_CONSOLIDATED=Y","Sort=A","Dates=H","DateFormat=P","Fill=—","Direction=H","UseDPDF=Y")</f>
        <v>75.151600000000002</v>
      </c>
      <c r="I12" s="18">
        <f>_xll.BDH("YES IN Equity","TOT_DEBT_TO_TOT_CAP","FY 2015","FY 2015","Currency=INR","Period=FY","BEST_FPERIOD_OVERRIDE=FY","FILING_STATUS=MR","EQY_CONSOLIDATED=Y","Sort=A","Dates=H","DateFormat=P","Fill=—","Direction=H","UseDPDF=Y")</f>
        <v>69.483400000000003</v>
      </c>
      <c r="J12" s="18">
        <f>_xll.BDH("YES IN Equity","TOT_DEBT_TO_TOT_CAP","FY 2016","FY 2016","Currency=INR","Period=FY","BEST_FPERIOD_OVERRIDE=FY","FILING_STATUS=MR","EQY_CONSOLIDATED=Y","Sort=A","Dates=H","DateFormat=P","Fill=—","Direction=H","UseDPDF=Y")</f>
        <v>69.910600000000002</v>
      </c>
      <c r="K12" s="18">
        <f>_xll.BDH("YES IN Equity","TOT_DEBT_TO_TOT_CAP","FY 2017","FY 2017","Currency=INR","Period=FY","BEST_FPERIOD_OVERRIDE=FY","FILING_STATUS=MR","EQY_CONSOLIDATED=Y","Sort=A","Dates=H","DateFormat=P","Fill=—","Direction=H","UseDPDF=Y")</f>
        <v>64.010400000000004</v>
      </c>
      <c r="L12" s="18">
        <f>_xll.BDH("YES IN Equity","TOT_DEBT_TO_TOT_CAP","FY 2018","FY 2018","Currency=INR","Period=FY","BEST_FPERIOD_OVERRIDE=FY","FILING_STATUS=MR","EQY_CONSOLIDATED=Y","Sort=A","Dates=H","DateFormat=P","Fill=—","Direction=H","UseDPDF=Y")</f>
        <v>74.6434</v>
      </c>
      <c r="M12" s="18">
        <f>_xll.BDH("YES IN Equity","TOT_DEBT_TO_TOT_CAP","FY 2019","FY 2019","Currency=INR","Period=FY","BEST_FPERIOD_OVERRIDE=FY","FILING_STATUS=MR","EQY_CONSOLIDATED=Y","Sort=A","Dates=H","DateFormat=P","Fill=—","Direction=H","UseDPDF=Y")</f>
        <v>80.186599999999999</v>
      </c>
      <c r="N12" s="18">
        <f>_xll.BDH("YES IN Equity","TOT_DEBT_TO_TOT_CAP","FY 2020","FY 2020","Currency=INR","Period=FY","BEST_FPERIOD_OVERRIDE=FY","FILING_STATUS=MR","EQY_CONSOLIDATED=Y","Sort=A","Dates=H","DateFormat=P","Fill=—","Direction=H","UseDPDF=Y")</f>
        <v>84.021100000000004</v>
      </c>
      <c r="O12" s="18">
        <f>_xll.BDH("YES IN Equity","TOT_DEBT_TO_TOT_CAP","FY 2021","FY 2021","Currency=INR","Period=FY","BEST_FPERIOD_OVERRIDE=FY","FILING_STATUS=MR","EQY_CONSOLIDATED=Y","Sort=A","Dates=H","DateFormat=P","Fill=—","Direction=H","UseDPDF=Y")</f>
        <v>66.066299999999998</v>
      </c>
      <c r="P12" s="18">
        <f>_xll.BDH("YES IN Equity","TOT_DEBT_TO_TOT_CAP","FY 2022","FY 2022","Currency=INR","Period=FY","BEST_FPERIOD_OVERRIDE=FY","FILING_STATUS=MR","EQY_CONSOLIDATED=Y","Sort=A","Dates=H","DateFormat=P","Fill=—","Direction=H","UseDPDF=Y")</f>
        <v>68.438100000000006</v>
      </c>
      <c r="Q12" s="18">
        <f>_xll.BDH("YES IN Equity","TOT_DEBT_TO_TOT_CAP","FY 2023","FY 2023","Currency=INR","Period=FY","BEST_FPERIOD_OVERRIDE=FY","FILING_STATUS=MR","EQY_CONSOLIDATED=Y","Sort=A","Dates=H","DateFormat=P","Fill=—","Direction=H","UseDPDF=Y")</f>
        <v>65.847099999999998</v>
      </c>
    </row>
    <row r="13" spans="1:17" x14ac:dyDescent="0.25">
      <c r="A13" s="3" t="s">
        <v>83</v>
      </c>
      <c r="B13" s="3" t="s">
        <v>84</v>
      </c>
      <c r="C13" s="18">
        <f>_xll.BDH("YES IN Equity","TOT_DEBT_TO_TOT_ASSET","FY 2009","FY 2009","Currency=INR","Period=FY","BEST_FPERIOD_OVERRIDE=FY","FILING_STATUS=MR","EQY_CONSOLIDATED=Y","Sort=A","Dates=H","DateFormat=P","Fill=—","Direction=H","UseDPDF=Y")</f>
        <v>11.276899999999999</v>
      </c>
      <c r="D13" s="18">
        <f>_xll.BDH("YES IN Equity","TOT_DEBT_TO_TOT_ASSET","FY 2010","FY 2010","Currency=INR","Period=FY","BEST_FPERIOD_OVERRIDE=FY","FILING_STATUS=MR","EQY_CONSOLIDATED=Y","Sort=A","Dates=H","DateFormat=P","Fill=—","Direction=H","UseDPDF=Y")</f>
        <v>13.3941</v>
      </c>
      <c r="E13" s="18">
        <f>_xll.BDH("YES IN Equity","TOT_DEBT_TO_TOT_ASSET","FY 2011","FY 2011","Currency=INR","Period=FY","BEST_FPERIOD_OVERRIDE=FY","FILING_STATUS=MR","EQY_CONSOLIDATED=Y","Sort=A","Dates=H","DateFormat=P","Fill=—","Direction=H","UseDPDF=Y")</f>
        <v>11.468999999999999</v>
      </c>
      <c r="F13" s="18">
        <f>_xll.BDH("YES IN Equity","TOT_DEBT_TO_TOT_ASSET","FY 2012","FY 2012","Currency=INR","Period=FY","BEST_FPERIOD_OVERRIDE=FY","FILING_STATUS=MR","EQY_CONSOLIDATED=Y","Sort=A","Dates=H","DateFormat=P","Fill=—","Direction=H","UseDPDF=Y")</f>
        <v>19.482600000000001</v>
      </c>
      <c r="G13" s="18">
        <f>_xll.BDH("YES IN Equity","TOT_DEBT_TO_TOT_ASSET","FY 2013","FY 2013","Currency=INR","Period=FY","BEST_FPERIOD_OVERRIDE=FY","FILING_STATUS=MR","EQY_CONSOLIDATED=Y","Sort=A","Dates=H","DateFormat=P","Fill=—","Direction=H","UseDPDF=Y")</f>
        <v>21.245000000000001</v>
      </c>
      <c r="H13" s="18">
        <f>_xll.BDH("YES IN Equity","TOT_DEBT_TO_TOT_ASSET","FY 2014","FY 2014","Currency=INR","Period=FY","BEST_FPERIOD_OVERRIDE=FY","FILING_STATUS=MR","EQY_CONSOLIDATED=Y","Sort=A","Dates=H","DateFormat=P","Fill=—","Direction=H","UseDPDF=Y")</f>
        <v>19.741599999999998</v>
      </c>
      <c r="I13" s="18">
        <f>_xll.BDH("YES IN Equity","TOT_DEBT_TO_TOT_ASSET","FY 2015","FY 2015","Currency=INR","Period=FY","BEST_FPERIOD_OVERRIDE=FY","FILING_STATUS=MR","EQY_CONSOLIDATED=Y","Sort=A","Dates=H","DateFormat=P","Fill=—","Direction=H","UseDPDF=Y")</f>
        <v>19.509799999999998</v>
      </c>
      <c r="J13" s="18">
        <f>_xll.BDH("YES IN Equity","TOT_DEBT_TO_TOT_ASSET","FY 2016","FY 2016","Currency=INR","Period=FY","BEST_FPERIOD_OVERRIDE=FY","FILING_STATUS=MR","EQY_CONSOLIDATED=Y","Sort=A","Dates=H","DateFormat=P","Fill=—","Direction=H","UseDPDF=Y")</f>
        <v>19.350899999999999</v>
      </c>
      <c r="K13" s="18">
        <f>_xll.BDH("YES IN Equity","TOT_DEBT_TO_TOT_ASSET","FY 2017","FY 2017","Currency=INR","Period=FY","BEST_FPERIOD_OVERRIDE=FY","FILING_STATUS=MR","EQY_CONSOLIDATED=Y","Sort=A","Dates=H","DateFormat=P","Fill=—","Direction=H","UseDPDF=Y")</f>
        <v>18.2271</v>
      </c>
      <c r="L13" s="18">
        <f>_xll.BDH("YES IN Equity","TOT_DEBT_TO_TOT_ASSET","FY 2018","FY 2018","Currency=INR","Period=FY","BEST_FPERIOD_OVERRIDE=FY","FILING_STATUS=MR","EQY_CONSOLIDATED=Y","Sort=A","Dates=H","DateFormat=P","Fill=—","Direction=H","UseDPDF=Y")</f>
        <v>24.262699999999999</v>
      </c>
      <c r="M13" s="18">
        <f>_xll.BDH("YES IN Equity","TOT_DEBT_TO_TOT_ASSET","FY 2019","FY 2019","Currency=INR","Period=FY","BEST_FPERIOD_OVERRIDE=FY","FILING_STATUS=MR","EQY_CONSOLIDATED=Y","Sort=A","Dates=H","DateFormat=P","Fill=—","Direction=H","UseDPDF=Y")</f>
        <v>28.571000000000002</v>
      </c>
      <c r="N13" s="18">
        <f>_xll.BDH("YES IN Equity","TOT_DEBT_TO_TOT_ASSET","FY 2020","FY 2020","Currency=INR","Period=FY","BEST_FPERIOD_OVERRIDE=FY","FILING_STATUS=MR","EQY_CONSOLIDATED=Y","Sort=A","Dates=H","DateFormat=P","Fill=—","Direction=H","UseDPDF=Y")</f>
        <v>44.244799999999998</v>
      </c>
      <c r="O13" s="18">
        <f>_xll.BDH("YES IN Equity","TOT_DEBT_TO_TOT_ASSET","FY 2021","FY 2021","Currency=INR","Period=FY","BEST_FPERIOD_OVERRIDE=FY","FILING_STATUS=MR","EQY_CONSOLIDATED=Y","Sort=A","Dates=H","DateFormat=P","Fill=—","Direction=H","UseDPDF=Y")</f>
        <v>23.581600000000002</v>
      </c>
      <c r="P13" s="18">
        <f>_xll.BDH("YES IN Equity","TOT_DEBT_TO_TOT_ASSET","FY 2022","FY 2022","Currency=INR","Period=FY","BEST_FPERIOD_OVERRIDE=FY","FILING_STATUS=MR","EQY_CONSOLIDATED=Y","Sort=A","Dates=H","DateFormat=P","Fill=—","Direction=H","UseDPDF=Y")</f>
        <v>22.936900000000001</v>
      </c>
      <c r="Q13" s="18">
        <f>_xll.BDH("YES IN Equity","TOT_DEBT_TO_TOT_ASSET","FY 2023","FY 2023","Currency=INR","Period=FY","BEST_FPERIOD_OVERRIDE=FY","FILING_STATUS=MR","EQY_CONSOLIDATED=Y","Sort=A","Dates=H","DateFormat=P","Fill=—","Direction=H","UseDPDF=Y")</f>
        <v>22.101400000000002</v>
      </c>
    </row>
    <row r="14" spans="1:17" x14ac:dyDescent="0.25">
      <c r="A14" s="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25">
      <c r="A15" s="3" t="s">
        <v>85</v>
      </c>
      <c r="B15" s="3" t="s">
        <v>86</v>
      </c>
      <c r="C15" s="18">
        <f>_xll.BDH("YES IN Equity","CASH_FLOW_TO_TOT_LIAB","FY 2009","FY 2009","Currency=INR","Period=FY","BEST_FPERIOD_OVERRIDE=FY","FILING_STATUS=MR","EQY_CONSOLIDATED=Y","Sort=A","Dates=H","DateFormat=P","Fill=—","Direction=H","UseDPDF=Y")</f>
        <v>2.7524000000000002</v>
      </c>
      <c r="D15" s="18">
        <f>_xll.BDH("YES IN Equity","CASH_FLOW_TO_TOT_LIAB","FY 2010","FY 2010","Currency=INR","Period=FY","BEST_FPERIOD_OVERRIDE=FY","FILING_STATUS=MR","EQY_CONSOLIDATED=Y","Sort=A","Dates=H","DateFormat=P","Fill=—","Direction=H","UseDPDF=Y")</f>
        <v>-0.50370000000000004</v>
      </c>
      <c r="E15" s="18">
        <f>_xll.BDH("YES IN Equity","CASH_FLOW_TO_TOT_LIAB","FY 2011","FY 2011","Currency=INR","Period=FY","BEST_FPERIOD_OVERRIDE=FY","FILING_STATUS=MR","EQY_CONSOLIDATED=Y","Sort=A","Dates=H","DateFormat=P","Fill=—","Direction=H","UseDPDF=Y")</f>
        <v>-8.4265000000000008</v>
      </c>
      <c r="F15" s="18">
        <f>_xll.BDH("YES IN Equity","CASH_FLOW_TO_TOT_LIAB","FY 2012","FY 2012","Currency=INR","Period=FY","BEST_FPERIOD_OVERRIDE=FY","FILING_STATUS=MR","EQY_CONSOLIDATED=Y","Sort=A","Dates=H","DateFormat=P","Fill=—","Direction=H","UseDPDF=Y")</f>
        <v>-2.8961000000000001</v>
      </c>
      <c r="G15" s="18">
        <f>_xll.BDH("YES IN Equity","CASH_FLOW_TO_TOT_LIAB","FY 2013","FY 2013","Currency=INR","Period=FY","BEST_FPERIOD_OVERRIDE=FY","FILING_STATUS=MR","EQY_CONSOLIDATED=Y","Sort=A","Dates=H","DateFormat=P","Fill=—","Direction=H","UseDPDF=Y")</f>
        <v>-8.6826000000000008</v>
      </c>
      <c r="H15" s="18">
        <f>_xll.BDH("YES IN Equity","CASH_FLOW_TO_TOT_LIAB","FY 2014","FY 2014","Currency=INR","Period=FY","BEST_FPERIOD_OVERRIDE=FY","FILING_STATUS=MR","EQY_CONSOLIDATED=Y","Sort=A","Dates=H","DateFormat=P","Fill=—","Direction=H","UseDPDF=Y")</f>
        <v>5.8638000000000003</v>
      </c>
      <c r="I15" s="18">
        <f>_xll.BDH("YES IN Equity","CASH_FLOW_TO_TOT_LIAB","FY 2015","FY 2015","Currency=INR","Period=FY","BEST_FPERIOD_OVERRIDE=FY","FILING_STATUS=MR","EQY_CONSOLIDATED=Y","Sort=A","Dates=H","DateFormat=P","Fill=—","Direction=H","UseDPDF=Y")</f>
        <v>1.2919</v>
      </c>
      <c r="J15" s="18">
        <f>_xll.BDH("YES IN Equity","CASH_FLOW_TO_TOT_LIAB","FY 2016","FY 2016","Currency=INR","Period=FY","BEST_FPERIOD_OVERRIDE=FY","FILING_STATUS=MR","EQY_CONSOLIDATED=Y","Sort=A","Dates=H","DateFormat=P","Fill=—","Direction=H","UseDPDF=Y")</f>
        <v>1.4767999999999999</v>
      </c>
      <c r="K15" s="18">
        <f>_xll.BDH("YES IN Equity","CASH_FLOW_TO_TOT_LIAB","FY 2017","FY 2017","Currency=INR","Period=FY","BEST_FPERIOD_OVERRIDE=FY","FILING_STATUS=MR","EQY_CONSOLIDATED=Y","Sort=A","Dates=H","DateFormat=P","Fill=—","Direction=H","UseDPDF=Y")</f>
        <v>4.1176000000000004</v>
      </c>
      <c r="L15" s="18">
        <f>_xll.BDH("YES IN Equity","CASH_FLOW_TO_TOT_LIAB","FY 2018","FY 2018","Currency=INR","Period=FY","BEST_FPERIOD_OVERRIDE=FY","FILING_STATUS=MR","EQY_CONSOLIDATED=Y","Sort=A","Dates=H","DateFormat=P","Fill=—","Direction=H","UseDPDF=Y")</f>
        <v>-2.4895</v>
      </c>
      <c r="M15" s="18">
        <f>_xll.BDH("YES IN Equity","CASH_FLOW_TO_TOT_LIAB","FY 2019","FY 2019","Currency=INR","Period=FY","BEST_FPERIOD_OVERRIDE=FY","FILING_STATUS=MR","EQY_CONSOLIDATED=Y","Sort=A","Dates=H","DateFormat=P","Fill=—","Direction=H","UseDPDF=Y")</f>
        <v>-3.1067999999999998</v>
      </c>
      <c r="N15" s="18">
        <f>_xll.BDH("YES IN Equity","CASH_FLOW_TO_TOT_LIAB","FY 2020","FY 2020","Currency=INR","Period=FY","BEST_FPERIOD_OVERRIDE=FY","FILING_STATUS=MR","EQY_CONSOLIDATED=Y","Sort=A","Dates=H","DateFormat=P","Fill=—","Direction=H","UseDPDF=Y")</f>
        <v>9.4722000000000008</v>
      </c>
      <c r="O15" s="18">
        <f>_xll.BDH("YES IN Equity","CASH_FLOW_TO_TOT_LIAB","FY 2021","FY 2021","Currency=INR","Period=FY","BEST_FPERIOD_OVERRIDE=FY","FILING_STATUS=MR","EQY_CONSOLIDATED=Y","Sort=A","Dates=H","DateFormat=P","Fill=—","Direction=H","UseDPDF=Y")</f>
        <v>0.66049999999999998</v>
      </c>
      <c r="P15" s="18">
        <f>_xll.BDH("YES IN Equity","CASH_FLOW_TO_TOT_LIAB","FY 2022","FY 2022","Currency=INR","Period=FY","BEST_FPERIOD_OVERRIDE=FY","FILING_STATUS=MR","EQY_CONSOLIDATED=Y","Sort=A","Dates=H","DateFormat=P","Fill=—","Direction=H","UseDPDF=Y")</f>
        <v>1.9837</v>
      </c>
      <c r="Q15" s="18">
        <f>_xll.BDH("YES IN Equity","CASH_FLOW_TO_TOT_LIAB","FY 2023","FY 2023","Currency=INR","Period=FY","BEST_FPERIOD_OVERRIDE=FY","FILING_STATUS=MR","EQY_CONSOLIDATED=Y","Sort=A","Dates=H","DateFormat=P","Fill=—","Direction=H","UseDPDF=Y")</f>
        <v>-8.0717999999999996</v>
      </c>
    </row>
    <row r="16" spans="1:17" x14ac:dyDescent="0.25">
      <c r="A16" s="3" t="s">
        <v>87</v>
      </c>
      <c r="B16" s="3" t="s">
        <v>88</v>
      </c>
      <c r="C16" s="18">
        <f>_xll.BDH("YES IN Equity","CAP_EXPEND_RATIO","FY 2009","FY 2009","Currency=INR","Period=FY","BEST_FPERIOD_OVERRIDE=FY","FILING_STATUS=MR","EQY_CONSOLIDATED=Y","Sort=A","Dates=H","DateFormat=P","Fill=—","Direction=H","UseDPDF=Y")</f>
        <v>9.0177999999999994</v>
      </c>
      <c r="D16" s="18">
        <f>_xll.BDH("YES IN Equity","CAP_EXPEND_RATIO","FY 2010","FY 2010","Currency=INR","Period=FY","BEST_FPERIOD_OVERRIDE=FY","FILING_STATUS=MR","EQY_CONSOLIDATED=Y","Sort=A","Dates=H","DateFormat=P","Fill=—","Direction=H","UseDPDF=Y")</f>
        <v>-10.693300000000001</v>
      </c>
      <c r="E16" s="18">
        <f>_xll.BDH("YES IN Equity","CAP_EXPEND_RATIO","FY 2011","FY 2011","Currency=INR","Period=FY","BEST_FPERIOD_OVERRIDE=FY","FILING_STATUS=MR","EQY_CONSOLIDATED=Y","Sort=A","Dates=H","DateFormat=P","Fill=—","Direction=H","UseDPDF=Y")</f>
        <v>-171.15629999999999</v>
      </c>
      <c r="F16" s="18">
        <f>_xll.BDH("YES IN Equity","CAP_EXPEND_RATIO","FY 2012","FY 2012","Currency=INR","Period=FY","BEST_FPERIOD_OVERRIDE=FY","FILING_STATUS=MR","EQY_CONSOLIDATED=Y","Sort=A","Dates=H","DateFormat=P","Fill=—","Direction=H","UseDPDF=Y")</f>
        <v>-20.910699999999999</v>
      </c>
      <c r="G16" s="18">
        <f>_xll.BDH("YES IN Equity","CAP_EXPEND_RATIO","FY 2013","FY 2013","Currency=INR","Period=FY","BEST_FPERIOD_OVERRIDE=FY","FILING_STATUS=MR","EQY_CONSOLIDATED=Y","Sort=A","Dates=H","DateFormat=P","Fill=—","Direction=H","UseDPDF=Y")</f>
        <v>-75.784800000000004</v>
      </c>
      <c r="H16" s="18">
        <f>_xll.BDH("YES IN Equity","CAP_EXPEND_RATIO","FY 2014","FY 2014","Currency=INR","Period=FY","BEST_FPERIOD_OVERRIDE=FY","FILING_STATUS=MR","EQY_CONSOLIDATED=Y","Sort=A","Dates=H","DateFormat=P","Fill=—","Direction=H","UseDPDF=Y")</f>
        <v>44.6935</v>
      </c>
      <c r="I16" s="18">
        <f>_xll.BDH("YES IN Equity","CAP_EXPEND_RATIO","FY 2015","FY 2015","Currency=INR","Period=FY","BEST_FPERIOD_OVERRIDE=FY","FILING_STATUS=MR","EQY_CONSOLIDATED=Y","Sort=A","Dates=H","DateFormat=P","Fill=—","Direction=H","UseDPDF=Y")</f>
        <v>14.2182</v>
      </c>
      <c r="J16" s="18">
        <f>_xll.BDH("YES IN Equity","CAP_EXPEND_RATIO","FY 2016","FY 2016","Currency=INR","Period=FY","BEST_FPERIOD_OVERRIDE=FY","FILING_STATUS=MR","EQY_CONSOLIDATED=Y","Sort=A","Dates=H","DateFormat=P","Fill=—","Direction=H","UseDPDF=Y")</f>
        <v>8.3872999999999998</v>
      </c>
      <c r="K16" s="18">
        <f>_xll.BDH("YES IN Equity","CAP_EXPEND_RATIO","FY 2017","FY 2017","Currency=INR","Period=FY","BEST_FPERIOD_OVERRIDE=FY","FILING_STATUS=MR","EQY_CONSOLIDATED=Y","Sort=A","Dates=H","DateFormat=P","Fill=—","Direction=H","UseDPDF=Y")</f>
        <v>20.420000000000002</v>
      </c>
      <c r="L16" s="18">
        <f>_xll.BDH("YES IN Equity","CAP_EXPEND_RATIO","FY 2018","FY 2018","Currency=INR","Period=FY","BEST_FPERIOD_OVERRIDE=FY","FILING_STATUS=MR","EQY_CONSOLIDATED=Y","Sort=A","Dates=H","DateFormat=P","Fill=—","Direction=H","UseDPDF=Y")</f>
        <v>-18.149799999999999</v>
      </c>
      <c r="M16" s="18">
        <f>_xll.BDH("YES IN Equity","CAP_EXPEND_RATIO","FY 2019","FY 2019","Currency=INR","Period=FY","BEST_FPERIOD_OVERRIDE=FY","FILING_STATUS=MR","EQY_CONSOLIDATED=Y","Sort=A","Dates=H","DateFormat=P","Fill=—","Direction=H","UseDPDF=Y")</f>
        <v>-36.272399999999998</v>
      </c>
      <c r="N16" s="18">
        <f>_xll.BDH("YES IN Equity","CAP_EXPEND_RATIO","FY 2020","FY 2020","Currency=INR","Period=FY","BEST_FPERIOD_OVERRIDE=FY","FILING_STATUS=MR","EQY_CONSOLIDATED=Y","Sort=A","Dates=H","DateFormat=P","Fill=—","Direction=H","UseDPDF=Y")</f>
        <v>41.291600000000003</v>
      </c>
      <c r="O16" s="18">
        <f>_xll.BDH("YES IN Equity","CAP_EXPEND_RATIO","FY 2021","FY 2021","Currency=INR","Period=FY","BEST_FPERIOD_OVERRIDE=FY","FILING_STATUS=MR","EQY_CONSOLIDATED=Y","Sort=A","Dates=H","DateFormat=P","Fill=—","Direction=H","UseDPDF=Y")</f>
        <v>5.8913000000000002</v>
      </c>
      <c r="P16" s="18">
        <f>_xll.BDH("YES IN Equity","CAP_EXPEND_RATIO","FY 2022","FY 2022","Currency=INR","Period=FY","BEST_FPERIOD_OVERRIDE=FY","FILING_STATUS=MR","EQY_CONSOLIDATED=Y","Sort=A","Dates=H","DateFormat=P","Fill=—","Direction=H","UseDPDF=Y")</f>
        <v>13.7737</v>
      </c>
      <c r="Q16" s="18">
        <f>_xll.BDH("YES IN Equity","CAP_EXPEND_RATIO","FY 2023","FY 2023","Currency=INR","Period=FY","BEST_FPERIOD_OVERRIDE=FY","FILING_STATUS=MR","EQY_CONSOLIDATED=Y","Sort=A","Dates=H","DateFormat=P","Fill=—","Direction=H","UseDPDF=Y")</f>
        <v>-32.067999999999998</v>
      </c>
    </row>
    <row r="17" spans="1:17" x14ac:dyDescent="0.25">
      <c r="A17" s="3" t="s">
        <v>71</v>
      </c>
      <c r="B17" s="3" t="s">
        <v>72</v>
      </c>
      <c r="C17" s="18">
        <f>_xll.BDH("YES IN Equity","COM_EQY_TO_TOT_ASSET","FY 2009","FY 2009","Currency=INR","Period=FY","BEST_FPERIOD_OVERRIDE=FY","FILING_STATUS=MR","EQY_CONSOLIDATED=Y","Sort=A","Dates=H","DateFormat=P","Fill=—","Direction=H","UseDPDF=Y")</f>
        <v>7.0923999999999996</v>
      </c>
      <c r="D17" s="18">
        <f>_xll.BDH("YES IN Equity","COM_EQY_TO_TOT_ASSET","FY 2010","FY 2010","Currency=INR","Period=FY","BEST_FPERIOD_OVERRIDE=FY","FILING_STATUS=MR","EQY_CONSOLIDATED=Y","Sort=A","Dates=H","DateFormat=P","Fill=—","Direction=H","UseDPDF=Y")</f>
        <v>8.4918999999999993</v>
      </c>
      <c r="E17" s="18">
        <f>_xll.BDH("YES IN Equity","COM_EQY_TO_TOT_ASSET","FY 2011","FY 2011","Currency=INR","Period=FY","BEST_FPERIOD_OVERRIDE=FY","FILING_STATUS=MR","EQY_CONSOLIDATED=Y","Sort=A","Dates=H","DateFormat=P","Fill=—","Direction=H","UseDPDF=Y")</f>
        <v>6.4298999999999999</v>
      </c>
      <c r="F17" s="18">
        <f>_xll.BDH("YES IN Equity","COM_EQY_TO_TOT_ASSET","FY 2012","FY 2012","Currency=INR","Period=FY","BEST_FPERIOD_OVERRIDE=FY","FILING_STATUS=MR","EQY_CONSOLIDATED=Y","Sort=A","Dates=H","DateFormat=P","Fill=—","Direction=H","UseDPDF=Y")</f>
        <v>6.3487999999999998</v>
      </c>
      <c r="G17" s="18">
        <f>_xll.BDH("YES IN Equity","COM_EQY_TO_TOT_ASSET","FY 2013","FY 2013","Currency=INR","Period=FY","BEST_FPERIOD_OVERRIDE=FY","FILING_STATUS=MR","EQY_CONSOLIDATED=Y","Sort=A","Dates=H","DateFormat=P","Fill=—","Direction=H","UseDPDF=Y")</f>
        <v>5.8601999999999999</v>
      </c>
      <c r="H17" s="18">
        <f>_xll.BDH("YES IN Equity","COM_EQY_TO_TOT_ASSET","FY 2014","FY 2014","Currency=INR","Period=FY","BEST_FPERIOD_OVERRIDE=FY","FILING_STATUS=MR","EQY_CONSOLIDATED=Y","Sort=A","Dates=H","DateFormat=P","Fill=—","Direction=H","UseDPDF=Y")</f>
        <v>6.5274000000000001</v>
      </c>
      <c r="I17" s="18">
        <f>_xll.BDH("YES IN Equity","COM_EQY_TO_TOT_ASSET","FY 2015","FY 2015","Currency=INR","Period=FY","BEST_FPERIOD_OVERRIDE=FY","FILING_STATUS=MR","EQY_CONSOLIDATED=Y","Sort=A","Dates=H","DateFormat=P","Fill=—","Direction=H","UseDPDF=Y")</f>
        <v>8.5686</v>
      </c>
      <c r="J17" s="18">
        <f>_xll.BDH("YES IN Equity","COM_EQY_TO_TOT_ASSET","FY 2016","FY 2016","Currency=INR","Period=FY","BEST_FPERIOD_OVERRIDE=FY","FILING_STATUS=MR","EQY_CONSOLIDATED=Y","Sort=A","Dates=H","DateFormat=P","Fill=—","Direction=H","UseDPDF=Y")</f>
        <v>8.3285999999999998</v>
      </c>
      <c r="K17" s="18">
        <f>_xll.BDH("YES IN Equity","COM_EQY_TO_TOT_ASSET","FY 2017","FY 2017","Currency=INR","Period=FY","BEST_FPERIOD_OVERRIDE=FY","FILING_STATUS=MR","EQY_CONSOLIDATED=Y","Sort=A","Dates=H","DateFormat=P","Fill=—","Direction=H","UseDPDF=Y")</f>
        <v>10.248100000000001</v>
      </c>
      <c r="L17" s="18">
        <f>_xll.BDH("YES IN Equity","COM_EQY_TO_TOT_ASSET","FY 2018","FY 2018","Currency=INR","Period=FY","BEST_FPERIOD_OVERRIDE=FY","FILING_STATUS=MR","EQY_CONSOLIDATED=Y","Sort=A","Dates=H","DateFormat=P","Fill=—","Direction=H","UseDPDF=Y")</f>
        <v>8.2421000000000006</v>
      </c>
      <c r="M17" s="18">
        <f>_xll.BDH("YES IN Equity","COM_EQY_TO_TOT_ASSET","FY 2019","FY 2019","Currency=INR","Period=FY","BEST_FPERIOD_OVERRIDE=FY","FILING_STATUS=MR","EQY_CONSOLIDATED=Y","Sort=A","Dates=H","DateFormat=P","Fill=—","Direction=H","UseDPDF=Y")</f>
        <v>7.0597000000000003</v>
      </c>
      <c r="N17" s="18">
        <f>_xll.BDH("YES IN Equity","COM_EQY_TO_TOT_ASSET","FY 2020","FY 2020","Currency=INR","Period=FY","BEST_FPERIOD_OVERRIDE=FY","FILING_STATUS=MR","EQY_CONSOLIDATED=Y","Sort=A","Dates=H","DateFormat=P","Fill=—","Direction=H","UseDPDF=Y")</f>
        <v>8.4144000000000005</v>
      </c>
      <c r="O17" s="18">
        <f>_xll.BDH("YES IN Equity","COM_EQY_TO_TOT_ASSET","FY 2021","FY 2021","Currency=INR","Period=FY","BEST_FPERIOD_OVERRIDE=FY","FILING_STATUS=MR","EQY_CONSOLIDATED=Y","Sort=A","Dates=H","DateFormat=P","Fill=—","Direction=H","UseDPDF=Y")</f>
        <v>12.1122</v>
      </c>
      <c r="P17" s="18">
        <f>_xll.BDH("YES IN Equity","COM_EQY_TO_TOT_ASSET","FY 2022","FY 2022","Currency=INR","Period=FY","BEST_FPERIOD_OVERRIDE=FY","FILING_STATUS=MR","EQY_CONSOLIDATED=Y","Sort=A","Dates=H","DateFormat=P","Fill=—","Direction=H","UseDPDF=Y")</f>
        <v>10.5779</v>
      </c>
      <c r="Q17" s="18">
        <f>_xll.BDH("YES IN Equity","COM_EQY_TO_TOT_ASSET","FY 2023","FY 2023","Currency=INR","Period=FY","BEST_FPERIOD_OVERRIDE=FY","FILING_STATUS=MR","EQY_CONSOLIDATED=Y","Sort=A","Dates=H","DateFormat=P","Fill=—","Direction=H","UseDPDF=Y")</f>
        <v>11.4633</v>
      </c>
    </row>
    <row r="18" spans="1:17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25">
      <c r="A20" s="3" t="s">
        <v>109</v>
      </c>
      <c r="B20" s="3" t="s">
        <v>110</v>
      </c>
      <c r="C20" s="1" t="str">
        <f>_xll.BDH("YES IN Equity","BS_TOT_COM_PAPER_ISSUED","FY 2009","FY 2009","Currency=INR","Period=FY","BEST_FPERIOD_OVERRIDE=FY","FILING_STATUS=MR","EQY_CONSOLIDATED=Y","SCALING_FORMAT=MLN","Sort=A","Dates=H","DateFormat=P","Fill=—","Direction=H","UseDPDF=Y")</f>
        <v>—</v>
      </c>
      <c r="D20" s="1" t="str">
        <f>_xll.BDH("YES IN Equity","BS_TOT_COM_PAPER_ISSUED","FY 2010","FY 2010","Currency=INR","Period=FY","BEST_FPERIOD_OVERRIDE=FY","FILING_STATUS=MR","EQY_CONSOLIDATED=Y","SCALING_FORMAT=MLN","Sort=A","Dates=H","DateFormat=P","Fill=—","Direction=H","UseDPDF=Y")</f>
        <v>—</v>
      </c>
      <c r="E20" s="1" t="str">
        <f>_xll.BDH("YES IN Equity","BS_TOT_COM_PAPER_ISSUED","FY 2011","FY 2011","Currency=INR","Period=FY","BEST_FPERIOD_OVERRIDE=FY","FILING_STATUS=MR","EQY_CONSOLIDATED=Y","SCALING_FORMAT=MLN","Sort=A","Dates=H","DateFormat=P","Fill=—","Direction=H","UseDPDF=Y")</f>
        <v>—</v>
      </c>
      <c r="F20" s="1" t="str">
        <f>_xll.BDH("YES IN Equity","BS_TOT_COM_PAPER_ISSUED","FY 2012","FY 2012","Currency=INR","Period=FY","BEST_FPERIOD_OVERRIDE=FY","FILING_STATUS=MR","EQY_CONSOLIDATED=Y","SCALING_FORMAT=MLN","Sort=A","Dates=H","DateFormat=P","Fill=—","Direction=H","UseDPDF=Y")</f>
        <v>—</v>
      </c>
      <c r="G20" s="1">
        <f>_xll.BDH("YES IN Equity","BS_TOT_COM_PAPER_ISSUED","FY 2013","FY 2013","Currency=INR","Period=FY","BEST_FPERIOD_OVERRIDE=FY","FILING_STATUS=MR","EQY_CONSOLIDATED=Y","SCALING_FORMAT=MLN","Sort=A","Dates=H","DateFormat=P","Fill=—","Direction=H","UseDPDF=Y")</f>
        <v>0</v>
      </c>
      <c r="H20" s="1">
        <f>_xll.BDH("YES IN Equity","BS_TOT_COM_PAPER_ISSUED","FY 2014","FY 2014","Currency=INR","Period=FY","BEST_FPERIOD_OVERRIDE=FY","FILING_STATUS=MR","EQY_CONSOLIDATED=Y","SCALING_FORMAT=MLN","Sort=A","Dates=H","DateFormat=P","Fill=—","Direction=H","UseDPDF=Y")</f>
        <v>0</v>
      </c>
      <c r="I20" s="1">
        <f>_xll.BDH("YES IN Equity","BS_TOT_COM_PAPER_ISSUED","FY 2015","FY 2015","Currency=INR","Period=FY","BEST_FPERIOD_OVERRIDE=FY","FILING_STATUS=MR","EQY_CONSOLIDATED=Y","SCALING_FORMAT=MLN","Sort=A","Dates=H","DateFormat=P","Fill=—","Direction=H","UseDPDF=Y")</f>
        <v>0</v>
      </c>
      <c r="J20" s="1" t="str">
        <f>_xll.BDH("YES IN Equity","BS_TOT_COM_PAPER_ISSUED","FY 2016","FY 2016","Currency=INR","Period=FY","BEST_FPERIOD_OVERRIDE=FY","FILING_STATUS=MR","EQY_CONSOLIDATED=Y","SCALING_FORMAT=MLN","Sort=A","Dates=H","DateFormat=P","Fill=—","Direction=H","UseDPDF=Y")</f>
        <v>—</v>
      </c>
      <c r="K20" s="1" t="str">
        <f>_xll.BDH("YES IN Equity","BS_TOT_COM_PAPER_ISSUED","FY 2017","FY 2017","Currency=INR","Period=FY","BEST_FPERIOD_OVERRIDE=FY","FILING_STATUS=MR","EQY_CONSOLIDATED=Y","SCALING_FORMAT=MLN","Sort=A","Dates=H","DateFormat=P","Fill=—","Direction=H","UseDPDF=Y")</f>
        <v>—</v>
      </c>
      <c r="L20" s="1" t="str">
        <f>_xll.BDH("YES IN Equity","BS_TOT_COM_PAPER_ISSUED","FY 2018","FY 2018","Currency=INR","Period=FY","BEST_FPERIOD_OVERRIDE=FY","FILING_STATUS=MR","EQY_CONSOLIDATED=Y","SCALING_FORMAT=MLN","Sort=A","Dates=H","DateFormat=P","Fill=—","Direction=H","UseDPDF=Y")</f>
        <v>—</v>
      </c>
      <c r="M20" s="1" t="str">
        <f>_xll.BDH("YES IN Equity","BS_TOT_COM_PAPER_ISSUED","FY 2019","FY 2019","Currency=INR","Period=FY","BEST_FPERIOD_OVERRIDE=FY","FILING_STATUS=MR","EQY_CONSOLIDATED=Y","SCALING_FORMAT=MLN","Sort=A","Dates=H","DateFormat=P","Fill=—","Direction=H","UseDPDF=Y")</f>
        <v>—</v>
      </c>
      <c r="N20" s="1" t="str">
        <f>_xll.BDH("YES IN Equity","BS_TOT_COM_PAPER_ISSUED","FY 2020","FY 2020","Currency=INR","Period=FY","BEST_FPERIOD_OVERRIDE=FY","FILING_STATUS=MR","EQY_CONSOLIDATED=Y","SCALING_FORMAT=MLN","Sort=A","Dates=H","DateFormat=P","Fill=—","Direction=H","UseDPDF=Y")</f>
        <v>—</v>
      </c>
      <c r="O20" s="1" t="str">
        <f>_xll.BDH("YES IN Equity","BS_TOT_COM_PAPER_ISSUED","FY 2021","FY 2021","Currency=INR","Period=FY","BEST_FPERIOD_OVERRIDE=FY","FILING_STATUS=MR","EQY_CONSOLIDATED=Y","SCALING_FORMAT=MLN","Sort=A","Dates=H","DateFormat=P","Fill=—","Direction=H","UseDPDF=Y")</f>
        <v>—</v>
      </c>
      <c r="P20" s="1" t="str">
        <f>_xll.BDH("YES IN Equity","BS_TOT_COM_PAPER_ISSUED","FY 2022","FY 2022","Currency=INR","Period=FY","BEST_FPERIOD_OVERRIDE=FY","FILING_STATUS=MR","EQY_CONSOLIDATED=Y","SCALING_FORMAT=MLN","Sort=A","Dates=H","DateFormat=P","Fill=—","Direction=H","UseDPDF=Y")</f>
        <v>—</v>
      </c>
      <c r="Q20" s="1" t="str">
        <f>_xll.BDH("YES IN Equity","BS_TOT_COM_PAPER_ISSUED","FY 2023","FY 2023","Currency=INR","Period=FY","BEST_FPERIOD_OVERRIDE=FY","FILING_STATUS=MR","EQY_CONSOLIDATED=Y","SCALING_FORMAT=MLN","Sort=A","Dates=H","DateFormat=P","Fill=—","Direction=H","UseDPDF=Y")</f>
        <v>—</v>
      </c>
    </row>
    <row r="21" spans="1:17" x14ac:dyDescent="0.25">
      <c r="A21" s="13" t="s">
        <v>61</v>
      </c>
      <c r="B21" s="13"/>
      <c r="C21" s="13" t="s"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48BD-B07B-46AA-B7D4-6A4A812442C9}">
  <dimension ref="A1:M25"/>
  <sheetViews>
    <sheetView workbookViewId="0">
      <selection sqref="A1:XFD1048576"/>
    </sheetView>
  </sheetViews>
  <sheetFormatPr defaultRowHeight="15" x14ac:dyDescent="0.25"/>
  <cols>
    <col min="1" max="1" width="35.140625" customWidth="1"/>
    <col min="2" max="2" width="0" hidden="1" customWidth="1"/>
    <col min="3" max="13" width="11.85546875" customWidth="1"/>
  </cols>
  <sheetData>
    <row r="1" spans="1:1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20.25" x14ac:dyDescent="0.25">
      <c r="A2" s="14" t="s">
        <v>124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6" t="s">
        <v>3</v>
      </c>
      <c r="B4" s="6"/>
      <c r="C4" s="5" t="s">
        <v>121</v>
      </c>
      <c r="D4" s="5" t="s">
        <v>4</v>
      </c>
      <c r="E4" s="5" t="s">
        <v>5</v>
      </c>
      <c r="F4" s="5" t="s">
        <v>6</v>
      </c>
      <c r="G4" s="5" t="s">
        <v>1</v>
      </c>
      <c r="H4" s="5" t="s">
        <v>8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</row>
    <row r="5" spans="1:13" x14ac:dyDescent="0.25">
      <c r="A5" s="15" t="s">
        <v>15</v>
      </c>
      <c r="B5" s="15"/>
      <c r="C5" s="4" t="s">
        <v>122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123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</row>
    <row r="6" spans="1:13" x14ac:dyDescent="0.25">
      <c r="A6" s="3" t="s">
        <v>63</v>
      </c>
      <c r="B6" s="3" t="s">
        <v>64</v>
      </c>
      <c r="C6" s="18">
        <f>_xll.BDH("KAIR IN Equity","CASH_RATIO","FY 2001","FY 2001","Currency=INR","Period=FY","BEST_FPERIOD_OVERRIDE=FY","FILING_STATUS=MR","EQY_CONSOLIDATED=N","Sort=A","Dates=H","DateFormat=P","Fill=—","Direction=H","UseDPDF=Y")</f>
        <v>2.0500000000000001E-2</v>
      </c>
      <c r="D6" s="18">
        <f>_xll.BDH("KAIR IN Equity","CASH_RATIO","FY 2002","FY 2002","Currency=INR","Period=FY","BEST_FPERIOD_OVERRIDE=FY","FILING_STATUS=MR","EQY_CONSOLIDATED=N","Sort=A","Dates=H","DateFormat=P","Fill=—","Direction=H","UseDPDF=Y")</f>
        <v>0.10639999999999999</v>
      </c>
      <c r="E6" s="18">
        <f>_xll.BDH("KAIR IN Equity","CASH_RATIO","FY 2003","FY 2003","Currency=INR","Period=FY","BEST_FPERIOD_OVERRIDE=FY","FILING_STATUS=MR","EQY_CONSOLIDATED=N","Sort=A","Dates=H","DateFormat=P","Fill=—","Direction=H","UseDPDF=Y")</f>
        <v>0.2024</v>
      </c>
      <c r="F6" s="18">
        <f>_xll.BDH("KAIR IN Equity","CASH_RATIO","FY 2004","FY 2004","Currency=INR","Period=FY","BEST_FPERIOD_OVERRIDE=FY","FILING_STATUS=MR","EQY_CONSOLIDATED=N","Sort=A","Dates=H","DateFormat=P","Fill=—","Direction=H","UseDPDF=Y")</f>
        <v>0.62109999999999999</v>
      </c>
      <c r="G6" s="18">
        <f>_xll.BDH("KAIR IN Equity","CASH_RATIO","FY 2005","FY 2005","Currency=INR","Period=FY","BEST_FPERIOD_OVERRIDE=FY","FILING_STATUS=MR","EQY_CONSOLIDATED=N","Sort=A","Dates=H","DateFormat=P","Fill=—","Direction=H","UseDPDF=Y")</f>
        <v>0.33500000000000002</v>
      </c>
      <c r="H6" s="18">
        <f>_xll.BDH("KAIR IN Equity","CASH_RATIO","FY 2007","FY 2007","Currency=INR","Period=FY","BEST_FPERIOD_OVERRIDE=FY","FILING_STATUS=MR","EQY_CONSOLIDATED=N","Sort=A","Dates=H","DateFormat=P","Fill=—","Direction=H","UseDPDF=Y")</f>
        <v>0.78439999999999999</v>
      </c>
      <c r="I6" s="18">
        <f>_xll.BDH("KAIR IN Equity","CASH_RATIO","FY 2009","FY 2009","Currency=INR","Period=FY","BEST_FPERIOD_OVERRIDE=FY","FILING_STATUS=MR","EQY_CONSOLIDATED=N","Sort=A","Dates=H","DateFormat=P","Fill=—","Direction=H","UseDPDF=Y")</f>
        <v>3.49E-2</v>
      </c>
      <c r="J6" s="18">
        <f>_xll.BDH("KAIR IN Equity","CASH_RATIO","FY 2010","FY 2010","Currency=INR","Period=FY","BEST_FPERIOD_OVERRIDE=FY","FILING_STATUS=MR","EQY_CONSOLIDATED=N","Sort=A","Dates=H","DateFormat=P","Fill=—","Direction=H","UseDPDF=Y")</f>
        <v>2.3599999999999999E-2</v>
      </c>
      <c r="K6" s="18">
        <f>_xll.BDH("KAIR IN Equity","CASH_RATIO","FY 2011","FY 2011","Currency=INR","Period=FY","BEST_FPERIOD_OVERRIDE=FY","FILING_STATUS=MR","EQY_CONSOLIDATED=N","Sort=A","Dates=H","DateFormat=P","Fill=—","Direction=H","UseDPDF=Y")</f>
        <v>1.8100000000000002E-2</v>
      </c>
      <c r="L6" s="18">
        <f>_xll.BDH("KAIR IN Equity","CASH_RATIO","FY 2012","FY 2012","Currency=INR","Period=FY","BEST_FPERIOD_OVERRIDE=FY","FILING_STATUS=MR","EQY_CONSOLIDATED=N","Sort=A","Dates=H","DateFormat=P","Fill=—","Direction=H","UseDPDF=Y")</f>
        <v>5.7999999999999996E-3</v>
      </c>
      <c r="M6" s="18">
        <f>_xll.BDH("KAIR IN Equity","CASH_RATIO","FY 2013","FY 2013","Currency=INR","Period=FY","BEST_FPERIOD_OVERRIDE=FY","FILING_STATUS=MR","EQY_CONSOLIDATED=N","Sort=A","Dates=H","DateFormat=P","Fill=—","Direction=H","UseDPDF=Y")</f>
        <v>1.1999999999999999E-3</v>
      </c>
    </row>
    <row r="7" spans="1:13" x14ac:dyDescent="0.25">
      <c r="A7" s="3" t="s">
        <v>65</v>
      </c>
      <c r="B7" s="3" t="s">
        <v>66</v>
      </c>
      <c r="C7" s="18">
        <f>_xll.BDH("KAIR IN Equity","CUR_RATIO","FY 2001","FY 2001","Currency=INR","Period=FY","BEST_FPERIOD_OVERRIDE=FY","FILING_STATUS=MR","EQY_CONSOLIDATED=N","Sort=A","Dates=H","DateFormat=P","Fill=—","Direction=H","UseDPDF=Y")</f>
        <v>2.0121000000000002</v>
      </c>
      <c r="D7" s="18">
        <f>_xll.BDH("KAIR IN Equity","CUR_RATIO","FY 2002","FY 2002","Currency=INR","Period=FY","BEST_FPERIOD_OVERRIDE=FY","FILING_STATUS=MR","EQY_CONSOLIDATED=N","Sort=A","Dates=H","DateFormat=P","Fill=—","Direction=H","UseDPDF=Y")</f>
        <v>2.5316000000000001</v>
      </c>
      <c r="E7" s="18">
        <f>_xll.BDH("KAIR IN Equity","CUR_RATIO","FY 2003","FY 2003","Currency=INR","Period=FY","BEST_FPERIOD_OVERRIDE=FY","FILING_STATUS=MR","EQY_CONSOLIDATED=N","Sort=A","Dates=H","DateFormat=P","Fill=—","Direction=H","UseDPDF=Y")</f>
        <v>1.4187000000000001</v>
      </c>
      <c r="F7" s="18">
        <f>_xll.BDH("KAIR IN Equity","CUR_RATIO","FY 2004","FY 2004","Currency=INR","Period=FY","BEST_FPERIOD_OVERRIDE=FY","FILING_STATUS=MR","EQY_CONSOLIDATED=N","Sort=A","Dates=H","DateFormat=P","Fill=—","Direction=H","UseDPDF=Y")</f>
        <v>1.8644000000000001</v>
      </c>
      <c r="G7" s="18">
        <f>_xll.BDH("KAIR IN Equity","CUR_RATIO","FY 2005","FY 2005","Currency=INR","Period=FY","BEST_FPERIOD_OVERRIDE=FY","FILING_STATUS=MR","EQY_CONSOLIDATED=N","Sort=A","Dates=H","DateFormat=P","Fill=—","Direction=H","UseDPDF=Y")</f>
        <v>0.70640000000000003</v>
      </c>
      <c r="H7" s="18">
        <f>_xll.BDH("KAIR IN Equity","CUR_RATIO","FY 2007","FY 2007","Currency=INR","Period=FY","BEST_FPERIOD_OVERRIDE=FY","FILING_STATUS=MR","EQY_CONSOLIDATED=N","Sort=A","Dates=H","DateFormat=P","Fill=—","Direction=H","UseDPDF=Y")</f>
        <v>1.0629999999999999</v>
      </c>
      <c r="I7" s="18">
        <f>_xll.BDH("KAIR IN Equity","CUR_RATIO","FY 2009","FY 2009","Currency=INR","Period=FY","BEST_FPERIOD_OVERRIDE=FY","FILING_STATUS=MR","EQY_CONSOLIDATED=N","Sort=A","Dates=H","DateFormat=P","Fill=—","Direction=H","UseDPDF=Y")</f>
        <v>0.25009999999999999</v>
      </c>
      <c r="J7" s="18">
        <f>_xll.BDH("KAIR IN Equity","CUR_RATIO","FY 2010","FY 2010","Currency=INR","Period=FY","BEST_FPERIOD_OVERRIDE=FY","FILING_STATUS=MR","EQY_CONSOLIDATED=N","Sort=A","Dates=H","DateFormat=P","Fill=—","Direction=H","UseDPDF=Y")</f>
        <v>0.28060000000000002</v>
      </c>
      <c r="K7" s="18">
        <f>_xll.BDH("KAIR IN Equity","CUR_RATIO","FY 2011","FY 2011","Currency=INR","Period=FY","BEST_FPERIOD_OVERRIDE=FY","FILING_STATUS=MR","EQY_CONSOLIDATED=N","Sort=A","Dates=H","DateFormat=P","Fill=—","Direction=H","UseDPDF=Y")</f>
        <v>0.36009999999999998</v>
      </c>
      <c r="L7" s="18">
        <f>_xll.BDH("KAIR IN Equity","CUR_RATIO","FY 2012","FY 2012","Currency=INR","Period=FY","BEST_FPERIOD_OVERRIDE=FY","FILING_STATUS=MR","EQY_CONSOLIDATED=N","Sort=A","Dates=H","DateFormat=P","Fill=—","Direction=H","UseDPDF=Y")</f>
        <v>0.18</v>
      </c>
      <c r="M7" s="18">
        <f>_xll.BDH("KAIR IN Equity","CUR_RATIO","FY 2013","FY 2013","Currency=INR","Period=FY","BEST_FPERIOD_OVERRIDE=FY","FILING_STATUS=MR","EQY_CONSOLIDATED=N","Sort=A","Dates=H","DateFormat=P","Fill=—","Direction=H","UseDPDF=Y")</f>
        <v>9.8199999999999996E-2</v>
      </c>
    </row>
    <row r="8" spans="1:13" x14ac:dyDescent="0.25">
      <c r="A8" s="3" t="s">
        <v>67</v>
      </c>
      <c r="B8" s="3" t="s">
        <v>68</v>
      </c>
      <c r="C8" s="18">
        <f>_xll.BDH("KAIR IN Equity","QUICK_RATIO","FY 2001","FY 2001","Currency=INR","Period=FY","BEST_FPERIOD_OVERRIDE=FY","FILING_STATUS=MR","EQY_CONSOLIDATED=N","Sort=A","Dates=H","DateFormat=P","Fill=—","Direction=H","UseDPDF=Y")</f>
        <v>0.81759999999999999</v>
      </c>
      <c r="D8" s="18">
        <f>_xll.BDH("KAIR IN Equity","QUICK_RATIO","FY 2002","FY 2002","Currency=INR","Period=FY","BEST_FPERIOD_OVERRIDE=FY","FILING_STATUS=MR","EQY_CONSOLIDATED=N","Sort=A","Dates=H","DateFormat=P","Fill=—","Direction=H","UseDPDF=Y")</f>
        <v>0.83860000000000001</v>
      </c>
      <c r="E8" s="18">
        <f>_xll.BDH("KAIR IN Equity","QUICK_RATIO","FY 2003","FY 2003","Currency=INR","Period=FY","BEST_FPERIOD_OVERRIDE=FY","FILING_STATUS=MR","EQY_CONSOLIDATED=N","Sort=A","Dates=H","DateFormat=P","Fill=—","Direction=H","UseDPDF=Y")</f>
        <v>0.53210000000000002</v>
      </c>
      <c r="F8" s="18">
        <f>_xll.BDH("KAIR IN Equity","QUICK_RATIO","FY 2004","FY 2004","Currency=INR","Period=FY","BEST_FPERIOD_OVERRIDE=FY","FILING_STATUS=MR","EQY_CONSOLIDATED=N","Sort=A","Dates=H","DateFormat=P","Fill=—","Direction=H","UseDPDF=Y")</f>
        <v>0.79190000000000005</v>
      </c>
      <c r="G8" s="18">
        <f>_xll.BDH("KAIR IN Equity","QUICK_RATIO","FY 2005","FY 2005","Currency=INR","Period=FY","BEST_FPERIOD_OVERRIDE=FY","FILING_STATUS=MR","EQY_CONSOLIDATED=N","Sort=A","Dates=H","DateFormat=P","Fill=—","Direction=H","UseDPDF=Y")</f>
        <v>0.36899999999999999</v>
      </c>
      <c r="H8" s="18">
        <f>_xll.BDH("KAIR IN Equity","QUICK_RATIO","FY 2007","FY 2007","Currency=INR","Period=FY","BEST_FPERIOD_OVERRIDE=FY","FILING_STATUS=MR","EQY_CONSOLIDATED=N","Sort=A","Dates=H","DateFormat=P","Fill=—","Direction=H","UseDPDF=Y")</f>
        <v>0.81969999999999998</v>
      </c>
      <c r="I8" s="18">
        <f>_xll.BDH("KAIR IN Equity","QUICK_RATIO","FY 2009","FY 2009","Currency=INR","Period=FY","BEST_FPERIOD_OVERRIDE=FY","FILING_STATUS=MR","EQY_CONSOLIDATED=N","Sort=A","Dates=H","DateFormat=P","Fill=—","Direction=H","UseDPDF=Y")</f>
        <v>6.2100000000000002E-2</v>
      </c>
      <c r="J8" s="18">
        <f>_xll.BDH("KAIR IN Equity","QUICK_RATIO","FY 2010","FY 2010","Currency=INR","Period=FY","BEST_FPERIOD_OVERRIDE=FY","FILING_STATUS=MR","EQY_CONSOLIDATED=N","Sort=A","Dates=H","DateFormat=P","Fill=—","Direction=H","UseDPDF=Y")</f>
        <v>6.0400000000000002E-2</v>
      </c>
      <c r="K8" s="18">
        <f>_xll.BDH("KAIR IN Equity","QUICK_RATIO","FY 2011","FY 2011","Currency=INR","Period=FY","BEST_FPERIOD_OVERRIDE=FY","FILING_STATUS=MR","EQY_CONSOLIDATED=N","Sort=A","Dates=H","DateFormat=P","Fill=—","Direction=H","UseDPDF=Y")</f>
        <v>0.1087</v>
      </c>
      <c r="L8" s="18">
        <f>_xll.BDH("KAIR IN Equity","QUICK_RATIO","FY 2012","FY 2012","Currency=INR","Period=FY","BEST_FPERIOD_OVERRIDE=FY","FILING_STATUS=MR","EQY_CONSOLIDATED=N","Sort=A","Dates=H","DateFormat=P","Fill=—","Direction=H","UseDPDF=Y")</f>
        <v>2.7900000000000001E-2</v>
      </c>
      <c r="M8" s="18">
        <f>_xll.BDH("KAIR IN Equity","QUICK_RATIO","FY 2013","FY 2013","Currency=INR","Period=FY","BEST_FPERIOD_OVERRIDE=FY","FILING_STATUS=MR","EQY_CONSOLIDATED=N","Sort=A","Dates=H","DateFormat=P","Fill=—","Direction=H","UseDPDF=Y")</f>
        <v>3.3999999999999998E-3</v>
      </c>
    </row>
    <row r="9" spans="1:13" x14ac:dyDescent="0.25">
      <c r="A9" s="3" t="s">
        <v>69</v>
      </c>
      <c r="B9" s="3" t="s">
        <v>70</v>
      </c>
      <c r="C9" s="18" t="str">
        <f>_xll.BDH("KAIR IN Equity","CFO_TO_AVG_CURRENT_LIABILITIES","FY 2001","FY 2001","Currency=INR","Period=FY","BEST_FPERIOD_OVERRIDE=FY","FILING_STATUS=MR","EQY_CONSOLIDATED=N","Sort=A","Dates=H","DateFormat=P","Fill=—","Direction=H","UseDPDF=Y")</f>
        <v>—</v>
      </c>
      <c r="D9" s="18">
        <f>_xll.BDH("KAIR IN Equity","CFO_TO_AVG_CURRENT_LIABILITIES","FY 2002","FY 2002","Currency=INR","Period=FY","BEST_FPERIOD_OVERRIDE=FY","FILING_STATUS=MR","EQY_CONSOLIDATED=N","Sort=A","Dates=H","DateFormat=P","Fill=—","Direction=H","UseDPDF=Y")</f>
        <v>-0.25209999999999999</v>
      </c>
      <c r="E9" s="18" t="str">
        <f>_xll.BDH("KAIR IN Equity","CFO_TO_AVG_CURRENT_LIABILITIES","FY 2003","FY 2003","Currency=INR","Period=FY","BEST_FPERIOD_OVERRIDE=FY","FILING_STATUS=MR","EQY_CONSOLIDATED=N","Sort=A","Dates=H","DateFormat=P","Fill=—","Direction=H","UseDPDF=Y")</f>
        <v>—</v>
      </c>
      <c r="F9" s="18">
        <f>_xll.BDH("KAIR IN Equity","CFO_TO_AVG_CURRENT_LIABILITIES","FY 2004","FY 2004","Currency=INR","Period=FY","BEST_FPERIOD_OVERRIDE=FY","FILING_STATUS=MR","EQY_CONSOLIDATED=N","Sort=A","Dates=H","DateFormat=P","Fill=—","Direction=H","UseDPDF=Y")</f>
        <v>-0.59770000000000001</v>
      </c>
      <c r="G9" s="18">
        <f>_xll.BDH("KAIR IN Equity","CFO_TO_AVG_CURRENT_LIABILITIES","FY 2005","FY 2005","Currency=INR","Period=FY","BEST_FPERIOD_OVERRIDE=FY","FILING_STATUS=MR","EQY_CONSOLIDATED=N","Sort=A","Dates=H","DateFormat=P","Fill=—","Direction=H","UseDPDF=Y")</f>
        <v>-5.0299999999999997E-2</v>
      </c>
      <c r="H9" s="18" t="str">
        <f>_xll.BDH("KAIR IN Equity","CFO_TO_AVG_CURRENT_LIABILITIES","FY 2007","FY 2007","Currency=INR","Period=FY","BEST_FPERIOD_OVERRIDE=FY","FILING_STATUS=MR","EQY_CONSOLIDATED=N","Sort=A","Dates=H","DateFormat=P","Fill=—","Direction=H","UseDPDF=Y")</f>
        <v>—</v>
      </c>
      <c r="I9" s="18" t="str">
        <f>_xll.BDH("KAIR IN Equity","CFO_TO_AVG_CURRENT_LIABILITIES","FY 2009","FY 2009","Currency=INR","Period=FY","BEST_FPERIOD_OVERRIDE=FY","FILING_STATUS=MR","EQY_CONSOLIDATED=N","Sort=A","Dates=H","DateFormat=P","Fill=—","Direction=H","UseDPDF=Y")</f>
        <v>—</v>
      </c>
      <c r="J9" s="18">
        <f>_xll.BDH("KAIR IN Equity","CFO_TO_AVG_CURRENT_LIABILITIES","FY 2010","FY 2010","Currency=INR","Period=FY","BEST_FPERIOD_OVERRIDE=FY","FILING_STATUS=MR","EQY_CONSOLIDATED=N","Sort=A","Dates=H","DateFormat=P","Fill=—","Direction=H","UseDPDF=Y")</f>
        <v>-0.26850000000000002</v>
      </c>
      <c r="K9" s="18">
        <f>_xll.BDH("KAIR IN Equity","CFO_TO_AVG_CURRENT_LIABILITIES","FY 2011","FY 2011","Currency=INR","Period=FY","BEST_FPERIOD_OVERRIDE=FY","FILING_STATUS=MR","EQY_CONSOLIDATED=N","Sort=A","Dates=H","DateFormat=P","Fill=—","Direction=H","UseDPDF=Y")</f>
        <v>-0.12189999999999999</v>
      </c>
      <c r="L9" s="18">
        <f>_xll.BDH("KAIR IN Equity","CFO_TO_AVG_CURRENT_LIABILITIES","FY 2012","FY 2012","Currency=INR","Period=FY","BEST_FPERIOD_OVERRIDE=FY","FILING_STATUS=MR","EQY_CONSOLIDATED=N","Sort=A","Dates=H","DateFormat=P","Fill=—","Direction=H","UseDPDF=Y")</f>
        <v>-0.2306</v>
      </c>
      <c r="M9" s="18">
        <f>_xll.BDH("KAIR IN Equity","CFO_TO_AVG_CURRENT_LIABILITIES","FY 2013","FY 2013","Currency=INR","Period=FY","BEST_FPERIOD_OVERRIDE=FY","FILING_STATUS=MR","EQY_CONSOLIDATED=N","Sort=A","Dates=H","DateFormat=P","Fill=—","Direction=H","UseDPDF=Y")</f>
        <v>-0.19939999999999999</v>
      </c>
    </row>
    <row r="10" spans="1:13" x14ac:dyDescent="0.25">
      <c r="A10" s="3" t="s">
        <v>71</v>
      </c>
      <c r="B10" s="3" t="s">
        <v>72</v>
      </c>
      <c r="C10" s="18">
        <f>_xll.BDH("KAIR IN Equity","COM_EQY_TO_TOT_ASSET","FY 2001","FY 2001","Currency=INR","Period=FY","BEST_FPERIOD_OVERRIDE=FY","FILING_STATUS=MR","EQY_CONSOLIDATED=N","Sort=A","Dates=H","DateFormat=P","Fill=—","Direction=H","UseDPDF=Y")</f>
        <v>40.855499999999999</v>
      </c>
      <c r="D10" s="18">
        <f>_xll.BDH("KAIR IN Equity","COM_EQY_TO_TOT_ASSET","FY 2002","FY 2002","Currency=INR","Period=FY","BEST_FPERIOD_OVERRIDE=FY","FILING_STATUS=MR","EQY_CONSOLIDATED=N","Sort=A","Dates=H","DateFormat=P","Fill=—","Direction=H","UseDPDF=Y")</f>
        <v>39.780700000000003</v>
      </c>
      <c r="E10" s="18">
        <f>_xll.BDH("KAIR IN Equity","COM_EQY_TO_TOT_ASSET","FY 2003","FY 2003","Currency=INR","Period=FY","BEST_FPERIOD_OVERRIDE=FY","FILING_STATUS=MR","EQY_CONSOLIDATED=N","Sort=A","Dates=H","DateFormat=P","Fill=—","Direction=H","UseDPDF=Y")</f>
        <v>13.627599999999999</v>
      </c>
      <c r="F10" s="18">
        <f>_xll.BDH("KAIR IN Equity","COM_EQY_TO_TOT_ASSET","FY 2004","FY 2004","Currency=INR","Period=FY","BEST_FPERIOD_OVERRIDE=FY","FILING_STATUS=MR","EQY_CONSOLIDATED=N","Sort=A","Dates=H","DateFormat=P","Fill=—","Direction=H","UseDPDF=Y")</f>
        <v>18.885000000000002</v>
      </c>
      <c r="G10" s="18">
        <f>_xll.BDH("KAIR IN Equity","COM_EQY_TO_TOT_ASSET","FY 2005","FY 2005","Currency=INR","Period=FY","BEST_FPERIOD_OVERRIDE=FY","FILING_STATUS=MR","EQY_CONSOLIDATED=N","Sort=A","Dates=H","DateFormat=P","Fill=—","Direction=H","UseDPDF=Y")</f>
        <v>3.3452000000000002</v>
      </c>
      <c r="H10" s="18">
        <f>_xll.BDH("KAIR IN Equity","COM_EQY_TO_TOT_ASSET","FY 2007","FY 2007","Currency=INR","Period=FY","BEST_FPERIOD_OVERRIDE=FY","FILING_STATUS=MR","EQY_CONSOLIDATED=N","Sort=A","Dates=H","DateFormat=P","Fill=—","Direction=H","UseDPDF=Y")</f>
        <v>21.888999999999999</v>
      </c>
      <c r="I10" s="18">
        <f>_xll.BDH("KAIR IN Equity","COM_EQY_TO_TOT_ASSET","FY 2009","FY 2009","Currency=INR","Period=FY","BEST_FPERIOD_OVERRIDE=FY","FILING_STATUS=MR","EQY_CONSOLIDATED=N","Sort=A","Dates=H","DateFormat=P","Fill=—","Direction=H","UseDPDF=Y")</f>
        <v>40.049399999999999</v>
      </c>
      <c r="J10" s="18">
        <f>_xll.BDH("KAIR IN Equity","COM_EQY_TO_TOT_ASSET","FY 2010","FY 2010","Currency=INR","Period=FY","BEST_FPERIOD_OVERRIDE=FY","FILING_STATUS=MR","EQY_CONSOLIDATED=N","Sort=A","Dates=H","DateFormat=P","Fill=—","Direction=H","UseDPDF=Y")</f>
        <v>-52.201700000000002</v>
      </c>
      <c r="K10" s="18">
        <f>_xll.BDH("KAIR IN Equity","COM_EQY_TO_TOT_ASSET","FY 2011","FY 2011","Currency=INR","Period=FY","BEST_FPERIOD_OVERRIDE=FY","FILING_STATUS=MR","EQY_CONSOLIDATED=N","Sort=A","Dates=H","DateFormat=P","Fill=—","Direction=H","UseDPDF=Y")</f>
        <v>-42.459800000000001</v>
      </c>
      <c r="L10" s="18">
        <f>_xll.BDH("KAIR IN Equity","COM_EQY_TO_TOT_ASSET","FY 2012","FY 2012","Currency=INR","Period=FY","BEST_FPERIOD_OVERRIDE=FY","FILING_STATUS=MR","EQY_CONSOLIDATED=N","Sort=A","Dates=H","DateFormat=P","Fill=—","Direction=H","UseDPDF=Y")</f>
        <v>-61.839599999999997</v>
      </c>
      <c r="M10" s="18">
        <f>_xll.BDH("KAIR IN Equity","COM_EQY_TO_TOT_ASSET","FY 2013","FY 2013","Currency=INR","Period=FY","BEST_FPERIOD_OVERRIDE=FY","FILING_STATUS=MR","EQY_CONSOLIDATED=N","Sort=A","Dates=H","DateFormat=P","Fill=—","Direction=H","UseDPDF=Y")</f>
        <v>-479.2851</v>
      </c>
    </row>
    <row r="11" spans="1:13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3" t="s">
        <v>73</v>
      </c>
      <c r="B12" s="3" t="s">
        <v>74</v>
      </c>
      <c r="C12" s="18">
        <f>_xll.BDH("KAIR IN Equity","LT_DEBT_TO_TOT_EQY","FY 2001","FY 2001","Currency=INR","Period=FY","BEST_FPERIOD_OVERRIDE=FY","FILING_STATUS=MR","EQY_CONSOLIDATED=N","Sort=A","Dates=H","DateFormat=P","Fill=—","Direction=H","UseDPDF=Y")</f>
        <v>45.088999999999999</v>
      </c>
      <c r="D12" s="18">
        <f>_xll.BDH("KAIR IN Equity","LT_DEBT_TO_TOT_EQY","FY 2002","FY 2002","Currency=INR","Period=FY","BEST_FPERIOD_OVERRIDE=FY","FILING_STATUS=MR","EQY_CONSOLIDATED=N","Sort=A","Dates=H","DateFormat=P","Fill=—","Direction=H","UseDPDF=Y")</f>
        <v>68.453299999999999</v>
      </c>
      <c r="E12" s="18">
        <f>_xll.BDH("KAIR IN Equity","LT_DEBT_TO_TOT_EQY","FY 2003","FY 2003","Currency=INR","Period=FY","BEST_FPERIOD_OVERRIDE=FY","FILING_STATUS=MR","EQY_CONSOLIDATED=N","Sort=A","Dates=H","DateFormat=P","Fill=—","Direction=H","UseDPDF=Y")</f>
        <v>330.404</v>
      </c>
      <c r="F12" s="18">
        <f>_xll.BDH("KAIR IN Equity","LT_DEBT_TO_TOT_EQY","FY 2004","FY 2004","Currency=INR","Period=FY","BEST_FPERIOD_OVERRIDE=FY","FILING_STATUS=MR","EQY_CONSOLIDATED=N","Sort=A","Dates=H","DateFormat=P","Fill=—","Direction=H","UseDPDF=Y")</f>
        <v>247.33340000000001</v>
      </c>
      <c r="G12" s="18">
        <f>_xll.BDH("KAIR IN Equity","LT_DEBT_TO_TOT_EQY","FY 2005","FY 2005","Currency=INR","Period=FY","BEST_FPERIOD_OVERRIDE=FY","FILING_STATUS=MR","EQY_CONSOLIDATED=N","Sort=A","Dates=H","DateFormat=P","Fill=—","Direction=H","UseDPDF=Y")</f>
        <v>1073.9628</v>
      </c>
      <c r="H12" s="18">
        <f>_xll.BDH("KAIR IN Equity","LT_DEBT_TO_TOT_EQY","FY 2007","FY 2007","Currency=INR","Period=FY","BEST_FPERIOD_OVERRIDE=FY","FILING_STATUS=MR","EQY_CONSOLIDATED=N","Sort=A","Dates=H","DateFormat=P","Fill=—","Direction=H","UseDPDF=Y")</f>
        <v>96.733800000000002</v>
      </c>
      <c r="I12" s="18">
        <f>_xll.BDH("KAIR IN Equity","LT_DEBT_TO_TOT_EQY","FY 2009","FY 2009","Currency=INR","Period=FY","BEST_FPERIOD_OVERRIDE=FY","FILING_STATUS=MR","EQY_CONSOLIDATED=N","Sort=A","Dates=H","DateFormat=P","Fill=—","Direction=H","UseDPDF=Y")</f>
        <v>23.107700000000001</v>
      </c>
      <c r="J12" s="18" t="str">
        <f>_xll.BDH("KAIR IN Equity","LT_DEBT_TO_TOT_EQY","FY 2010","FY 2010","Currency=INR","Period=FY","BEST_FPERIOD_OVERRIDE=FY","FILING_STATUS=MR","EQY_CONSOLIDATED=N","Sort=A","Dates=H","DateFormat=P","Fill=—","Direction=H","UseDPDF=Y")</f>
        <v>—</v>
      </c>
      <c r="K12" s="18" t="str">
        <f>_xll.BDH("KAIR IN Equity","LT_DEBT_TO_TOT_EQY","FY 2011","FY 2011","Currency=INR","Period=FY","BEST_FPERIOD_OVERRIDE=FY","FILING_STATUS=MR","EQY_CONSOLIDATED=N","Sort=A","Dates=H","DateFormat=P","Fill=—","Direction=H","UseDPDF=Y")</f>
        <v>—</v>
      </c>
      <c r="L12" s="18" t="str">
        <f>_xll.BDH("KAIR IN Equity","LT_DEBT_TO_TOT_EQY","FY 2012","FY 2012","Currency=INR","Period=FY","BEST_FPERIOD_OVERRIDE=FY","FILING_STATUS=MR","EQY_CONSOLIDATED=N","Sort=A","Dates=H","DateFormat=P","Fill=—","Direction=H","UseDPDF=Y")</f>
        <v>—</v>
      </c>
      <c r="M12" s="18" t="str">
        <f>_xll.BDH("KAIR IN Equity","LT_DEBT_TO_TOT_EQY","FY 2013","FY 2013","Currency=INR","Period=FY","BEST_FPERIOD_OVERRIDE=FY","FILING_STATUS=MR","EQY_CONSOLIDATED=N","Sort=A","Dates=H","DateFormat=P","Fill=—","Direction=H","UseDPDF=Y")</f>
        <v>—</v>
      </c>
    </row>
    <row r="13" spans="1:13" x14ac:dyDescent="0.25">
      <c r="A13" s="3" t="s">
        <v>75</v>
      </c>
      <c r="B13" s="3" t="s">
        <v>76</v>
      </c>
      <c r="C13" s="18">
        <f>_xll.BDH("KAIR IN Equity","LT_DEBT_TO_TOT_CAP","FY 2001","FY 2001","Currency=INR","Period=FY","BEST_FPERIOD_OVERRIDE=FY","FILING_STATUS=MR","EQY_CONSOLIDATED=N","Sort=A","Dates=H","DateFormat=P","Fill=—","Direction=H","UseDPDF=Y")</f>
        <v>31.076799999999999</v>
      </c>
      <c r="D13" s="18">
        <f>_xll.BDH("KAIR IN Equity","LT_DEBT_TO_TOT_CAP","FY 2002","FY 2002","Currency=INR","Period=FY","BEST_FPERIOD_OVERRIDE=FY","FILING_STATUS=MR","EQY_CONSOLIDATED=N","Sort=A","Dates=H","DateFormat=P","Fill=—","Direction=H","UseDPDF=Y")</f>
        <v>40.636400000000002</v>
      </c>
      <c r="E13" s="18">
        <f>_xll.BDH("KAIR IN Equity","LT_DEBT_TO_TOT_CAP","FY 2003","FY 2003","Currency=INR","Period=FY","BEST_FPERIOD_OVERRIDE=FY","FILING_STATUS=MR","EQY_CONSOLIDATED=N","Sort=A","Dates=H","DateFormat=P","Fill=—","Direction=H","UseDPDF=Y")</f>
        <v>69.388000000000005</v>
      </c>
      <c r="F13" s="18">
        <f>_xll.BDH("KAIR IN Equity","LT_DEBT_TO_TOT_CAP","FY 2004","FY 2004","Currency=INR","Period=FY","BEST_FPERIOD_OVERRIDE=FY","FILING_STATUS=MR","EQY_CONSOLIDATED=N","Sort=A","Dates=H","DateFormat=P","Fill=—","Direction=H","UseDPDF=Y")</f>
        <v>71.209199999999996</v>
      </c>
      <c r="G13" s="18">
        <f>_xll.BDH("KAIR IN Equity","LT_DEBT_TO_TOT_CAP","FY 2005","FY 2005","Currency=INR","Period=FY","BEST_FPERIOD_OVERRIDE=FY","FILING_STATUS=MR","EQY_CONSOLIDATED=N","Sort=A","Dates=H","DateFormat=P","Fill=—","Direction=H","UseDPDF=Y")</f>
        <v>49.242699999999999</v>
      </c>
      <c r="H13" s="18">
        <f>_xll.BDH("KAIR IN Equity","LT_DEBT_TO_TOT_CAP","FY 2007","FY 2007","Currency=INR","Period=FY","BEST_FPERIOD_OVERRIDE=FY","FILING_STATUS=MR","EQY_CONSOLIDATED=N","Sort=A","Dates=H","DateFormat=P","Fill=—","Direction=H","UseDPDF=Y")</f>
        <v>28.7056</v>
      </c>
      <c r="I13" s="18">
        <f>_xll.BDH("KAIR IN Equity","LT_DEBT_TO_TOT_CAP","FY 2009","FY 2009","Currency=INR","Period=FY","BEST_FPERIOD_OVERRIDE=FY","FILING_STATUS=MR","EQY_CONSOLIDATED=N","Sort=A","Dates=H","DateFormat=P","Fill=—","Direction=H","UseDPDF=Y")</f>
        <v>8.1835000000000004</v>
      </c>
      <c r="J13" s="18">
        <f>_xll.BDH("KAIR IN Equity","LT_DEBT_TO_TOT_CAP","FY 2010","FY 2010","Currency=INR","Period=FY","BEST_FPERIOD_OVERRIDE=FY","FILING_STATUS=MR","EQY_CONSOLIDATED=N","Sort=A","Dates=H","DateFormat=P","Fill=—","Direction=H","UseDPDF=Y")</f>
        <v>66.965800000000002</v>
      </c>
      <c r="K13" s="18">
        <f>_xll.BDH("KAIR IN Equity","LT_DEBT_TO_TOT_CAP","FY 2011","FY 2011","Currency=INR","Period=FY","BEST_FPERIOD_OVERRIDE=FY","FILING_STATUS=MR","EQY_CONSOLIDATED=N","Sort=A","Dates=H","DateFormat=P","Fill=—","Direction=H","UseDPDF=Y")</f>
        <v>159.28729999999999</v>
      </c>
      <c r="L13" s="18">
        <f>_xll.BDH("KAIR IN Equity","LT_DEBT_TO_TOT_CAP","FY 2012","FY 2012","Currency=INR","Period=FY","BEST_FPERIOD_OVERRIDE=FY","FILING_STATUS=MR","EQY_CONSOLIDATED=N","Sort=A","Dates=H","DateFormat=P","Fill=—","Direction=H","UseDPDF=Y")</f>
        <v>162.77940000000001</v>
      </c>
      <c r="M13" s="18">
        <f>_xll.BDH("KAIR IN Equity","LT_DEBT_TO_TOT_CAP","FY 2013","FY 2013","Currency=INR","Period=FY","BEST_FPERIOD_OVERRIDE=FY","FILING_STATUS=MR","EQY_CONSOLIDATED=N","Sort=A","Dates=H","DateFormat=P","Fill=—","Direction=H","UseDPDF=Y")</f>
        <v>-192.9802</v>
      </c>
    </row>
    <row r="14" spans="1:13" x14ac:dyDescent="0.25">
      <c r="A14" s="3" t="s">
        <v>77</v>
      </c>
      <c r="B14" s="3" t="s">
        <v>78</v>
      </c>
      <c r="C14" s="18">
        <f>_xll.BDH("KAIR IN Equity","LT_DEBT_TO_TOT_ASSET","FY 2001","FY 2001","Currency=INR","Period=FY","BEST_FPERIOD_OVERRIDE=FY","FILING_STATUS=MR","EQY_CONSOLIDATED=N","Sort=A","Dates=H","DateFormat=P","Fill=—","Direction=H","UseDPDF=Y")</f>
        <v>18.421299999999999</v>
      </c>
      <c r="D14" s="18">
        <f>_xll.BDH("KAIR IN Equity","LT_DEBT_TO_TOT_ASSET","FY 2002","FY 2002","Currency=INR","Period=FY","BEST_FPERIOD_OVERRIDE=FY","FILING_STATUS=MR","EQY_CONSOLIDATED=N","Sort=A","Dates=H","DateFormat=P","Fill=—","Direction=H","UseDPDF=Y")</f>
        <v>27.231200000000001</v>
      </c>
      <c r="E14" s="18">
        <f>_xll.BDH("KAIR IN Equity","LT_DEBT_TO_TOT_ASSET","FY 2003","FY 2003","Currency=INR","Period=FY","BEST_FPERIOD_OVERRIDE=FY","FILING_STATUS=MR","EQY_CONSOLIDATED=N","Sort=A","Dates=H","DateFormat=P","Fill=—","Direction=H","UseDPDF=Y")</f>
        <v>45.026200000000003</v>
      </c>
      <c r="F14" s="18">
        <f>_xll.BDH("KAIR IN Equity","LT_DEBT_TO_TOT_ASSET","FY 2004","FY 2004","Currency=INR","Period=FY","BEST_FPERIOD_OVERRIDE=FY","FILING_STATUS=MR","EQY_CONSOLIDATED=N","Sort=A","Dates=H","DateFormat=P","Fill=—","Direction=H","UseDPDF=Y")</f>
        <v>46.7089</v>
      </c>
      <c r="G14" s="18">
        <f>_xll.BDH("KAIR IN Equity","LT_DEBT_TO_TOT_ASSET","FY 2005","FY 2005","Currency=INR","Period=FY","BEST_FPERIOD_OVERRIDE=FY","FILING_STATUS=MR","EQY_CONSOLIDATED=N","Sort=A","Dates=H","DateFormat=P","Fill=—","Direction=H","UseDPDF=Y")</f>
        <v>35.926000000000002</v>
      </c>
      <c r="H14" s="18">
        <f>_xll.BDH("KAIR IN Equity","LT_DEBT_TO_TOT_ASSET","FY 2007","FY 2007","Currency=INR","Period=FY","BEST_FPERIOD_OVERRIDE=FY","FILING_STATUS=MR","EQY_CONSOLIDATED=N","Sort=A","Dates=H","DateFormat=P","Fill=—","Direction=H","UseDPDF=Y")</f>
        <v>21.174099999999999</v>
      </c>
      <c r="I14" s="18">
        <f>_xll.BDH("KAIR IN Equity","LT_DEBT_TO_TOT_ASSET","FY 2009","FY 2009","Currency=INR","Period=FY","BEST_FPERIOD_OVERRIDE=FY","FILING_STATUS=MR","EQY_CONSOLIDATED=N","Sort=A","Dates=H","DateFormat=P","Fill=—","Direction=H","UseDPDF=Y")</f>
        <v>9.5526</v>
      </c>
      <c r="J14" s="18">
        <f>_xll.BDH("KAIR IN Equity","LT_DEBT_TO_TOT_ASSET","FY 2010","FY 2010","Currency=INR","Period=FY","BEST_FPERIOD_OVERRIDE=FY","FILING_STATUS=MR","EQY_CONSOLIDATED=N","Sort=A","Dates=H","DateFormat=P","Fill=—","Direction=H","UseDPDF=Y")</f>
        <v>35.703299999999999</v>
      </c>
      <c r="K14" s="18">
        <f>_xll.BDH("KAIR IN Equity","LT_DEBT_TO_TOT_ASSET","FY 2011","FY 2011","Currency=INR","Period=FY","BEST_FPERIOD_OVERRIDE=FY","FILING_STATUS=MR","EQY_CONSOLIDATED=N","Sort=A","Dates=H","DateFormat=P","Fill=—","Direction=H","UseDPDF=Y")</f>
        <v>76.404700000000005</v>
      </c>
      <c r="L14" s="18">
        <f>_xll.BDH("KAIR IN Equity","LT_DEBT_TO_TOT_ASSET","FY 2012","FY 2012","Currency=INR","Period=FY","BEST_FPERIOD_OVERRIDE=FY","FILING_STATUS=MR","EQY_CONSOLIDATED=N","Sort=A","Dates=H","DateFormat=P","Fill=—","Direction=H","UseDPDF=Y")</f>
        <v>62.496899999999997</v>
      </c>
      <c r="M14" s="18">
        <f>_xll.BDH("KAIR IN Equity","LT_DEBT_TO_TOT_ASSET","FY 2013","FY 2013","Currency=INR","Period=FY","BEST_FPERIOD_OVERRIDE=FY","FILING_STATUS=MR","EQY_CONSOLIDATED=N","Sort=A","Dates=H","DateFormat=P","Fill=—","Direction=H","UseDPDF=Y")</f>
        <v>245.4085</v>
      </c>
    </row>
    <row r="15" spans="1:13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3" t="s">
        <v>79</v>
      </c>
      <c r="B16" s="3" t="s">
        <v>80</v>
      </c>
      <c r="C16" s="18">
        <f>_xll.BDH("KAIR IN Equity","TOT_DEBT_TO_TOT_EQY","FY 2001","FY 2001","Currency=INR","Period=FY","BEST_FPERIOD_OVERRIDE=FY","FILING_STATUS=MR","EQY_CONSOLIDATED=N","Sort=A","Dates=H","DateFormat=P","Fill=—","Direction=H","UseDPDF=Y")</f>
        <v>45.088999999999999</v>
      </c>
      <c r="D16" s="18">
        <f>_xll.BDH("KAIR IN Equity","TOT_DEBT_TO_TOT_EQY","FY 2002","FY 2002","Currency=INR","Period=FY","BEST_FPERIOD_OVERRIDE=FY","FILING_STATUS=MR","EQY_CONSOLIDATED=N","Sort=A","Dates=H","DateFormat=P","Fill=—","Direction=H","UseDPDF=Y")</f>
        <v>68.453299999999999</v>
      </c>
      <c r="E16" s="18">
        <f>_xll.BDH("KAIR IN Equity","TOT_DEBT_TO_TOT_EQY","FY 2003","FY 2003","Currency=INR","Period=FY","BEST_FPERIOD_OVERRIDE=FY","FILING_STATUS=MR","EQY_CONSOLIDATED=N","Sort=A","Dates=H","DateFormat=P","Fill=—","Direction=H","UseDPDF=Y")</f>
        <v>376.16879999999998</v>
      </c>
      <c r="F16" s="18">
        <f>_xll.BDH("KAIR IN Equity","TOT_DEBT_TO_TOT_EQY","FY 2004","FY 2004","Currency=INR","Period=FY","BEST_FPERIOD_OVERRIDE=FY","FILING_STATUS=MR","EQY_CONSOLIDATED=N","Sort=A","Dates=H","DateFormat=P","Fill=—","Direction=H","UseDPDF=Y")</f>
        <v>247.33340000000001</v>
      </c>
      <c r="G16" s="18">
        <f>_xll.BDH("KAIR IN Equity","TOT_DEBT_TO_TOT_EQY","FY 2005","FY 2005","Currency=INR","Period=FY","BEST_FPERIOD_OVERRIDE=FY","FILING_STATUS=MR","EQY_CONSOLIDATED=N","Sort=A","Dates=H","DateFormat=P","Fill=—","Direction=H","UseDPDF=Y")</f>
        <v>2080.9580000000001</v>
      </c>
      <c r="H16" s="18">
        <f>_xll.BDH("KAIR IN Equity","TOT_DEBT_TO_TOT_EQY","FY 2007","FY 2007","Currency=INR","Period=FY","BEST_FPERIOD_OVERRIDE=FY","FILING_STATUS=MR","EQY_CONSOLIDATED=N","Sort=A","Dates=H","DateFormat=P","Fill=—","Direction=H","UseDPDF=Y")</f>
        <v>236.98609999999999</v>
      </c>
      <c r="I16" s="18">
        <f>_xll.BDH("KAIR IN Equity","TOT_DEBT_TO_TOT_EQY","FY 2009","FY 2009","Currency=INR","Period=FY","BEST_FPERIOD_OVERRIDE=FY","FILING_STATUS=MR","EQY_CONSOLIDATED=N","Sort=A","Dates=H","DateFormat=P","Fill=—","Direction=H","UseDPDF=Y")</f>
        <v>182.36920000000001</v>
      </c>
      <c r="J16" s="18" t="str">
        <f>_xll.BDH("KAIR IN Equity","TOT_DEBT_TO_TOT_EQY","FY 2010","FY 2010","Currency=INR","Period=FY","BEST_FPERIOD_OVERRIDE=FY","FILING_STATUS=MR","EQY_CONSOLIDATED=N","Sort=A","Dates=H","DateFormat=P","Fill=—","Direction=H","UseDPDF=Y")</f>
        <v>—</v>
      </c>
      <c r="K16" s="18" t="str">
        <f>_xll.BDH("KAIR IN Equity","TOT_DEBT_TO_TOT_EQY","FY 2011","FY 2011","Currency=INR","Period=FY","BEST_FPERIOD_OVERRIDE=FY","FILING_STATUS=MR","EQY_CONSOLIDATED=N","Sort=A","Dates=H","DateFormat=P","Fill=—","Direction=H","UseDPDF=Y")</f>
        <v>—</v>
      </c>
      <c r="L16" s="18" t="str">
        <f>_xll.BDH("KAIR IN Equity","TOT_DEBT_TO_TOT_EQY","FY 2012","FY 2012","Currency=INR","Period=FY","BEST_FPERIOD_OVERRIDE=FY","FILING_STATUS=MR","EQY_CONSOLIDATED=N","Sort=A","Dates=H","DateFormat=P","Fill=—","Direction=H","UseDPDF=Y")</f>
        <v>—</v>
      </c>
      <c r="M16" s="18" t="str">
        <f>_xll.BDH("KAIR IN Equity","TOT_DEBT_TO_TOT_EQY","FY 2013","FY 2013","Currency=INR","Period=FY","BEST_FPERIOD_OVERRIDE=FY","FILING_STATUS=MR","EQY_CONSOLIDATED=N","Sort=A","Dates=H","DateFormat=P","Fill=—","Direction=H","UseDPDF=Y")</f>
        <v>—</v>
      </c>
    </row>
    <row r="17" spans="1:13" x14ac:dyDescent="0.25">
      <c r="A17" s="3" t="s">
        <v>81</v>
      </c>
      <c r="B17" s="3" t="s">
        <v>82</v>
      </c>
      <c r="C17" s="18">
        <f>_xll.BDH("KAIR IN Equity","TOT_DEBT_TO_TOT_CAP","FY 2001","FY 2001","Currency=INR","Period=FY","BEST_FPERIOD_OVERRIDE=FY","FILING_STATUS=MR","EQY_CONSOLIDATED=N","Sort=A","Dates=H","DateFormat=P","Fill=—","Direction=H","UseDPDF=Y")</f>
        <v>31.076799999999999</v>
      </c>
      <c r="D17" s="18">
        <f>_xll.BDH("KAIR IN Equity","TOT_DEBT_TO_TOT_CAP","FY 2002","FY 2002","Currency=INR","Period=FY","BEST_FPERIOD_OVERRIDE=FY","FILING_STATUS=MR","EQY_CONSOLIDATED=N","Sort=A","Dates=H","DateFormat=P","Fill=—","Direction=H","UseDPDF=Y")</f>
        <v>40.636400000000002</v>
      </c>
      <c r="E17" s="18">
        <f>_xll.BDH("KAIR IN Equity","TOT_DEBT_TO_TOT_CAP","FY 2003","FY 2003","Currency=INR","Period=FY","BEST_FPERIOD_OVERRIDE=FY","FILING_STATUS=MR","EQY_CONSOLIDATED=N","Sort=A","Dates=H","DateFormat=P","Fill=—","Direction=H","UseDPDF=Y")</f>
        <v>78.998999999999995</v>
      </c>
      <c r="F17" s="18">
        <f>_xll.BDH("KAIR IN Equity","TOT_DEBT_TO_TOT_CAP","FY 2004","FY 2004","Currency=INR","Period=FY","BEST_FPERIOD_OVERRIDE=FY","FILING_STATUS=MR","EQY_CONSOLIDATED=N","Sort=A","Dates=H","DateFormat=P","Fill=—","Direction=H","UseDPDF=Y")</f>
        <v>71.209199999999996</v>
      </c>
      <c r="G17" s="18">
        <f>_xll.BDH("KAIR IN Equity","TOT_DEBT_TO_TOT_CAP","FY 2005","FY 2005","Currency=INR","Period=FY","BEST_FPERIOD_OVERRIDE=FY","FILING_STATUS=MR","EQY_CONSOLIDATED=N","Sort=A","Dates=H","DateFormat=P","Fill=—","Direction=H","UseDPDF=Y")</f>
        <v>95.414900000000003</v>
      </c>
      <c r="H17" s="18">
        <f>_xll.BDH("KAIR IN Equity","TOT_DEBT_TO_TOT_CAP","FY 2007","FY 2007","Currency=INR","Period=FY","BEST_FPERIOD_OVERRIDE=FY","FILING_STATUS=MR","EQY_CONSOLIDATED=N","Sort=A","Dates=H","DateFormat=P","Fill=—","Direction=H","UseDPDF=Y")</f>
        <v>70.325199999999995</v>
      </c>
      <c r="I17" s="18">
        <f>_xll.BDH("KAIR IN Equity","TOT_DEBT_TO_TOT_CAP","FY 2009","FY 2009","Currency=INR","Period=FY","BEST_FPERIOD_OVERRIDE=FY","FILING_STATUS=MR","EQY_CONSOLIDATED=N","Sort=A","Dates=H","DateFormat=P","Fill=—","Direction=H","UseDPDF=Y")</f>
        <v>64.585400000000007</v>
      </c>
      <c r="J17" s="18">
        <f>_xll.BDH("KAIR IN Equity","TOT_DEBT_TO_TOT_CAP","FY 2010","FY 2010","Currency=INR","Period=FY","BEST_FPERIOD_OVERRIDE=FY","FILING_STATUS=MR","EQY_CONSOLIDATED=N","Sort=A","Dates=H","DateFormat=P","Fill=—","Direction=H","UseDPDF=Y")</f>
        <v>195.51669999999999</v>
      </c>
      <c r="K17" s="18">
        <f>_xll.BDH("KAIR IN Equity","TOT_DEBT_TO_TOT_CAP","FY 2011","FY 2011","Currency=INR","Period=FY","BEST_FPERIOD_OVERRIDE=FY","FILING_STATUS=MR","EQY_CONSOLIDATED=N","Sort=A","Dates=H","DateFormat=P","Fill=—","Direction=H","UseDPDF=Y")</f>
        <v>174.548</v>
      </c>
      <c r="L17" s="18">
        <f>_xll.BDH("KAIR IN Equity","TOT_DEBT_TO_TOT_CAP","FY 2012","FY 2012","Currency=INR","Period=FY","BEST_FPERIOD_OVERRIDE=FY","FILING_STATUS=MR","EQY_CONSOLIDATED=N","Sort=A","Dates=H","DateFormat=P","Fill=—","Direction=H","UseDPDF=Y")</f>
        <v>245.2594</v>
      </c>
      <c r="M17" s="18" t="str">
        <f>_xll.BDH("KAIR IN Equity","TOT_DEBT_TO_TOT_CAP","FY 2013","FY 2013","Currency=INR","Period=FY","BEST_FPERIOD_OVERRIDE=FY","FILING_STATUS=MR","EQY_CONSOLIDATED=N","Sort=A","Dates=H","DateFormat=P","Fill=—","Direction=H","UseDPDF=Y")</f>
        <v>—</v>
      </c>
    </row>
    <row r="18" spans="1:13" x14ac:dyDescent="0.25">
      <c r="A18" s="3" t="s">
        <v>83</v>
      </c>
      <c r="B18" s="3" t="s">
        <v>84</v>
      </c>
      <c r="C18" s="18">
        <f>_xll.BDH("KAIR IN Equity","TOT_DEBT_TO_TOT_ASSET","FY 2001","FY 2001","Currency=INR","Period=FY","BEST_FPERIOD_OVERRIDE=FY","FILING_STATUS=MR","EQY_CONSOLIDATED=N","Sort=A","Dates=H","DateFormat=P","Fill=—","Direction=H","UseDPDF=Y")</f>
        <v>18.421299999999999</v>
      </c>
      <c r="D18" s="18">
        <f>_xll.BDH("KAIR IN Equity","TOT_DEBT_TO_TOT_ASSET","FY 2002","FY 2002","Currency=INR","Period=FY","BEST_FPERIOD_OVERRIDE=FY","FILING_STATUS=MR","EQY_CONSOLIDATED=N","Sort=A","Dates=H","DateFormat=P","Fill=—","Direction=H","UseDPDF=Y")</f>
        <v>27.231200000000001</v>
      </c>
      <c r="E18" s="18">
        <f>_xll.BDH("KAIR IN Equity","TOT_DEBT_TO_TOT_ASSET","FY 2003","FY 2003","Currency=INR","Period=FY","BEST_FPERIOD_OVERRIDE=FY","FILING_STATUS=MR","EQY_CONSOLIDATED=N","Sort=A","Dates=H","DateFormat=P","Fill=—","Direction=H","UseDPDF=Y")</f>
        <v>51.262900000000002</v>
      </c>
      <c r="F18" s="18">
        <f>_xll.BDH("KAIR IN Equity","TOT_DEBT_TO_TOT_ASSET","FY 2004","FY 2004","Currency=INR","Period=FY","BEST_FPERIOD_OVERRIDE=FY","FILING_STATUS=MR","EQY_CONSOLIDATED=N","Sort=A","Dates=H","DateFormat=P","Fill=—","Direction=H","UseDPDF=Y")</f>
        <v>46.7089</v>
      </c>
      <c r="G18" s="18">
        <f>_xll.BDH("KAIR IN Equity","TOT_DEBT_TO_TOT_ASSET","FY 2005","FY 2005","Currency=INR","Period=FY","BEST_FPERIOD_OVERRIDE=FY","FILING_STATUS=MR","EQY_CONSOLIDATED=N","Sort=A","Dates=H","DateFormat=P","Fill=—","Direction=H","UseDPDF=Y")</f>
        <v>69.611699999999999</v>
      </c>
      <c r="H18" s="18">
        <f>_xll.BDH("KAIR IN Equity","TOT_DEBT_TO_TOT_ASSET","FY 2007","FY 2007","Currency=INR","Period=FY","BEST_FPERIOD_OVERRIDE=FY","FILING_STATUS=MR","EQY_CONSOLIDATED=N","Sort=A","Dates=H","DateFormat=P","Fill=—","Direction=H","UseDPDF=Y")</f>
        <v>51.873800000000003</v>
      </c>
      <c r="I18" s="18">
        <f>_xll.BDH("KAIR IN Equity","TOT_DEBT_TO_TOT_ASSET","FY 2009","FY 2009","Currency=INR","Period=FY","BEST_FPERIOD_OVERRIDE=FY","FILING_STATUS=MR","EQY_CONSOLIDATED=N","Sort=A","Dates=H","DateFormat=P","Fill=—","Direction=H","UseDPDF=Y")</f>
        <v>75.390600000000006</v>
      </c>
      <c r="J18" s="18">
        <f>_xll.BDH("KAIR IN Equity","TOT_DEBT_TO_TOT_ASSET","FY 2010","FY 2010","Currency=INR","Period=FY","BEST_FPERIOD_OVERRIDE=FY","FILING_STATUS=MR","EQY_CONSOLIDATED=N","Sort=A","Dates=H","DateFormat=P","Fill=—","Direction=H","UseDPDF=Y")</f>
        <v>104.2411</v>
      </c>
      <c r="K18" s="18">
        <f>_xll.BDH("KAIR IN Equity","TOT_DEBT_TO_TOT_ASSET","FY 2011","FY 2011","Currency=INR","Period=FY","BEST_FPERIOD_OVERRIDE=FY","FILING_STATUS=MR","EQY_CONSOLIDATED=N","Sort=A","Dates=H","DateFormat=P","Fill=—","Direction=H","UseDPDF=Y")</f>
        <v>83.724800000000002</v>
      </c>
      <c r="L18" s="18">
        <f>_xll.BDH("KAIR IN Equity","TOT_DEBT_TO_TOT_ASSET","FY 2012","FY 2012","Currency=INR","Period=FY","BEST_FPERIOD_OVERRIDE=FY","FILING_STATUS=MR","EQY_CONSOLIDATED=N","Sort=A","Dates=H","DateFormat=P","Fill=—","Direction=H","UseDPDF=Y")</f>
        <v>94.163899999999998</v>
      </c>
      <c r="M18" s="18">
        <f>_xll.BDH("KAIR IN Equity","TOT_DEBT_TO_TOT_ASSET","FY 2013","FY 2013","Currency=INR","Period=FY","BEST_FPERIOD_OVERRIDE=FY","FILING_STATUS=MR","EQY_CONSOLIDATED=N","Sort=A","Dates=H","DateFormat=P","Fill=—","Direction=H","UseDPDF=Y")</f>
        <v>332.44150000000002</v>
      </c>
    </row>
    <row r="19" spans="1:13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x14ac:dyDescent="0.25">
      <c r="A20" s="3" t="s">
        <v>85</v>
      </c>
      <c r="B20" s="3" t="s">
        <v>86</v>
      </c>
      <c r="C20" s="18">
        <f>_xll.BDH("KAIR IN Equity","CASH_FLOW_TO_TOT_LIAB","FY 2001","FY 2001","Currency=INR","Period=FY","BEST_FPERIOD_OVERRIDE=FY","FILING_STATUS=MR","EQY_CONSOLIDATED=N","Sort=A","Dates=H","DateFormat=P","Fill=—","Direction=H","UseDPDF=Y")</f>
        <v>-32.078299999999999</v>
      </c>
      <c r="D20" s="18">
        <f>_xll.BDH("KAIR IN Equity","CASH_FLOW_TO_TOT_LIAB","FY 2002","FY 2002","Currency=INR","Period=FY","BEST_FPERIOD_OVERRIDE=FY","FILING_STATUS=MR","EQY_CONSOLIDATED=N","Sort=A","Dates=H","DateFormat=P","Fill=—","Direction=H","UseDPDF=Y")</f>
        <v>-12.5822</v>
      </c>
      <c r="E20" s="18" t="str">
        <f>_xll.BDH("KAIR IN Equity","CASH_FLOW_TO_TOT_LIAB","FY 2003","FY 2003","Currency=INR","Period=FY","BEST_FPERIOD_OVERRIDE=FY","FILING_STATUS=MR","EQY_CONSOLIDATED=N","Sort=A","Dates=H","DateFormat=P","Fill=—","Direction=H","UseDPDF=Y")</f>
        <v>—</v>
      </c>
      <c r="F20" s="18">
        <f>_xll.BDH("KAIR IN Equity","CASH_FLOW_TO_TOT_LIAB","FY 2004","FY 2004","Currency=INR","Period=FY","BEST_FPERIOD_OVERRIDE=FY","FILING_STATUS=MR","EQY_CONSOLIDATED=N","Sort=A","Dates=H","DateFormat=P","Fill=—","Direction=H","UseDPDF=Y")</f>
        <v>-17.083300000000001</v>
      </c>
      <c r="G20" s="18">
        <f>_xll.BDH("KAIR IN Equity","CASH_FLOW_TO_TOT_LIAB","FY 2005","FY 2005","Currency=INR","Period=FY","BEST_FPERIOD_OVERRIDE=FY","FILING_STATUS=MR","EQY_CONSOLIDATED=N","Sort=A","Dates=H","DateFormat=P","Fill=—","Direction=H","UseDPDF=Y")</f>
        <v>-1.7438</v>
      </c>
      <c r="H20" s="18">
        <f>_xll.BDH("KAIR IN Equity","CASH_FLOW_TO_TOT_LIAB","FY 2007","FY 2007","Currency=INR","Period=FY","BEST_FPERIOD_OVERRIDE=FY","FILING_STATUS=MR","EQY_CONSOLIDATED=N","Sort=A","Dates=H","DateFormat=P","Fill=—","Direction=H","UseDPDF=Y")</f>
        <v>-41.769300000000001</v>
      </c>
      <c r="I20" s="18">
        <f>_xll.BDH("KAIR IN Equity","CASH_FLOW_TO_TOT_LIAB","FY 2009","FY 2009","Currency=INR","Period=FY","BEST_FPERIOD_OVERRIDE=FY","FILING_STATUS=MR","EQY_CONSOLIDATED=N","Sort=A","Dates=H","DateFormat=P","Fill=—","Direction=H","UseDPDF=Y")</f>
        <v>-7.4086999999999996</v>
      </c>
      <c r="J20" s="18">
        <f>_xll.BDH("KAIR IN Equity","CASH_FLOW_TO_TOT_LIAB","FY 2010","FY 2010","Currency=INR","Period=FY","BEST_FPERIOD_OVERRIDE=FY","FILING_STATUS=MR","EQY_CONSOLIDATED=N","Sort=A","Dates=H","DateFormat=P","Fill=—","Direction=H","UseDPDF=Y")</f>
        <v>-20.127700000000001</v>
      </c>
      <c r="K20" s="18">
        <f>_xll.BDH("KAIR IN Equity","CASH_FLOW_TO_TOT_LIAB","FY 2011","FY 2011","Currency=INR","Period=FY","BEST_FPERIOD_OVERRIDE=FY","FILING_STATUS=MR","EQY_CONSOLIDATED=N","Sort=A","Dates=H","DateFormat=P","Fill=—","Direction=H","UseDPDF=Y")</f>
        <v>-7.4107000000000003</v>
      </c>
      <c r="L20" s="18">
        <f>_xll.BDH("KAIR IN Equity","CASH_FLOW_TO_TOT_LIAB","FY 2012","FY 2012","Currency=INR","Period=FY","BEST_FPERIOD_OVERRIDE=FY","FILING_STATUS=MR","EQY_CONSOLIDATED=N","Sort=A","Dates=H","DateFormat=P","Fill=—","Direction=H","UseDPDF=Y")</f>
        <v>-10.8292</v>
      </c>
      <c r="M20" s="18">
        <f>_xll.BDH("KAIR IN Equity","CASH_FLOW_TO_TOT_LIAB","FY 2013","FY 2013","Currency=INR","Period=FY","BEST_FPERIOD_OVERRIDE=FY","FILING_STATUS=MR","EQY_CONSOLIDATED=N","Sort=A","Dates=H","DateFormat=P","Fill=—","Direction=H","UseDPDF=Y")</f>
        <v>-10.9526</v>
      </c>
    </row>
    <row r="21" spans="1:13" x14ac:dyDescent="0.25">
      <c r="A21" s="3" t="s">
        <v>87</v>
      </c>
      <c r="B21" s="3" t="s">
        <v>88</v>
      </c>
      <c r="C21" s="18">
        <f>_xll.BDH("KAIR IN Equity","CAP_EXPEND_RATIO","FY 2001","FY 2001","Currency=INR","Period=FY","BEST_FPERIOD_OVERRIDE=FY","FILING_STATUS=MR","EQY_CONSOLIDATED=N","Sort=A","Dates=H","DateFormat=P","Fill=—","Direction=H","UseDPDF=Y")</f>
        <v>-3.1636000000000002</v>
      </c>
      <c r="D21" s="18">
        <f>_xll.BDH("KAIR IN Equity","CAP_EXPEND_RATIO","FY 2002","FY 2002","Currency=INR","Period=FY","BEST_FPERIOD_OVERRIDE=FY","FILING_STATUS=MR","EQY_CONSOLIDATED=N","Sort=A","Dates=H","DateFormat=P","Fill=—","Direction=H","UseDPDF=Y")</f>
        <v>-2.8429000000000002</v>
      </c>
      <c r="E21" s="18" t="str">
        <f>_xll.BDH("KAIR IN Equity","CAP_EXPEND_RATIO","FY 2003","FY 2003","Currency=INR","Period=FY","BEST_FPERIOD_OVERRIDE=FY","FILING_STATUS=MR","EQY_CONSOLIDATED=N","Sort=A","Dates=H","DateFormat=P","Fill=—","Direction=H","UseDPDF=Y")</f>
        <v>—</v>
      </c>
      <c r="F21" s="18">
        <f>_xll.BDH("KAIR IN Equity","CAP_EXPEND_RATIO","FY 2004","FY 2004","Currency=INR","Period=FY","BEST_FPERIOD_OVERRIDE=FY","FILING_STATUS=MR","EQY_CONSOLIDATED=N","Sort=A","Dates=H","DateFormat=P","Fill=—","Direction=H","UseDPDF=Y")</f>
        <v>-0.50480000000000003</v>
      </c>
      <c r="G21" s="18">
        <f>_xll.BDH("KAIR IN Equity","CAP_EXPEND_RATIO","FY 2005","FY 2005","Currency=INR","Period=FY","BEST_FPERIOD_OVERRIDE=FY","FILING_STATUS=MR","EQY_CONSOLIDATED=N","Sort=A","Dates=H","DateFormat=P","Fill=—","Direction=H","UseDPDF=Y")</f>
        <v>-3.8300000000000001E-2</v>
      </c>
      <c r="H21" s="18">
        <f>_xll.BDH("KAIR IN Equity","CAP_EXPEND_RATIO","FY 2007","FY 2007","Currency=INR","Period=FY","BEST_FPERIOD_OVERRIDE=FY","FILING_STATUS=MR","EQY_CONSOLIDATED=N","Sort=A","Dates=H","DateFormat=P","Fill=—","Direction=H","UseDPDF=Y")</f>
        <v>-3.1337999999999999</v>
      </c>
      <c r="I21" s="18">
        <f>_xll.BDH("KAIR IN Equity","CAP_EXPEND_RATIO","FY 2009","FY 2009","Currency=INR","Period=FY","BEST_FPERIOD_OVERRIDE=FY","FILING_STATUS=MR","EQY_CONSOLIDATED=N","Sort=A","Dates=H","DateFormat=P","Fill=—","Direction=H","UseDPDF=Y")</f>
        <v>-1.7705</v>
      </c>
      <c r="J21" s="18">
        <f>_xll.BDH("KAIR IN Equity","CAP_EXPEND_RATIO","FY 2010","FY 2010","Currency=INR","Period=FY","BEST_FPERIOD_OVERRIDE=FY","FILING_STATUS=MR","EQY_CONSOLIDATED=N","Sort=A","Dates=H","DateFormat=P","Fill=—","Direction=H","UseDPDF=Y")</f>
        <v>-8.4829000000000008</v>
      </c>
      <c r="K21" s="18" t="str">
        <f>_xll.BDH("KAIR IN Equity","CAP_EXPEND_RATIO","FY 2011","FY 2011","Currency=INR","Period=FY","BEST_FPERIOD_OVERRIDE=FY","FILING_STATUS=MR","EQY_CONSOLIDATED=N","Sort=A","Dates=H","DateFormat=P","Fill=—","Direction=H","UseDPDF=Y")</f>
        <v>—</v>
      </c>
      <c r="L21" s="18">
        <f>_xll.BDH("KAIR IN Equity","CAP_EXPEND_RATIO","FY 2012","FY 2012","Currency=INR","Period=FY","BEST_FPERIOD_OVERRIDE=FY","FILING_STATUS=MR","EQY_CONSOLIDATED=N","Sort=A","Dates=H","DateFormat=P","Fill=—","Direction=H","UseDPDF=Y")</f>
        <v>-4.8018000000000001</v>
      </c>
      <c r="M21" s="18">
        <f>_xll.BDH("KAIR IN Equity","CAP_EXPEND_RATIO","FY 2013","FY 2013","Currency=INR","Period=FY","BEST_FPERIOD_OVERRIDE=FY","FILING_STATUS=MR","EQY_CONSOLIDATED=N","Sort=A","Dates=H","DateFormat=P","Fill=—","Direction=H","UseDPDF=Y")</f>
        <v>-35.987699999999997</v>
      </c>
    </row>
    <row r="22" spans="1:13" x14ac:dyDescent="0.25">
      <c r="A22" s="3" t="s">
        <v>89</v>
      </c>
      <c r="B22" s="3" t="s">
        <v>90</v>
      </c>
      <c r="C22" s="18" t="str">
        <f>_xll.BDH("KAIR IN Equity","ALTMAN_Z_SCORE","FY 2001","FY 2001","Currency=INR","Period=FY","BEST_FPERIOD_OVERRIDE=FY","FILING_STATUS=MR","EQY_CONSOLIDATED=N","Sort=A","Dates=H","DateFormat=P","Fill=—","Direction=H","UseDPDF=Y")</f>
        <v>—</v>
      </c>
      <c r="D22" s="18" t="str">
        <f>_xll.BDH("KAIR IN Equity","ALTMAN_Z_SCORE","FY 2002","FY 2002","Currency=INR","Period=FY","BEST_FPERIOD_OVERRIDE=FY","FILING_STATUS=MR","EQY_CONSOLIDATED=N","Sort=A","Dates=H","DateFormat=P","Fill=—","Direction=H","UseDPDF=Y")</f>
        <v>—</v>
      </c>
      <c r="E22" s="18" t="str">
        <f>_xll.BDH("KAIR IN Equity","ALTMAN_Z_SCORE","FY 2003","FY 2003","Currency=INR","Period=FY","BEST_FPERIOD_OVERRIDE=FY","FILING_STATUS=MR","EQY_CONSOLIDATED=N","Sort=A","Dates=H","DateFormat=P","Fill=—","Direction=H","UseDPDF=Y")</f>
        <v>—</v>
      </c>
      <c r="F22" s="18" t="str">
        <f>_xll.BDH("KAIR IN Equity","ALTMAN_Z_SCORE","FY 2004","FY 2004","Currency=INR","Period=FY","BEST_FPERIOD_OVERRIDE=FY","FILING_STATUS=MR","EQY_CONSOLIDATED=N","Sort=A","Dates=H","DateFormat=P","Fill=—","Direction=H","UseDPDF=Y")</f>
        <v>—</v>
      </c>
      <c r="G22" s="18" t="str">
        <f>_xll.BDH("KAIR IN Equity","ALTMAN_Z_SCORE","FY 2005","FY 2005","Currency=INR","Period=FY","BEST_FPERIOD_OVERRIDE=FY","FILING_STATUS=MR","EQY_CONSOLIDATED=N","Sort=A","Dates=H","DateFormat=P","Fill=—","Direction=H","UseDPDF=Y")</f>
        <v>—</v>
      </c>
      <c r="H22" s="18">
        <f>_xll.BDH("KAIR IN Equity","ALTMAN_Z_SCORE","FY 2007","FY 2007","Currency=INR","Period=FY","BEST_FPERIOD_OVERRIDE=FY","FILING_STATUS=MR","EQY_CONSOLIDATED=N","Sort=A","Dates=H","DateFormat=P","Fill=—","Direction=H","UseDPDF=Y")</f>
        <v>0.18459999999999999</v>
      </c>
      <c r="I22" s="18">
        <f>_xll.BDH("KAIR IN Equity","ALTMAN_Z_SCORE","FY 2009","FY 2009","Currency=INR","Period=FY","BEST_FPERIOD_OVERRIDE=FY","FILING_STATUS=MR","EQY_CONSOLIDATED=N","Sort=A","Dates=H","DateFormat=P","Fill=—","Direction=H","UseDPDF=Y")</f>
        <v>-0.7056</v>
      </c>
      <c r="J22" s="18">
        <f>_xll.BDH("KAIR IN Equity","ALTMAN_Z_SCORE","FY 2010","FY 2010","Currency=INR","Period=FY","BEST_FPERIOD_OVERRIDE=FY","FILING_STATUS=MR","EQY_CONSOLIDATED=N","Sort=A","Dates=H","DateFormat=P","Fill=—","Direction=H","UseDPDF=Y")</f>
        <v>-1.5391999999999999</v>
      </c>
      <c r="K22" s="18">
        <f>_xll.BDH("KAIR IN Equity","ALTMAN_Z_SCORE","FY 2011","FY 2011","Currency=INR","Period=FY","BEST_FPERIOD_OVERRIDE=FY","FILING_STATUS=MR","EQY_CONSOLIDATED=N","Sort=A","Dates=H","DateFormat=P","Fill=—","Direction=H","UseDPDF=Y")</f>
        <v>-0.64329999999999998</v>
      </c>
      <c r="L22" s="18">
        <f>_xll.BDH("KAIR IN Equity","ALTMAN_Z_SCORE","FY 2012","FY 2012","Currency=INR","Period=FY","BEST_FPERIOD_OVERRIDE=FY","FILING_STATUS=MR","EQY_CONSOLIDATED=N","Sort=A","Dates=H","DateFormat=P","Fill=—","Direction=H","UseDPDF=Y")</f>
        <v>-2.3546</v>
      </c>
      <c r="M22" s="18">
        <f>_xll.BDH("KAIR IN Equity","ALTMAN_Z_SCORE","FY 2013","FY 2013","Currency=INR","Period=FY","BEST_FPERIOD_OVERRIDE=FY","FILING_STATUS=MR","EQY_CONSOLIDATED=N","Sort=A","Dates=H","DateFormat=P","Fill=—","Direction=H","UseDPDF=Y")</f>
        <v>-14.706099999999999</v>
      </c>
    </row>
    <row r="23" spans="1:13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5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1AFD-B30E-4456-A2B3-A80EEE76B955}">
  <dimension ref="A1:R25"/>
  <sheetViews>
    <sheetView tabSelected="1" workbookViewId="0">
      <selection activeCell="G27" sqref="G27"/>
    </sheetView>
  </sheetViews>
  <sheetFormatPr defaultRowHeight="15" x14ac:dyDescent="0.25"/>
  <cols>
    <col min="1" max="1" width="35.140625" customWidth="1"/>
    <col min="2" max="2" width="0" hidden="1" customWidth="1"/>
    <col min="3" max="18" width="11.85546875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0.25" x14ac:dyDescent="0.25">
      <c r="A2" s="14" t="s">
        <v>126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6" t="s">
        <v>3</v>
      </c>
      <c r="B4" s="6"/>
      <c r="C4" s="5" t="s">
        <v>1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92</v>
      </c>
      <c r="M4" s="5" t="s">
        <v>93</v>
      </c>
      <c r="N4" s="5" t="s">
        <v>94</v>
      </c>
      <c r="O4" s="5" t="s">
        <v>95</v>
      </c>
      <c r="P4" s="5" t="s">
        <v>96</v>
      </c>
      <c r="Q4" s="5" t="s">
        <v>97</v>
      </c>
      <c r="R4" s="5" t="s">
        <v>98</v>
      </c>
    </row>
    <row r="5" spans="1:18" x14ac:dyDescent="0.25">
      <c r="A5" s="15" t="s">
        <v>15</v>
      </c>
      <c r="B5" s="15"/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4" t="s">
        <v>100</v>
      </c>
      <c r="M5" s="4" t="s">
        <v>101</v>
      </c>
      <c r="N5" s="4" t="s">
        <v>102</v>
      </c>
      <c r="O5" s="4" t="s">
        <v>103</v>
      </c>
      <c r="P5" s="4" t="s">
        <v>104</v>
      </c>
      <c r="Q5" s="4" t="s">
        <v>105</v>
      </c>
      <c r="R5" s="4" t="s">
        <v>106</v>
      </c>
    </row>
    <row r="6" spans="1:18" x14ac:dyDescent="0.25">
      <c r="A6" s="3" t="s">
        <v>63</v>
      </c>
      <c r="B6" s="3" t="s">
        <v>64</v>
      </c>
      <c r="C6" s="18">
        <f>_xll.BDH("COXK IN Equity","CASH_RATIO","FY 2005","FY 2005","Currency=INR","Period=FY","BEST_FPERIOD_OVERRIDE=FY","FILING_STATUS=MR","EQY_CONSOLIDATED=Y","Sort=A","Dates=H","DateFormat=P","Fill=—","Direction=H","UseDPDF=Y")</f>
        <v>0.29220000000000002</v>
      </c>
      <c r="D6" s="18">
        <f>_xll.BDH("COXK IN Equity","CASH_RATIO","FY 2006","FY 2006","Currency=INR","Period=FY","BEST_FPERIOD_OVERRIDE=FY","FILING_STATUS=MR","EQY_CONSOLIDATED=Y","Sort=A","Dates=H","DateFormat=P","Fill=—","Direction=H","UseDPDF=Y")</f>
        <v>0.33539999999999998</v>
      </c>
      <c r="E6" s="18">
        <f>_xll.BDH("COXK IN Equity","CASH_RATIO","FY 2007","FY 2007","Currency=INR","Period=FY","BEST_FPERIOD_OVERRIDE=FY","FILING_STATUS=MR","EQY_CONSOLIDATED=Y","Sort=A","Dates=H","DateFormat=P","Fill=—","Direction=H","UseDPDF=Y")</f>
        <v>0.14199999999999999</v>
      </c>
      <c r="F6" s="18">
        <f>_xll.BDH("COXK IN Equity","CASH_RATIO","FY 2008","FY 2008","Currency=INR","Period=FY","BEST_FPERIOD_OVERRIDE=FY","FILING_STATUS=MR","EQY_CONSOLIDATED=Y","Sort=A","Dates=H","DateFormat=P","Fill=—","Direction=H","UseDPDF=Y")</f>
        <v>0.2457</v>
      </c>
      <c r="G6" s="18">
        <f>_xll.BDH("COXK IN Equity","CASH_RATIO","FY 2009","FY 2009","Currency=INR","Period=FY","BEST_FPERIOD_OVERRIDE=FY","FILING_STATUS=MR","EQY_CONSOLIDATED=Y","Sort=A","Dates=H","DateFormat=P","Fill=—","Direction=H","UseDPDF=Y")</f>
        <v>0.34870000000000001</v>
      </c>
      <c r="H6" s="18">
        <f>_xll.BDH("COXK IN Equity","CASH_RATIO","FY 2010","FY 2010","Currency=INR","Period=FY","BEST_FPERIOD_OVERRIDE=FY","FILING_STATUS=MR","EQY_CONSOLIDATED=Y","Sort=A","Dates=H","DateFormat=P","Fill=—","Direction=H","UseDPDF=Y")</f>
        <v>2.9174000000000002</v>
      </c>
      <c r="I6" s="18">
        <f>_xll.BDH("COXK IN Equity","CASH_RATIO","FY 2011","FY 2011","Currency=INR","Period=FY","BEST_FPERIOD_OVERRIDE=FY","FILING_STATUS=MR","EQY_CONSOLIDATED=Y","Sort=A","Dates=H","DateFormat=P","Fill=—","Direction=H","UseDPDF=Y")</f>
        <v>2.9214000000000002</v>
      </c>
      <c r="J6" s="18">
        <f>_xll.BDH("COXK IN Equity","CASH_RATIO","FY 2012","FY 2012","Currency=INR","Period=FY","BEST_FPERIOD_OVERRIDE=FY","FILING_STATUS=MR","EQY_CONSOLIDATED=Y","Sort=A","Dates=H","DateFormat=P","Fill=—","Direction=H","UseDPDF=Y")</f>
        <v>0.37119999999999997</v>
      </c>
      <c r="K6" s="18">
        <f>_xll.BDH("COXK IN Equity","CASH_RATIO","FY 2013","FY 2013","Currency=INR","Period=FY","BEST_FPERIOD_OVERRIDE=FY","FILING_STATUS=MR","EQY_CONSOLIDATED=Y","Sort=A","Dates=H","DateFormat=P","Fill=—","Direction=H","UseDPDF=Y")</f>
        <v>0.51949999999999996</v>
      </c>
      <c r="L6" s="18">
        <f>_xll.BDH("COXK IN Equity","CASH_RATIO","FY 2014","FY 2014","Currency=INR","Period=FY","BEST_FPERIOD_OVERRIDE=FY","FILING_STATUS=MR","EQY_CONSOLIDATED=Y","Sort=A","Dates=H","DateFormat=P","Fill=—","Direction=H","UseDPDF=Y")</f>
        <v>0.39979999999999999</v>
      </c>
      <c r="M6" s="18">
        <f>_xll.BDH("COXK IN Equity","CASH_RATIO","FY 2015","FY 2015","Currency=INR","Period=FY","BEST_FPERIOD_OVERRIDE=FY","FILING_STATUS=MR","EQY_CONSOLIDATED=Y","Sort=A","Dates=H","DateFormat=P","Fill=—","Direction=H","UseDPDF=Y")</f>
        <v>0.52210000000000001</v>
      </c>
      <c r="N6" s="18">
        <f>_xll.BDH("COXK IN Equity","CASH_RATIO","FY 2016","FY 2016","Currency=INR","Period=FY","BEST_FPERIOD_OVERRIDE=FY","FILING_STATUS=MR","EQY_CONSOLIDATED=Y","Sort=A","Dates=H","DateFormat=P","Fill=—","Direction=H","UseDPDF=Y")</f>
        <v>0.57869999999999999</v>
      </c>
      <c r="O6" s="18">
        <f>_xll.BDH("COXK IN Equity","CASH_RATIO","FY 2017","FY 2017","Currency=INR","Period=FY","BEST_FPERIOD_OVERRIDE=FY","FILING_STATUS=MR","EQY_CONSOLIDATED=Y","Sort=A","Dates=H","DateFormat=P","Fill=—","Direction=H","UseDPDF=Y")</f>
        <v>0.54369999999999996</v>
      </c>
      <c r="P6" s="18">
        <f>_xll.BDH("COXK IN Equity","CASH_RATIO","FY 2018","FY 2018","Currency=INR","Period=FY","BEST_FPERIOD_OVERRIDE=FY","FILING_STATUS=MR","EQY_CONSOLIDATED=Y","Sort=A","Dates=H","DateFormat=P","Fill=—","Direction=H","UseDPDF=Y")</f>
        <v>0.41639999999999999</v>
      </c>
      <c r="Q6" s="18">
        <f>_xll.BDH("COXK IN Equity","CASH_RATIO","FY 2019","FY 2019","Currency=INR","Period=FY","BEST_FPERIOD_OVERRIDE=FY","FILING_STATUS=MR","EQY_CONSOLIDATED=Y","Sort=A","Dates=H","DateFormat=P","Fill=—","Direction=H","UseDPDF=Y")</f>
        <v>0.58340000000000003</v>
      </c>
      <c r="R6" s="18">
        <f>_xll.BDH("COXK IN Equity","CASH_RATIO","FY 2020","FY 2020","Currency=INR","Period=FY","BEST_FPERIOD_OVERRIDE=FY","FILING_STATUS=MR","EQY_CONSOLIDATED=Y","Sort=A","Dates=H","DateFormat=P","Fill=—","Direction=H","UseDPDF=Y")</f>
        <v>3.5000000000000001E-3</v>
      </c>
    </row>
    <row r="7" spans="1:18" x14ac:dyDescent="0.25">
      <c r="A7" s="3" t="s">
        <v>65</v>
      </c>
      <c r="B7" s="3" t="s">
        <v>66</v>
      </c>
      <c r="C7" s="18">
        <f>_xll.BDH("COXK IN Equity","CUR_RATIO","FY 2005","FY 2005","Currency=INR","Period=FY","BEST_FPERIOD_OVERRIDE=FY","FILING_STATUS=MR","EQY_CONSOLIDATED=Y","Sort=A","Dates=H","DateFormat=P","Fill=—","Direction=H","UseDPDF=Y")</f>
        <v>1.5225</v>
      </c>
      <c r="D7" s="18">
        <f>_xll.BDH("COXK IN Equity","CUR_RATIO","FY 2006","FY 2006","Currency=INR","Period=FY","BEST_FPERIOD_OVERRIDE=FY","FILING_STATUS=MR","EQY_CONSOLIDATED=Y","Sort=A","Dates=H","DateFormat=P","Fill=—","Direction=H","UseDPDF=Y")</f>
        <v>1.7608999999999999</v>
      </c>
      <c r="E7" s="18">
        <f>_xll.BDH("COXK IN Equity","CUR_RATIO","FY 2007","FY 2007","Currency=INR","Period=FY","BEST_FPERIOD_OVERRIDE=FY","FILING_STATUS=MR","EQY_CONSOLIDATED=Y","Sort=A","Dates=H","DateFormat=P","Fill=—","Direction=H","UseDPDF=Y")</f>
        <v>1.452</v>
      </c>
      <c r="F7" s="18">
        <f>_xll.BDH("COXK IN Equity","CUR_RATIO","FY 2008","FY 2008","Currency=INR","Period=FY","BEST_FPERIOD_OVERRIDE=FY","FILING_STATUS=MR","EQY_CONSOLIDATED=Y","Sort=A","Dates=H","DateFormat=P","Fill=—","Direction=H","UseDPDF=Y")</f>
        <v>1.8109999999999999</v>
      </c>
      <c r="G7" s="18">
        <f>_xll.BDH("COXK IN Equity","CUR_RATIO","FY 2009","FY 2009","Currency=INR","Period=FY","BEST_FPERIOD_OVERRIDE=FY","FILING_STATUS=MR","EQY_CONSOLIDATED=Y","Sort=A","Dates=H","DateFormat=P","Fill=—","Direction=H","UseDPDF=Y")</f>
        <v>2.2448000000000001</v>
      </c>
      <c r="H7" s="18">
        <f>_xll.BDH("COXK IN Equity","CUR_RATIO","FY 2010","FY 2010","Currency=INR","Period=FY","BEST_FPERIOD_OVERRIDE=FY","FILING_STATUS=MR","EQY_CONSOLIDATED=Y","Sort=A","Dates=H","DateFormat=P","Fill=—","Direction=H","UseDPDF=Y")</f>
        <v>5.6708999999999996</v>
      </c>
      <c r="I7" s="18">
        <f>_xll.BDH("COXK IN Equity","CUR_RATIO","FY 2011","FY 2011","Currency=INR","Period=FY","BEST_FPERIOD_OVERRIDE=FY","FILING_STATUS=MR","EQY_CONSOLIDATED=Y","Sort=A","Dates=H","DateFormat=P","Fill=—","Direction=H","UseDPDF=Y")</f>
        <v>4.8684000000000003</v>
      </c>
      <c r="J7" s="18">
        <f>_xll.BDH("COXK IN Equity","CUR_RATIO","FY 2012","FY 2012","Currency=INR","Period=FY","BEST_FPERIOD_OVERRIDE=FY","FILING_STATUS=MR","EQY_CONSOLIDATED=Y","Sort=A","Dates=H","DateFormat=P","Fill=—","Direction=H","UseDPDF=Y")</f>
        <v>0.90820000000000001</v>
      </c>
      <c r="K7" s="18">
        <f>_xll.BDH("COXK IN Equity","CUR_RATIO","FY 2013","FY 2013","Currency=INR","Period=FY","BEST_FPERIOD_OVERRIDE=FY","FILING_STATUS=MR","EQY_CONSOLIDATED=Y","Sort=A","Dates=H","DateFormat=P","Fill=—","Direction=H","UseDPDF=Y")</f>
        <v>1.2307999999999999</v>
      </c>
      <c r="L7" s="18">
        <f>_xll.BDH("COXK IN Equity","CUR_RATIO","FY 2014","FY 2014","Currency=INR","Period=FY","BEST_FPERIOD_OVERRIDE=FY","FILING_STATUS=MR","EQY_CONSOLIDATED=Y","Sort=A","Dates=H","DateFormat=P","Fill=—","Direction=H","UseDPDF=Y")</f>
        <v>1.2267999999999999</v>
      </c>
      <c r="M7" s="18">
        <f>_xll.BDH("COXK IN Equity","CUR_RATIO","FY 2015","FY 2015","Currency=INR","Period=FY","BEST_FPERIOD_OVERRIDE=FY","FILING_STATUS=MR","EQY_CONSOLIDATED=Y","Sort=A","Dates=H","DateFormat=P","Fill=—","Direction=H","UseDPDF=Y")</f>
        <v>1.5980000000000001</v>
      </c>
      <c r="N7" s="18">
        <f>_xll.BDH("COXK IN Equity","CUR_RATIO","FY 2016","FY 2016","Currency=INR","Period=FY","BEST_FPERIOD_OVERRIDE=FY","FILING_STATUS=MR","EQY_CONSOLIDATED=Y","Sort=A","Dates=H","DateFormat=P","Fill=—","Direction=H","UseDPDF=Y")</f>
        <v>1.3925000000000001</v>
      </c>
      <c r="O7" s="18">
        <f>_xll.BDH("COXK IN Equity","CUR_RATIO","FY 2017","FY 2017","Currency=INR","Period=FY","BEST_FPERIOD_OVERRIDE=FY","FILING_STATUS=MR","EQY_CONSOLIDATED=Y","Sort=A","Dates=H","DateFormat=P","Fill=—","Direction=H","UseDPDF=Y")</f>
        <v>1.5448</v>
      </c>
      <c r="P7" s="18">
        <f>_xll.BDH("COXK IN Equity","CUR_RATIO","FY 2018","FY 2018","Currency=INR","Period=FY","BEST_FPERIOD_OVERRIDE=FY","FILING_STATUS=MR","EQY_CONSOLIDATED=Y","Sort=A","Dates=H","DateFormat=P","Fill=—","Direction=H","UseDPDF=Y")</f>
        <v>1.4558</v>
      </c>
      <c r="Q7" s="18">
        <f>_xll.BDH("COXK IN Equity","CUR_RATIO","FY 2019","FY 2019","Currency=INR","Period=FY","BEST_FPERIOD_OVERRIDE=FY","FILING_STATUS=MR","EQY_CONSOLIDATED=Y","Sort=A","Dates=H","DateFormat=P","Fill=—","Direction=H","UseDPDF=Y")</f>
        <v>2.1791</v>
      </c>
      <c r="R7" s="18">
        <f>_xll.BDH("COXK IN Equity","CUR_RATIO","FY 2020","FY 2020","Currency=INR","Period=FY","BEST_FPERIOD_OVERRIDE=FY","FILING_STATUS=MR","EQY_CONSOLIDATED=Y","Sort=A","Dates=H","DateFormat=P","Fill=—","Direction=H","UseDPDF=Y")</f>
        <v>3.8800000000000001E-2</v>
      </c>
    </row>
    <row r="8" spans="1:18" x14ac:dyDescent="0.25">
      <c r="A8" s="3" t="s">
        <v>67</v>
      </c>
      <c r="B8" s="3" t="s">
        <v>68</v>
      </c>
      <c r="C8" s="18">
        <f>_xll.BDH("COXK IN Equity","QUICK_RATIO","FY 2005","FY 2005","Currency=INR","Period=FY","BEST_FPERIOD_OVERRIDE=FY","FILING_STATUS=MR","EQY_CONSOLIDATED=Y","Sort=A","Dates=H","DateFormat=P","Fill=—","Direction=H","UseDPDF=Y")</f>
        <v>0.82750000000000001</v>
      </c>
      <c r="D8" s="18">
        <f>_xll.BDH("COXK IN Equity","QUICK_RATIO","FY 2006","FY 2006","Currency=INR","Period=FY","BEST_FPERIOD_OVERRIDE=FY","FILING_STATUS=MR","EQY_CONSOLIDATED=Y","Sort=A","Dates=H","DateFormat=P","Fill=—","Direction=H","UseDPDF=Y")</f>
        <v>0.82440000000000002</v>
      </c>
      <c r="E8" s="18">
        <f>_xll.BDH("COXK IN Equity","QUICK_RATIO","FY 2007","FY 2007","Currency=INR","Period=FY","BEST_FPERIOD_OVERRIDE=FY","FILING_STATUS=MR","EQY_CONSOLIDATED=Y","Sort=A","Dates=H","DateFormat=P","Fill=—","Direction=H","UseDPDF=Y")</f>
        <v>0.70730000000000004</v>
      </c>
      <c r="F8" s="18">
        <f>_xll.BDH("COXK IN Equity","QUICK_RATIO","FY 2008","FY 2008","Currency=INR","Period=FY","BEST_FPERIOD_OVERRIDE=FY","FILING_STATUS=MR","EQY_CONSOLIDATED=Y","Sort=A","Dates=H","DateFormat=P","Fill=—","Direction=H","UseDPDF=Y")</f>
        <v>1.0286999999999999</v>
      </c>
      <c r="G8" s="18">
        <f>_xll.BDH("COXK IN Equity","QUICK_RATIO","FY 2009","FY 2009","Currency=INR","Period=FY","BEST_FPERIOD_OVERRIDE=FY","FILING_STATUS=MR","EQY_CONSOLIDATED=Y","Sort=A","Dates=H","DateFormat=P","Fill=—","Direction=H","UseDPDF=Y")</f>
        <v>1.2327999999999999</v>
      </c>
      <c r="H8" s="18">
        <f>_xll.BDH("COXK IN Equity","QUICK_RATIO","FY 2010","FY 2010","Currency=INR","Period=FY","BEST_FPERIOD_OVERRIDE=FY","FILING_STATUS=MR","EQY_CONSOLIDATED=Y","Sort=A","Dates=H","DateFormat=P","Fill=—","Direction=H","UseDPDF=Y")</f>
        <v>4.3468</v>
      </c>
      <c r="I8" s="18">
        <f>_xll.BDH("COXK IN Equity","QUICK_RATIO","FY 2011","FY 2011","Currency=INR","Period=FY","BEST_FPERIOD_OVERRIDE=FY","FILING_STATUS=MR","EQY_CONSOLIDATED=Y","Sort=A","Dates=H","DateFormat=P","Fill=—","Direction=H","UseDPDF=Y")</f>
        <v>3.9668999999999999</v>
      </c>
      <c r="J8" s="18">
        <f>_xll.BDH("COXK IN Equity","QUICK_RATIO","FY 2012","FY 2012","Currency=INR","Period=FY","BEST_FPERIOD_OVERRIDE=FY","FILING_STATUS=MR","EQY_CONSOLIDATED=Y","Sort=A","Dates=H","DateFormat=P","Fill=—","Direction=H","UseDPDF=Y")</f>
        <v>0.61750000000000005</v>
      </c>
      <c r="K8" s="18">
        <f>_xll.BDH("COXK IN Equity","QUICK_RATIO","FY 2013","FY 2013","Currency=INR","Period=FY","BEST_FPERIOD_OVERRIDE=FY","FILING_STATUS=MR","EQY_CONSOLIDATED=Y","Sort=A","Dates=H","DateFormat=P","Fill=—","Direction=H","UseDPDF=Y")</f>
        <v>0.88449999999999995</v>
      </c>
      <c r="L8" s="18">
        <f>_xll.BDH("COXK IN Equity","QUICK_RATIO","FY 2014","FY 2014","Currency=INR","Period=FY","BEST_FPERIOD_OVERRIDE=FY","FILING_STATUS=MR","EQY_CONSOLIDATED=Y","Sort=A","Dates=H","DateFormat=P","Fill=—","Direction=H","UseDPDF=Y")</f>
        <v>0.76949999999999996</v>
      </c>
      <c r="M8" s="18">
        <f>_xll.BDH("COXK IN Equity","QUICK_RATIO","FY 2015","FY 2015","Currency=INR","Period=FY","BEST_FPERIOD_OVERRIDE=FY","FILING_STATUS=MR","EQY_CONSOLIDATED=Y","Sort=A","Dates=H","DateFormat=P","Fill=—","Direction=H","UseDPDF=Y")</f>
        <v>1.0389999999999999</v>
      </c>
      <c r="N8" s="18">
        <f>_xll.BDH("COXK IN Equity","QUICK_RATIO","FY 2016","FY 2016","Currency=INR","Period=FY","BEST_FPERIOD_OVERRIDE=FY","FILING_STATUS=MR","EQY_CONSOLIDATED=Y","Sort=A","Dates=H","DateFormat=P","Fill=—","Direction=H","UseDPDF=Y")</f>
        <v>1.0153000000000001</v>
      </c>
      <c r="O8" s="18">
        <f>_xll.BDH("COXK IN Equity","QUICK_RATIO","FY 2017","FY 2017","Currency=INR","Period=FY","BEST_FPERIOD_OVERRIDE=FY","FILING_STATUS=MR","EQY_CONSOLIDATED=Y","Sort=A","Dates=H","DateFormat=P","Fill=—","Direction=H","UseDPDF=Y")</f>
        <v>1.1445000000000001</v>
      </c>
      <c r="P8" s="18">
        <f>_xll.BDH("COXK IN Equity","QUICK_RATIO","FY 2018","FY 2018","Currency=INR","Period=FY","BEST_FPERIOD_OVERRIDE=FY","FILING_STATUS=MR","EQY_CONSOLIDATED=Y","Sort=A","Dates=H","DateFormat=P","Fill=—","Direction=H","UseDPDF=Y")</f>
        <v>0.98460000000000003</v>
      </c>
      <c r="Q8" s="18">
        <f>_xll.BDH("COXK IN Equity","QUICK_RATIO","FY 2019","FY 2019","Currency=INR","Period=FY","BEST_FPERIOD_OVERRIDE=FY","FILING_STATUS=MR","EQY_CONSOLIDATED=Y","Sort=A","Dates=H","DateFormat=P","Fill=—","Direction=H","UseDPDF=Y")</f>
        <v>1.3429</v>
      </c>
      <c r="R8" s="18">
        <f>_xll.BDH("COXK IN Equity","QUICK_RATIO","FY 2020","FY 2020","Currency=INR","Period=FY","BEST_FPERIOD_OVERRIDE=FY","FILING_STATUS=MR","EQY_CONSOLIDATED=Y","Sort=A","Dates=H","DateFormat=P","Fill=—","Direction=H","UseDPDF=Y")</f>
        <v>1.18E-2</v>
      </c>
    </row>
    <row r="9" spans="1:18" x14ac:dyDescent="0.25">
      <c r="A9" s="3" t="s">
        <v>69</v>
      </c>
      <c r="B9" s="3" t="s">
        <v>70</v>
      </c>
      <c r="C9" s="18" t="str">
        <f>_xll.BDH("COXK IN Equity","CFO_TO_AVG_CURRENT_LIABILITIES","FY 2005","FY 2005","Currency=INR","Period=FY","BEST_FPERIOD_OVERRIDE=FY","FILING_STATUS=MR","EQY_CONSOLIDATED=Y","Sort=A","Dates=H","DateFormat=P","Fill=—","Direction=H","UseDPDF=Y")</f>
        <v>—</v>
      </c>
      <c r="D9" s="18">
        <f>_xll.BDH("COXK IN Equity","CFO_TO_AVG_CURRENT_LIABILITIES","FY 2006","FY 2006","Currency=INR","Period=FY","BEST_FPERIOD_OVERRIDE=FY","FILING_STATUS=MR","EQY_CONSOLIDATED=Y","Sort=A","Dates=H","DateFormat=P","Fill=—","Direction=H","UseDPDF=Y")</f>
        <v>-9.5999999999999992E-3</v>
      </c>
      <c r="E9" s="18">
        <f>_xll.BDH("COXK IN Equity","CFO_TO_AVG_CURRENT_LIABILITIES","FY 2007","FY 2007","Currency=INR","Period=FY","BEST_FPERIOD_OVERRIDE=FY","FILING_STATUS=MR","EQY_CONSOLIDATED=Y","Sort=A","Dates=H","DateFormat=P","Fill=—","Direction=H","UseDPDF=Y")</f>
        <v>0.15379999999999999</v>
      </c>
      <c r="F9" s="18">
        <f>_xll.BDH("COXK IN Equity","CFO_TO_AVG_CURRENT_LIABILITIES","FY 2008","FY 2008","Currency=INR","Period=FY","BEST_FPERIOD_OVERRIDE=FY","FILING_STATUS=MR","EQY_CONSOLIDATED=Y","Sort=A","Dates=H","DateFormat=P","Fill=—","Direction=H","UseDPDF=Y")</f>
        <v>-8.9599999999999999E-2</v>
      </c>
      <c r="G9" s="18">
        <f>_xll.BDH("COXK IN Equity","CFO_TO_AVG_CURRENT_LIABILITIES","FY 2009","FY 2009","Currency=INR","Period=FY","BEST_FPERIOD_OVERRIDE=FY","FILING_STATUS=MR","EQY_CONSOLIDATED=Y","Sort=A","Dates=H","DateFormat=P","Fill=—","Direction=H","UseDPDF=Y")</f>
        <v>-0.44990000000000002</v>
      </c>
      <c r="H9" s="18">
        <f>_xll.BDH("COXK IN Equity","CFO_TO_AVG_CURRENT_LIABILITIES","FY 2010","FY 2010","Currency=INR","Period=FY","BEST_FPERIOD_OVERRIDE=FY","FILING_STATUS=MR","EQY_CONSOLIDATED=Y","Sort=A","Dates=H","DateFormat=P","Fill=—","Direction=H","UseDPDF=Y")</f>
        <v>0.1154</v>
      </c>
      <c r="I9" s="18">
        <f>_xll.BDH("COXK IN Equity","CFO_TO_AVG_CURRENT_LIABILITIES","FY 2011","FY 2011","Currency=INR","Period=FY","BEST_FPERIOD_OVERRIDE=FY","FILING_STATUS=MR","EQY_CONSOLIDATED=Y","Sort=A","Dates=H","DateFormat=P","Fill=—","Direction=H","UseDPDF=Y")</f>
        <v>0.22070000000000001</v>
      </c>
      <c r="J9" s="18">
        <f>_xll.BDH("COXK IN Equity","CFO_TO_AVG_CURRENT_LIABILITIES","FY 2012","FY 2012","Currency=INR","Period=FY","BEST_FPERIOD_OVERRIDE=FY","FILING_STATUS=MR","EQY_CONSOLIDATED=Y","Sort=A","Dates=H","DateFormat=P","Fill=—","Direction=H","UseDPDF=Y")</f>
        <v>-0.1638</v>
      </c>
      <c r="K9" s="18">
        <f>_xll.BDH("COXK IN Equity","CFO_TO_AVG_CURRENT_LIABILITIES","FY 2013","FY 2013","Currency=INR","Period=FY","BEST_FPERIOD_OVERRIDE=FY","FILING_STATUS=MR","EQY_CONSOLIDATED=Y","Sort=A","Dates=H","DateFormat=P","Fill=—","Direction=H","UseDPDF=Y")</f>
        <v>-4.3400000000000001E-2</v>
      </c>
      <c r="L9" s="18">
        <f>_xll.BDH("COXK IN Equity","CFO_TO_AVG_CURRENT_LIABILITIES","FY 2014","FY 2014","Currency=INR","Period=FY","BEST_FPERIOD_OVERRIDE=FY","FILING_STATUS=MR","EQY_CONSOLIDATED=Y","Sort=A","Dates=H","DateFormat=P","Fill=—","Direction=H","UseDPDF=Y")</f>
        <v>0.1802</v>
      </c>
      <c r="M9" s="18">
        <f>_xll.BDH("COXK IN Equity","CFO_TO_AVG_CURRENT_LIABILITIES","FY 2015","FY 2015","Currency=INR","Period=FY","BEST_FPERIOD_OVERRIDE=FY","FILING_STATUS=MR","EQY_CONSOLIDATED=Y","Sort=A","Dates=H","DateFormat=P","Fill=—","Direction=H","UseDPDF=Y")</f>
        <v>8.14E-2</v>
      </c>
      <c r="N9" s="18">
        <f>_xll.BDH("COXK IN Equity","CFO_TO_AVG_CURRENT_LIABILITIES","FY 2016","FY 2016","Currency=INR","Period=FY","BEST_FPERIOD_OVERRIDE=FY","FILING_STATUS=MR","EQY_CONSOLIDATED=Y","Sort=A","Dates=H","DateFormat=P","Fill=—","Direction=H","UseDPDF=Y")</f>
        <v>0.1875</v>
      </c>
      <c r="O9" s="18">
        <f>_xll.BDH("COXK IN Equity","CFO_TO_AVG_CURRENT_LIABILITIES","FY 2017","FY 2017","Currency=INR","Period=FY","BEST_FPERIOD_OVERRIDE=FY","FILING_STATUS=MR","EQY_CONSOLIDATED=Y","Sort=A","Dates=H","DateFormat=P","Fill=—","Direction=H","UseDPDF=Y")</f>
        <v>2.6800000000000001E-2</v>
      </c>
      <c r="P9" s="18">
        <f>_xll.BDH("COXK IN Equity","CFO_TO_AVG_CURRENT_LIABILITIES","FY 2018","FY 2018","Currency=INR","Period=FY","BEST_FPERIOD_OVERRIDE=FY","FILING_STATUS=MR","EQY_CONSOLIDATED=Y","Sort=A","Dates=H","DateFormat=P","Fill=—","Direction=H","UseDPDF=Y")</f>
        <v>-0.27550000000000002</v>
      </c>
      <c r="Q9" s="18" t="str">
        <f>_xll.BDH("COXK IN Equity","CFO_TO_AVG_CURRENT_LIABILITIES","FY 2019","FY 2019","Currency=INR","Period=FY","BEST_FPERIOD_OVERRIDE=FY","FILING_STATUS=MR","EQY_CONSOLIDATED=Y","Sort=A","Dates=H","DateFormat=P","Fill=—","Direction=H","UseDPDF=Y")</f>
        <v>—</v>
      </c>
      <c r="R9" s="18">
        <f>_xll.BDH("COXK IN Equity","CFO_TO_AVG_CURRENT_LIABILITIES","FY 2020","FY 2020","Currency=INR","Period=FY","BEST_FPERIOD_OVERRIDE=FY","FILING_STATUS=MR","EQY_CONSOLIDATED=Y","Sort=A","Dates=H","DateFormat=P","Fill=—","Direction=H","UseDPDF=Y")</f>
        <v>-0.1938</v>
      </c>
    </row>
    <row r="10" spans="1:18" x14ac:dyDescent="0.25">
      <c r="A10" s="3" t="s">
        <v>71</v>
      </c>
      <c r="B10" s="3" t="s">
        <v>72</v>
      </c>
      <c r="C10" s="18">
        <f>_xll.BDH("COXK IN Equity","COM_EQY_TO_TOT_ASSET","FY 2005","FY 2005","Currency=INR","Period=FY","BEST_FPERIOD_OVERRIDE=FY","FILING_STATUS=MR","EQY_CONSOLIDATED=Y","Sort=A","Dates=H","DateFormat=P","Fill=—","Direction=H","UseDPDF=Y")</f>
        <v>8.4690999999999992</v>
      </c>
      <c r="D10" s="18">
        <f>_xll.BDH("COXK IN Equity","COM_EQY_TO_TOT_ASSET","FY 2006","FY 2006","Currency=INR","Period=FY","BEST_FPERIOD_OVERRIDE=FY","FILING_STATUS=MR","EQY_CONSOLIDATED=Y","Sort=A","Dates=H","DateFormat=P","Fill=—","Direction=H","UseDPDF=Y")</f>
        <v>24.9406</v>
      </c>
      <c r="E10" s="18">
        <f>_xll.BDH("COXK IN Equity","COM_EQY_TO_TOT_ASSET","FY 2007","FY 2007","Currency=INR","Period=FY","BEST_FPERIOD_OVERRIDE=FY","FILING_STATUS=MR","EQY_CONSOLIDATED=Y","Sort=A","Dates=H","DateFormat=P","Fill=—","Direction=H","UseDPDF=Y")</f>
        <v>30.07</v>
      </c>
      <c r="F10" s="18">
        <f>_xll.BDH("COXK IN Equity","COM_EQY_TO_TOT_ASSET","FY 2008","FY 2008","Currency=INR","Period=FY","BEST_FPERIOD_OVERRIDE=FY","FILING_STATUS=MR","EQY_CONSOLIDATED=Y","Sort=A","Dates=H","DateFormat=P","Fill=—","Direction=H","UseDPDF=Y")</f>
        <v>31.4971</v>
      </c>
      <c r="G10" s="18">
        <f>_xll.BDH("COXK IN Equity","COM_EQY_TO_TOT_ASSET","FY 2009","FY 2009","Currency=INR","Period=FY","BEST_FPERIOD_OVERRIDE=FY","FILING_STATUS=MR","EQY_CONSOLIDATED=Y","Sort=A","Dates=H","DateFormat=P","Fill=—","Direction=H","UseDPDF=Y")</f>
        <v>28.292899999999999</v>
      </c>
      <c r="H10" s="18">
        <f>_xll.BDH("COXK IN Equity","COM_EQY_TO_TOT_ASSET","FY 2010","FY 2010","Currency=INR","Period=FY","BEST_FPERIOD_OVERRIDE=FY","FILING_STATUS=MR","EQY_CONSOLIDATED=Y","Sort=A","Dates=H","DateFormat=P","Fill=—","Direction=H","UseDPDF=Y")</f>
        <v>52.930900000000001</v>
      </c>
      <c r="I10" s="18">
        <f>_xll.BDH("COXK IN Equity","COM_EQY_TO_TOT_ASSET","FY 2011","FY 2011","Currency=INR","Period=FY","BEST_FPERIOD_OVERRIDE=FY","FILING_STATUS=MR","EQY_CONSOLIDATED=Y","Sort=A","Dates=H","DateFormat=P","Fill=—","Direction=H","UseDPDF=Y")</f>
        <v>51.084000000000003</v>
      </c>
      <c r="J10" s="18">
        <f>_xll.BDH("COXK IN Equity","COM_EQY_TO_TOT_ASSET","FY 2012","FY 2012","Currency=INR","Period=FY","BEST_FPERIOD_OVERRIDE=FY","FILING_STATUS=MR","EQY_CONSOLIDATED=Y","Sort=A","Dates=H","DateFormat=P","Fill=—","Direction=H","UseDPDF=Y")</f>
        <v>15.587</v>
      </c>
      <c r="K10" s="18">
        <f>_xll.BDH("COXK IN Equity","COM_EQY_TO_TOT_ASSET","FY 2013","FY 2013","Currency=INR","Period=FY","BEST_FPERIOD_OVERRIDE=FY","FILING_STATUS=MR","EQY_CONSOLIDATED=Y","Sort=A","Dates=H","DateFormat=P","Fill=—","Direction=H","UseDPDF=Y")</f>
        <v>15.876300000000001</v>
      </c>
      <c r="L10" s="18">
        <f>_xll.BDH("COXK IN Equity","COM_EQY_TO_TOT_ASSET","FY 2014","FY 2014","Currency=INR","Period=FY","BEST_FPERIOD_OVERRIDE=FY","FILING_STATUS=MR","EQY_CONSOLIDATED=Y","Sort=A","Dates=H","DateFormat=P","Fill=—","Direction=H","UseDPDF=Y")</f>
        <v>16.7441</v>
      </c>
      <c r="M10" s="18">
        <f>_xll.BDH("COXK IN Equity","COM_EQY_TO_TOT_ASSET","FY 2015","FY 2015","Currency=INR","Period=FY","BEST_FPERIOD_OVERRIDE=FY","FILING_STATUS=MR","EQY_CONSOLIDATED=Y","Sort=A","Dates=H","DateFormat=P","Fill=—","Direction=H","UseDPDF=Y")</f>
        <v>28.945</v>
      </c>
      <c r="N10" s="18">
        <f>_xll.BDH("COXK IN Equity","COM_EQY_TO_TOT_ASSET","FY 2016","FY 2016","Currency=INR","Period=FY","BEST_FPERIOD_OVERRIDE=FY","FILING_STATUS=MR","EQY_CONSOLIDATED=Y","Sort=A","Dates=H","DateFormat=P","Fill=—","Direction=H","UseDPDF=Y")</f>
        <v>26.311399999999999</v>
      </c>
      <c r="O10" s="18">
        <f>_xll.BDH("COXK IN Equity","COM_EQY_TO_TOT_ASSET","FY 2017","FY 2017","Currency=INR","Period=FY","BEST_FPERIOD_OVERRIDE=FY","FILING_STATUS=MR","EQY_CONSOLIDATED=Y","Sort=A","Dates=H","DateFormat=P","Fill=—","Direction=H","UseDPDF=Y")</f>
        <v>28.892900000000001</v>
      </c>
      <c r="P10" s="18">
        <f>_xll.BDH("COXK IN Equity","COM_EQY_TO_TOT_ASSET","FY 2018","FY 2018","Currency=INR","Period=FY","BEST_FPERIOD_OVERRIDE=FY","FILING_STATUS=MR","EQY_CONSOLIDATED=Y","Sort=A","Dates=H","DateFormat=P","Fill=—","Direction=H","UseDPDF=Y")</f>
        <v>30.480399999999999</v>
      </c>
      <c r="Q10" s="18">
        <f>_xll.BDH("COXK IN Equity","COM_EQY_TO_TOT_ASSET","FY 2019","FY 2019","Currency=INR","Period=FY","BEST_FPERIOD_OVERRIDE=FY","FILING_STATUS=MR","EQY_CONSOLIDATED=Y","Sort=A","Dates=H","DateFormat=P","Fill=—","Direction=H","UseDPDF=Y")</f>
        <v>41.637300000000003</v>
      </c>
      <c r="R10" s="18">
        <f>_xll.BDH("COXK IN Equity","COM_EQY_TO_TOT_ASSET","FY 2020","FY 2020","Currency=INR","Period=FY","BEST_FPERIOD_OVERRIDE=FY","FILING_STATUS=MR","EQY_CONSOLIDATED=Y","Sort=A","Dates=H","DateFormat=P","Fill=—","Direction=H","UseDPDF=Y")</f>
        <v>-2117.5691999999999</v>
      </c>
    </row>
    <row r="11" spans="1:18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73</v>
      </c>
      <c r="B12" s="3" t="s">
        <v>74</v>
      </c>
      <c r="C12" s="18">
        <f>_xll.BDH("COXK IN Equity","LT_DEBT_TO_TOT_EQY","FY 2005","FY 2005","Currency=INR","Period=FY","BEST_FPERIOD_OVERRIDE=FY","FILING_STATUS=MR","EQY_CONSOLIDATED=Y","Sort=A","Dates=H","DateFormat=P","Fill=—","Direction=H","UseDPDF=Y")</f>
        <v>438.52780000000001</v>
      </c>
      <c r="D12" s="18">
        <f>_xll.BDH("COXK IN Equity","LT_DEBT_TO_TOT_EQY","FY 2006","FY 2006","Currency=INR","Period=FY","BEST_FPERIOD_OVERRIDE=FY","FILING_STATUS=MR","EQY_CONSOLIDATED=Y","Sort=A","Dates=H","DateFormat=P","Fill=—","Direction=H","UseDPDF=Y")</f>
        <v>120.10380000000001</v>
      </c>
      <c r="E12" s="18">
        <f>_xll.BDH("COXK IN Equity","LT_DEBT_TO_TOT_EQY","FY 2007","FY 2007","Currency=INR","Period=FY","BEST_FPERIOD_OVERRIDE=FY","FILING_STATUS=MR","EQY_CONSOLIDATED=Y","Sort=A","Dates=H","DateFormat=P","Fill=—","Direction=H","UseDPDF=Y")</f>
        <v>69.047200000000004</v>
      </c>
      <c r="F12" s="18">
        <f>_xll.BDH("COXK IN Equity","LT_DEBT_TO_TOT_EQY","FY 2008","FY 2008","Currency=INR","Period=FY","BEST_FPERIOD_OVERRIDE=FY","FILING_STATUS=MR","EQY_CONSOLIDATED=Y","Sort=A","Dates=H","DateFormat=P","Fill=—","Direction=H","UseDPDF=Y")</f>
        <v>78.124499999999998</v>
      </c>
      <c r="G12" s="18">
        <f>_xll.BDH("COXK IN Equity","LT_DEBT_TO_TOT_EQY","FY 2009","FY 2009","Currency=INR","Period=FY","BEST_FPERIOD_OVERRIDE=FY","FILING_STATUS=MR","EQY_CONSOLIDATED=Y","Sort=A","Dates=H","DateFormat=P","Fill=—","Direction=H","UseDPDF=Y")</f>
        <v>137.00069999999999</v>
      </c>
      <c r="H12" s="18">
        <f>_xll.BDH("COXK IN Equity","LT_DEBT_TO_TOT_EQY","FY 2010","FY 2010","Currency=INR","Period=FY","BEST_FPERIOD_OVERRIDE=FY","FILING_STATUS=MR","EQY_CONSOLIDATED=Y","Sort=A","Dates=H","DateFormat=P","Fill=—","Direction=H","UseDPDF=Y")</f>
        <v>62.253799999999998</v>
      </c>
      <c r="I12" s="18">
        <f>_xll.BDH("COXK IN Equity","LT_DEBT_TO_TOT_EQY","FY 2011","FY 2011","Currency=INR","Period=FY","BEST_FPERIOD_OVERRIDE=FY","FILING_STATUS=MR","EQY_CONSOLIDATED=Y","Sort=A","Dates=H","DateFormat=P","Fill=—","Direction=H","UseDPDF=Y")</f>
        <v>62.0764</v>
      </c>
      <c r="J12" s="18">
        <f>_xll.BDH("COXK IN Equity","LT_DEBT_TO_TOT_EQY","FY 2012","FY 2012","Currency=INR","Period=FY","BEST_FPERIOD_OVERRIDE=FY","FILING_STATUS=MR","EQY_CONSOLIDATED=Y","Sort=A","Dates=H","DateFormat=P","Fill=—","Direction=H","UseDPDF=Y")</f>
        <v>288.95740000000001</v>
      </c>
      <c r="K12" s="18">
        <f>_xll.BDH("COXK IN Equity","LT_DEBT_TO_TOT_EQY","FY 2013","FY 2013","Currency=INR","Period=FY","BEST_FPERIOD_OVERRIDE=FY","FILING_STATUS=MR","EQY_CONSOLIDATED=Y","Sort=A","Dates=H","DateFormat=P","Fill=—","Direction=H","UseDPDF=Y")</f>
        <v>209.73589999999999</v>
      </c>
      <c r="L12" s="18">
        <f>_xll.BDH("COXK IN Equity","LT_DEBT_TO_TOT_EQY","FY 2014","FY 2014","Currency=INR","Period=FY","BEST_FPERIOD_OVERRIDE=FY","FILING_STATUS=MR","EQY_CONSOLIDATED=Y","Sort=A","Dates=H","DateFormat=P","Fill=—","Direction=H","UseDPDF=Y")</f>
        <v>184.02420000000001</v>
      </c>
      <c r="M12" s="18">
        <f>_xll.BDH("COXK IN Equity","LT_DEBT_TO_TOT_EQY","FY 2015","FY 2015","Currency=INR","Period=FY","BEST_FPERIOD_OVERRIDE=FY","FILING_STATUS=MR","EQY_CONSOLIDATED=Y","Sort=A","Dates=H","DateFormat=P","Fill=—","Direction=H","UseDPDF=Y")</f>
        <v>98.483199999999997</v>
      </c>
      <c r="N12" s="18">
        <f>_xll.BDH("COXK IN Equity","LT_DEBT_TO_TOT_EQY","FY 2016","FY 2016","Currency=INR","Period=FY","BEST_FPERIOD_OVERRIDE=FY","FILING_STATUS=MR","EQY_CONSOLIDATED=Y","Sort=A","Dates=H","DateFormat=P","Fill=—","Direction=H","UseDPDF=Y")</f>
        <v>91.170900000000003</v>
      </c>
      <c r="O12" s="18">
        <f>_xll.BDH("COXK IN Equity","LT_DEBT_TO_TOT_EQY","FY 2017","FY 2017","Currency=INR","Period=FY","BEST_FPERIOD_OVERRIDE=FY","FILING_STATUS=MR","EQY_CONSOLIDATED=Y","Sort=A","Dates=H","DateFormat=P","Fill=—","Direction=H","UseDPDF=Y")</f>
        <v>79.873099999999994</v>
      </c>
      <c r="P12" s="18">
        <f>_xll.BDH("COXK IN Equity","LT_DEBT_TO_TOT_EQY","FY 2018","FY 2018","Currency=INR","Period=FY","BEST_FPERIOD_OVERRIDE=FY","FILING_STATUS=MR","EQY_CONSOLIDATED=Y","Sort=A","Dates=H","DateFormat=P","Fill=—","Direction=H","UseDPDF=Y")</f>
        <v>53.329700000000003</v>
      </c>
      <c r="Q12" s="18">
        <f>_xll.BDH("COXK IN Equity","LT_DEBT_TO_TOT_EQY","FY 2019","FY 2019","Currency=INR","Period=FY","BEST_FPERIOD_OVERRIDE=FY","FILING_STATUS=MR","EQY_CONSOLIDATED=Y","Sort=A","Dates=H","DateFormat=P","Fill=—","Direction=H","UseDPDF=Y")</f>
        <v>26.199200000000001</v>
      </c>
      <c r="R12" s="18" t="str">
        <f>_xll.BDH("COXK IN Equity","LT_DEBT_TO_TOT_EQY","FY 2020","FY 2020","Currency=INR","Period=FY","BEST_FPERIOD_OVERRIDE=FY","FILING_STATUS=MR","EQY_CONSOLIDATED=Y","Sort=A","Dates=H","DateFormat=P","Fill=—","Direction=H","UseDPDF=Y")</f>
        <v>—</v>
      </c>
    </row>
    <row r="13" spans="1:18" x14ac:dyDescent="0.25">
      <c r="A13" s="3" t="s">
        <v>75</v>
      </c>
      <c r="B13" s="3" t="s">
        <v>76</v>
      </c>
      <c r="C13" s="18">
        <f>_xll.BDH("COXK IN Equity","LT_DEBT_TO_TOT_CAP","FY 2005","FY 2005","Currency=INR","Period=FY","BEST_FPERIOD_OVERRIDE=FY","FILING_STATUS=MR","EQY_CONSOLIDATED=Y","Sort=A","Dates=H","DateFormat=P","Fill=—","Direction=H","UseDPDF=Y")</f>
        <v>81.430899999999994</v>
      </c>
      <c r="D13" s="18">
        <f>_xll.BDH("COXK IN Equity","LT_DEBT_TO_TOT_CAP","FY 2006","FY 2006","Currency=INR","Period=FY","BEST_FPERIOD_OVERRIDE=FY","FILING_STATUS=MR","EQY_CONSOLIDATED=Y","Sort=A","Dates=H","DateFormat=P","Fill=—","Direction=H","UseDPDF=Y")</f>
        <v>54.566899999999997</v>
      </c>
      <c r="E13" s="18">
        <f>_xll.BDH("COXK IN Equity","LT_DEBT_TO_TOT_CAP","FY 2007","FY 2007","Currency=INR","Period=FY","BEST_FPERIOD_OVERRIDE=FY","FILING_STATUS=MR","EQY_CONSOLIDATED=Y","Sort=A","Dates=H","DateFormat=P","Fill=—","Direction=H","UseDPDF=Y")</f>
        <v>40.844900000000003</v>
      </c>
      <c r="F13" s="18">
        <f>_xll.BDH("COXK IN Equity","LT_DEBT_TO_TOT_CAP","FY 2008","FY 2008","Currency=INR","Period=FY","BEST_FPERIOD_OVERRIDE=FY","FILING_STATUS=MR","EQY_CONSOLIDATED=Y","Sort=A","Dates=H","DateFormat=P","Fill=—","Direction=H","UseDPDF=Y")</f>
        <v>43.859499999999997</v>
      </c>
      <c r="G13" s="18">
        <f>_xll.BDH("COXK IN Equity","LT_DEBT_TO_TOT_CAP","FY 2009","FY 2009","Currency=INR","Period=FY","BEST_FPERIOD_OVERRIDE=FY","FILING_STATUS=MR","EQY_CONSOLIDATED=Y","Sort=A","Dates=H","DateFormat=P","Fill=—","Direction=H","UseDPDF=Y")</f>
        <v>53.565600000000003</v>
      </c>
      <c r="H13" s="18">
        <f>_xll.BDH("COXK IN Equity","LT_DEBT_TO_TOT_CAP","FY 2010","FY 2010","Currency=INR","Period=FY","BEST_FPERIOD_OVERRIDE=FY","FILING_STATUS=MR","EQY_CONSOLIDATED=Y","Sort=A","Dates=H","DateFormat=P","Fill=—","Direction=H","UseDPDF=Y")</f>
        <v>38.368200000000002</v>
      </c>
      <c r="I13" s="18">
        <f>_xll.BDH("COXK IN Equity","LT_DEBT_TO_TOT_CAP","FY 2011","FY 2011","Currency=INR","Period=FY","BEST_FPERIOD_OVERRIDE=FY","FILING_STATUS=MR","EQY_CONSOLIDATED=Y","Sort=A","Dates=H","DateFormat=P","Fill=—","Direction=H","UseDPDF=Y")</f>
        <v>36.5364</v>
      </c>
      <c r="J13" s="18">
        <f>_xll.BDH("COXK IN Equity","LT_DEBT_TO_TOT_CAP","FY 2012","FY 2012","Currency=INR","Period=FY","BEST_FPERIOD_OVERRIDE=FY","FILING_STATUS=MR","EQY_CONSOLIDATED=Y","Sort=A","Dates=H","DateFormat=P","Fill=—","Direction=H","UseDPDF=Y")</f>
        <v>58.936700000000002</v>
      </c>
      <c r="K13" s="18">
        <f>_xll.BDH("COXK IN Equity","LT_DEBT_TO_TOT_CAP","FY 2013","FY 2013","Currency=INR","Period=FY","BEST_FPERIOD_OVERRIDE=FY","FILING_STATUS=MR","EQY_CONSOLIDATED=Y","Sort=A","Dates=H","DateFormat=P","Fill=—","Direction=H","UseDPDF=Y")</f>
        <v>59.870600000000003</v>
      </c>
      <c r="L13" s="18">
        <f>_xll.BDH("COXK IN Equity","LT_DEBT_TO_TOT_CAP","FY 2014","FY 2014","Currency=INR","Period=FY","BEST_FPERIOD_OVERRIDE=FY","FILING_STATUS=MR","EQY_CONSOLIDATED=Y","Sort=A","Dates=H","DateFormat=P","Fill=—","Direction=H","UseDPDF=Y")</f>
        <v>58.088299999999997</v>
      </c>
      <c r="M13" s="18">
        <f>_xll.BDH("COXK IN Equity","LT_DEBT_TO_TOT_CAP","FY 2015","FY 2015","Currency=INR","Period=FY","BEST_FPERIOD_OVERRIDE=FY","FILING_STATUS=MR","EQY_CONSOLIDATED=Y","Sort=A","Dates=H","DateFormat=P","Fill=—","Direction=H","UseDPDF=Y")</f>
        <v>46.323799999999999</v>
      </c>
      <c r="N13" s="18">
        <f>_xll.BDH("COXK IN Equity","LT_DEBT_TO_TOT_CAP","FY 2016","FY 2016","Currency=INR","Period=FY","BEST_FPERIOD_OVERRIDE=FY","FILING_STATUS=MR","EQY_CONSOLIDATED=Y","Sort=A","Dates=H","DateFormat=P","Fill=—","Direction=H","UseDPDF=Y")</f>
        <v>39.245899999999999</v>
      </c>
      <c r="O13" s="18">
        <f>_xll.BDH("COXK IN Equity","LT_DEBT_TO_TOT_CAP","FY 2017","FY 2017","Currency=INR","Period=FY","BEST_FPERIOD_OVERRIDE=FY","FILING_STATUS=MR","EQY_CONSOLIDATED=Y","Sort=A","Dates=H","DateFormat=P","Fill=—","Direction=H","UseDPDF=Y")</f>
        <v>37.216500000000003</v>
      </c>
      <c r="P13" s="18">
        <f>_xll.BDH("COXK IN Equity","LT_DEBT_TO_TOT_CAP","FY 2018","FY 2018","Currency=INR","Period=FY","BEST_FPERIOD_OVERRIDE=FY","FILING_STATUS=MR","EQY_CONSOLIDATED=Y","Sort=A","Dates=H","DateFormat=P","Fill=—","Direction=H","UseDPDF=Y")</f>
        <v>27.6418</v>
      </c>
      <c r="Q13" s="18">
        <f>_xll.BDH("COXK IN Equity","LT_DEBT_TO_TOT_CAP","FY 2019","FY 2019","Currency=INR","Period=FY","BEST_FPERIOD_OVERRIDE=FY","FILING_STATUS=MR","EQY_CONSOLIDATED=Y","Sort=A","Dates=H","DateFormat=P","Fill=—","Direction=H","UseDPDF=Y")</f>
        <v>16.151199999999999</v>
      </c>
      <c r="R13" s="18">
        <f>_xll.BDH("COXK IN Equity","LT_DEBT_TO_TOT_CAP","FY 2020","FY 2020","Currency=INR","Period=FY","BEST_FPERIOD_OVERRIDE=FY","FILING_STATUS=MR","EQY_CONSOLIDATED=Y","Sort=A","Dates=H","DateFormat=P","Fill=—","Direction=H","UseDPDF=Y")</f>
        <v>0</v>
      </c>
    </row>
    <row r="14" spans="1:18" x14ac:dyDescent="0.25">
      <c r="A14" s="3" t="s">
        <v>77</v>
      </c>
      <c r="B14" s="3" t="s">
        <v>78</v>
      </c>
      <c r="C14" s="18">
        <f>_xll.BDH("COXK IN Equity","LT_DEBT_TO_TOT_ASSET","FY 2005","FY 2005","Currency=INR","Period=FY","BEST_FPERIOD_OVERRIDE=FY","FILING_STATUS=MR","EQY_CONSOLIDATED=Y","Sort=A","Dates=H","DateFormat=P","Fill=—","Direction=H","UseDPDF=Y")</f>
        <v>37.139200000000002</v>
      </c>
      <c r="D14" s="18">
        <f>_xll.BDH("COXK IN Equity","LT_DEBT_TO_TOT_ASSET","FY 2006","FY 2006","Currency=INR","Period=FY","BEST_FPERIOD_OVERRIDE=FY","FILING_STATUS=MR","EQY_CONSOLIDATED=Y","Sort=A","Dates=H","DateFormat=P","Fill=—","Direction=H","UseDPDF=Y")</f>
        <v>29.954599999999999</v>
      </c>
      <c r="E14" s="18">
        <f>_xll.BDH("COXK IN Equity","LT_DEBT_TO_TOT_ASSET","FY 2007","FY 2007","Currency=INR","Period=FY","BEST_FPERIOD_OVERRIDE=FY","FILING_STATUS=MR","EQY_CONSOLIDATED=Y","Sort=A","Dates=H","DateFormat=P","Fill=—","Direction=H","UseDPDF=Y")</f>
        <v>20.762499999999999</v>
      </c>
      <c r="F14" s="18">
        <f>_xll.BDH("COXK IN Equity","LT_DEBT_TO_TOT_ASSET","FY 2008","FY 2008","Currency=INR","Period=FY","BEST_FPERIOD_OVERRIDE=FY","FILING_STATUS=MR","EQY_CONSOLIDATED=Y","Sort=A","Dates=H","DateFormat=P","Fill=—","Direction=H","UseDPDF=Y")</f>
        <v>24.6069</v>
      </c>
      <c r="G14" s="18">
        <f>_xll.BDH("COXK IN Equity","LT_DEBT_TO_TOT_ASSET","FY 2009","FY 2009","Currency=INR","Period=FY","BEST_FPERIOD_OVERRIDE=FY","FILING_STATUS=MR","EQY_CONSOLIDATED=Y","Sort=A","Dates=H","DateFormat=P","Fill=—","Direction=H","UseDPDF=Y")</f>
        <v>38.761499999999998</v>
      </c>
      <c r="H14" s="18">
        <f>_xll.BDH("COXK IN Equity","LT_DEBT_TO_TOT_ASSET","FY 2010","FY 2010","Currency=INR","Period=FY","BEST_FPERIOD_OVERRIDE=FY","FILING_STATUS=MR","EQY_CONSOLIDATED=Y","Sort=A","Dates=H","DateFormat=P","Fill=—","Direction=H","UseDPDF=Y")</f>
        <v>32.951500000000003</v>
      </c>
      <c r="I14" s="18">
        <f>_xll.BDH("COXK IN Equity","LT_DEBT_TO_TOT_ASSET","FY 2011","FY 2011","Currency=INR","Period=FY","BEST_FPERIOD_OVERRIDE=FY","FILING_STATUS=MR","EQY_CONSOLIDATED=Y","Sort=A","Dates=H","DateFormat=P","Fill=—","Direction=H","UseDPDF=Y")</f>
        <v>31.711099999999998</v>
      </c>
      <c r="J14" s="18">
        <f>_xll.BDH("COXK IN Equity","LT_DEBT_TO_TOT_ASSET","FY 2012","FY 2012","Currency=INR","Period=FY","BEST_FPERIOD_OVERRIDE=FY","FILING_STATUS=MR","EQY_CONSOLIDATED=Y","Sort=A","Dates=H","DateFormat=P","Fill=—","Direction=H","UseDPDF=Y")</f>
        <v>45.039700000000003</v>
      </c>
      <c r="K14" s="18">
        <f>_xll.BDH("COXK IN Equity","LT_DEBT_TO_TOT_ASSET","FY 2013","FY 2013","Currency=INR","Period=FY","BEST_FPERIOD_OVERRIDE=FY","FILING_STATUS=MR","EQY_CONSOLIDATED=Y","Sort=A","Dates=H","DateFormat=P","Fill=—","Direction=H","UseDPDF=Y")</f>
        <v>46.914099999999998</v>
      </c>
      <c r="L14" s="18">
        <f>_xll.BDH("COXK IN Equity","LT_DEBT_TO_TOT_ASSET","FY 2014","FY 2014","Currency=INR","Period=FY","BEST_FPERIOD_OVERRIDE=FY","FILING_STATUS=MR","EQY_CONSOLIDATED=Y","Sort=A","Dates=H","DateFormat=P","Fill=—","Direction=H","UseDPDF=Y")</f>
        <v>45.220500000000001</v>
      </c>
      <c r="M14" s="18">
        <f>_xll.BDH("COXK IN Equity","LT_DEBT_TO_TOT_ASSET","FY 2015","FY 2015","Currency=INR","Period=FY","BEST_FPERIOD_OVERRIDE=FY","FILING_STATUS=MR","EQY_CONSOLIDATED=Y","Sort=A","Dates=H","DateFormat=P","Fill=—","Direction=H","UseDPDF=Y")</f>
        <v>36.764299999999999</v>
      </c>
      <c r="N14" s="18">
        <f>_xll.BDH("COXK IN Equity","LT_DEBT_TO_TOT_ASSET","FY 2016","FY 2016","Currency=INR","Period=FY","BEST_FPERIOD_OVERRIDE=FY","FILING_STATUS=MR","EQY_CONSOLIDATED=Y","Sort=A","Dates=H","DateFormat=P","Fill=—","Direction=H","UseDPDF=Y")</f>
        <v>30.222000000000001</v>
      </c>
      <c r="O14" s="18">
        <f>_xll.BDH("COXK IN Equity","LT_DEBT_TO_TOT_ASSET","FY 2017","FY 2017","Currency=INR","Period=FY","BEST_FPERIOD_OVERRIDE=FY","FILING_STATUS=MR","EQY_CONSOLIDATED=Y","Sort=A","Dates=H","DateFormat=P","Fill=—","Direction=H","UseDPDF=Y")</f>
        <v>28.460799999999999</v>
      </c>
      <c r="P14" s="18">
        <f>_xll.BDH("COXK IN Equity","LT_DEBT_TO_TOT_ASSET","FY 2018","FY 2018","Currency=INR","Period=FY","BEST_FPERIOD_OVERRIDE=FY","FILING_STATUS=MR","EQY_CONSOLIDATED=Y","Sort=A","Dates=H","DateFormat=P","Fill=—","Direction=H","UseDPDF=Y")</f>
        <v>21.224299999999999</v>
      </c>
      <c r="Q14" s="18">
        <f>_xll.BDH("COXK IN Equity","LT_DEBT_TO_TOT_ASSET","FY 2019","FY 2019","Currency=INR","Period=FY","BEST_FPERIOD_OVERRIDE=FY","FILING_STATUS=MR","EQY_CONSOLIDATED=Y","Sort=A","Dates=H","DateFormat=P","Fill=—","Direction=H","UseDPDF=Y")</f>
        <v>13.370799999999999</v>
      </c>
      <c r="R14" s="18">
        <f>_xll.BDH("COXK IN Equity","LT_DEBT_TO_TOT_ASSET","FY 2020","FY 2020","Currency=INR","Period=FY","BEST_FPERIOD_OVERRIDE=FY","FILING_STATUS=MR","EQY_CONSOLIDATED=Y","Sort=A","Dates=H","DateFormat=P","Fill=—","Direction=H","UseDPDF=Y")</f>
        <v>0</v>
      </c>
    </row>
    <row r="15" spans="1:18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3" t="s">
        <v>79</v>
      </c>
      <c r="B16" s="3" t="s">
        <v>80</v>
      </c>
      <c r="C16" s="18">
        <f>_xll.BDH("COXK IN Equity","TOT_DEBT_TO_TOT_EQY","FY 2005","FY 2005","Currency=INR","Period=FY","BEST_FPERIOD_OVERRIDE=FY","FILING_STATUS=MR","EQY_CONSOLIDATED=Y","Sort=A","Dates=H","DateFormat=P","Fill=—","Direction=H","UseDPDF=Y")</f>
        <v>438.52780000000001</v>
      </c>
      <c r="D16" s="18">
        <f>_xll.BDH("COXK IN Equity","TOT_DEBT_TO_TOT_EQY","FY 2006","FY 2006","Currency=INR","Period=FY","BEST_FPERIOD_OVERRIDE=FY","FILING_STATUS=MR","EQY_CONSOLIDATED=Y","Sort=A","Dates=H","DateFormat=P","Fill=—","Direction=H","UseDPDF=Y")</f>
        <v>120.10380000000001</v>
      </c>
      <c r="E16" s="18">
        <f>_xll.BDH("COXK IN Equity","TOT_DEBT_TO_TOT_EQY","FY 2007","FY 2007","Currency=INR","Period=FY","BEST_FPERIOD_OVERRIDE=FY","FILING_STATUS=MR","EQY_CONSOLIDATED=Y","Sort=A","Dates=H","DateFormat=P","Fill=—","Direction=H","UseDPDF=Y")</f>
        <v>69.047200000000004</v>
      </c>
      <c r="F16" s="18">
        <f>_xll.BDH("COXK IN Equity","TOT_DEBT_TO_TOT_EQY","FY 2008","FY 2008","Currency=INR","Period=FY","BEST_FPERIOD_OVERRIDE=FY","FILING_STATUS=MR","EQY_CONSOLIDATED=Y","Sort=A","Dates=H","DateFormat=P","Fill=—","Direction=H","UseDPDF=Y")</f>
        <v>78.124499999999998</v>
      </c>
      <c r="G16" s="18">
        <f>_xll.BDH("COXK IN Equity","TOT_DEBT_TO_TOT_EQY","FY 2009","FY 2009","Currency=INR","Period=FY","BEST_FPERIOD_OVERRIDE=FY","FILING_STATUS=MR","EQY_CONSOLIDATED=Y","Sort=A","Dates=H","DateFormat=P","Fill=—","Direction=H","UseDPDF=Y")</f>
        <v>155.76249999999999</v>
      </c>
      <c r="H16" s="18">
        <f>_xll.BDH("COXK IN Equity","TOT_DEBT_TO_TOT_EQY","FY 2010","FY 2010","Currency=INR","Period=FY","BEST_FPERIOD_OVERRIDE=FY","FILING_STATUS=MR","EQY_CONSOLIDATED=Y","Sort=A","Dates=H","DateFormat=P","Fill=—","Direction=H","UseDPDF=Y")</f>
        <v>62.253799999999998</v>
      </c>
      <c r="I16" s="18">
        <f>_xll.BDH("COXK IN Equity","TOT_DEBT_TO_TOT_EQY","FY 2011","FY 2011","Currency=INR","Period=FY","BEST_FPERIOD_OVERRIDE=FY","FILING_STATUS=MR","EQY_CONSOLIDATED=Y","Sort=A","Dates=H","DateFormat=P","Fill=—","Direction=H","UseDPDF=Y")</f>
        <v>69.902699999999996</v>
      </c>
      <c r="J16" s="18">
        <f>_xll.BDH("COXK IN Equity","TOT_DEBT_TO_TOT_EQY","FY 2012","FY 2012","Currency=INR","Period=FY","BEST_FPERIOD_OVERRIDE=FY","FILING_STATUS=MR","EQY_CONSOLIDATED=Y","Sort=A","Dates=H","DateFormat=P","Fill=—","Direction=H","UseDPDF=Y")</f>
        <v>390.28410000000002</v>
      </c>
      <c r="K16" s="18">
        <f>_xll.BDH("COXK IN Equity","TOT_DEBT_TO_TOT_EQY","FY 2013","FY 2013","Currency=INR","Period=FY","BEST_FPERIOD_OVERRIDE=FY","FILING_STATUS=MR","EQY_CONSOLIDATED=Y","Sort=A","Dates=H","DateFormat=P","Fill=—","Direction=H","UseDPDF=Y")</f>
        <v>250.31530000000001</v>
      </c>
      <c r="L16" s="18">
        <f>_xll.BDH("COXK IN Equity","TOT_DEBT_TO_TOT_EQY","FY 2014","FY 2014","Currency=INR","Period=FY","BEST_FPERIOD_OVERRIDE=FY","FILING_STATUS=MR","EQY_CONSOLIDATED=Y","Sort=A","Dates=H","DateFormat=P","Fill=—","Direction=H","UseDPDF=Y")</f>
        <v>216.8006</v>
      </c>
      <c r="M16" s="18">
        <f>_xll.BDH("COXK IN Equity","TOT_DEBT_TO_TOT_EQY","FY 2015","FY 2015","Currency=INR","Period=FY","BEST_FPERIOD_OVERRIDE=FY","FILING_STATUS=MR","EQY_CONSOLIDATED=Y","Sort=A","Dates=H","DateFormat=P","Fill=—","Direction=H","UseDPDF=Y")</f>
        <v>112.5975</v>
      </c>
      <c r="N16" s="18">
        <f>_xll.BDH("COXK IN Equity","TOT_DEBT_TO_TOT_EQY","FY 2016","FY 2016","Currency=INR","Period=FY","BEST_FPERIOD_OVERRIDE=FY","FILING_STATUS=MR","EQY_CONSOLIDATED=Y","Sort=A","Dates=H","DateFormat=P","Fill=—","Direction=H","UseDPDF=Y")</f>
        <v>132.30680000000001</v>
      </c>
      <c r="O16" s="18">
        <f>_xll.BDH("COXK IN Equity","TOT_DEBT_TO_TOT_EQY","FY 2017","FY 2017","Currency=INR","Period=FY","BEST_FPERIOD_OVERRIDE=FY","FILING_STATUS=MR","EQY_CONSOLIDATED=Y","Sort=A","Dates=H","DateFormat=P","Fill=—","Direction=H","UseDPDF=Y")</f>
        <v>114.6176</v>
      </c>
      <c r="P16" s="18">
        <f>_xll.BDH("COXK IN Equity","TOT_DEBT_TO_TOT_EQY","FY 2018","FY 2018","Currency=INR","Period=FY","BEST_FPERIOD_OVERRIDE=FY","FILING_STATUS=MR","EQY_CONSOLIDATED=Y","Sort=A","Dates=H","DateFormat=P","Fill=—","Direction=H","UseDPDF=Y")</f>
        <v>92.931600000000003</v>
      </c>
      <c r="Q16" s="18">
        <f>_xll.BDH("COXK IN Equity","TOT_DEBT_TO_TOT_EQY","FY 2019","FY 2019","Currency=INR","Period=FY","BEST_FPERIOD_OVERRIDE=FY","FILING_STATUS=MR","EQY_CONSOLIDATED=Y","Sort=A","Dates=H","DateFormat=P","Fill=—","Direction=H","UseDPDF=Y")</f>
        <v>62.212499999999999</v>
      </c>
      <c r="R16" s="18" t="str">
        <f>_xll.BDH("COXK IN Equity","TOT_DEBT_TO_TOT_EQY","FY 2020","FY 2020","Currency=INR","Period=FY","BEST_FPERIOD_OVERRIDE=FY","FILING_STATUS=MR","EQY_CONSOLIDATED=Y","Sort=A","Dates=H","DateFormat=P","Fill=—","Direction=H","UseDPDF=Y")</f>
        <v>—</v>
      </c>
    </row>
    <row r="17" spans="1:18" x14ac:dyDescent="0.25">
      <c r="A17" s="3" t="s">
        <v>81</v>
      </c>
      <c r="B17" s="3" t="s">
        <v>82</v>
      </c>
      <c r="C17" s="18">
        <f>_xll.BDH("COXK IN Equity","TOT_DEBT_TO_TOT_CAP","FY 2005","FY 2005","Currency=INR","Period=FY","BEST_FPERIOD_OVERRIDE=FY","FILING_STATUS=MR","EQY_CONSOLIDATED=Y","Sort=A","Dates=H","DateFormat=P","Fill=—","Direction=H","UseDPDF=Y")</f>
        <v>81.430899999999994</v>
      </c>
      <c r="D17" s="18">
        <f>_xll.BDH("COXK IN Equity","TOT_DEBT_TO_TOT_CAP","FY 2006","FY 2006","Currency=INR","Period=FY","BEST_FPERIOD_OVERRIDE=FY","FILING_STATUS=MR","EQY_CONSOLIDATED=Y","Sort=A","Dates=H","DateFormat=P","Fill=—","Direction=H","UseDPDF=Y")</f>
        <v>54.566899999999997</v>
      </c>
      <c r="E17" s="18">
        <f>_xll.BDH("COXK IN Equity","TOT_DEBT_TO_TOT_CAP","FY 2007","FY 2007","Currency=INR","Period=FY","BEST_FPERIOD_OVERRIDE=FY","FILING_STATUS=MR","EQY_CONSOLIDATED=Y","Sort=A","Dates=H","DateFormat=P","Fill=—","Direction=H","UseDPDF=Y")</f>
        <v>40.844900000000003</v>
      </c>
      <c r="F17" s="18">
        <f>_xll.BDH("COXK IN Equity","TOT_DEBT_TO_TOT_CAP","FY 2008","FY 2008","Currency=INR","Period=FY","BEST_FPERIOD_OVERRIDE=FY","FILING_STATUS=MR","EQY_CONSOLIDATED=Y","Sort=A","Dates=H","DateFormat=P","Fill=—","Direction=H","UseDPDF=Y")</f>
        <v>43.859499999999997</v>
      </c>
      <c r="G17" s="18">
        <f>_xll.BDH("COXK IN Equity","TOT_DEBT_TO_TOT_CAP","FY 2009","FY 2009","Currency=INR","Period=FY","BEST_FPERIOD_OVERRIDE=FY","FILING_STATUS=MR","EQY_CONSOLIDATED=Y","Sort=A","Dates=H","DateFormat=P","Fill=—","Direction=H","UseDPDF=Y")</f>
        <v>60.901200000000003</v>
      </c>
      <c r="H17" s="18">
        <f>_xll.BDH("COXK IN Equity","TOT_DEBT_TO_TOT_CAP","FY 2010","FY 2010","Currency=INR","Period=FY","BEST_FPERIOD_OVERRIDE=FY","FILING_STATUS=MR","EQY_CONSOLIDATED=Y","Sort=A","Dates=H","DateFormat=P","Fill=—","Direction=H","UseDPDF=Y")</f>
        <v>38.368200000000002</v>
      </c>
      <c r="I17" s="18">
        <f>_xll.BDH("COXK IN Equity","TOT_DEBT_TO_TOT_CAP","FY 2011","FY 2011","Currency=INR","Period=FY","BEST_FPERIOD_OVERRIDE=FY","FILING_STATUS=MR","EQY_CONSOLIDATED=Y","Sort=A","Dates=H","DateFormat=P","Fill=—","Direction=H","UseDPDF=Y")</f>
        <v>41.142800000000001</v>
      </c>
      <c r="J17" s="18">
        <f>_xll.BDH("COXK IN Equity","TOT_DEBT_TO_TOT_CAP","FY 2012","FY 2012","Currency=INR","Period=FY","BEST_FPERIOD_OVERRIDE=FY","FILING_STATUS=MR","EQY_CONSOLIDATED=Y","Sort=A","Dates=H","DateFormat=P","Fill=—","Direction=H","UseDPDF=Y")</f>
        <v>79.603700000000003</v>
      </c>
      <c r="K17" s="18">
        <f>_xll.BDH("COXK IN Equity","TOT_DEBT_TO_TOT_CAP","FY 2013","FY 2013","Currency=INR","Period=FY","BEST_FPERIOD_OVERRIDE=FY","FILING_STATUS=MR","EQY_CONSOLIDATED=Y","Sort=A","Dates=H","DateFormat=P","Fill=—","Direction=H","UseDPDF=Y")</f>
        <v>71.454300000000003</v>
      </c>
      <c r="L17" s="18">
        <f>_xll.BDH("COXK IN Equity","TOT_DEBT_TO_TOT_CAP","FY 2014","FY 2014","Currency=INR","Period=FY","BEST_FPERIOD_OVERRIDE=FY","FILING_STATUS=MR","EQY_CONSOLIDATED=Y","Sort=A","Dates=H","DateFormat=P","Fill=—","Direction=H","UseDPDF=Y")</f>
        <v>68.434399999999997</v>
      </c>
      <c r="M17" s="18">
        <f>_xll.BDH("COXK IN Equity","TOT_DEBT_TO_TOT_CAP","FY 2015","FY 2015","Currency=INR","Period=FY","BEST_FPERIOD_OVERRIDE=FY","FILING_STATUS=MR","EQY_CONSOLIDATED=Y","Sort=A","Dates=H","DateFormat=P","Fill=—","Direction=H","UseDPDF=Y")</f>
        <v>52.962800000000001</v>
      </c>
      <c r="N17" s="18">
        <f>_xll.BDH("COXK IN Equity","TOT_DEBT_TO_TOT_CAP","FY 2016","FY 2016","Currency=INR","Period=FY","BEST_FPERIOD_OVERRIDE=FY","FILING_STATUS=MR","EQY_CONSOLIDATED=Y","Sort=A","Dates=H","DateFormat=P","Fill=—","Direction=H","UseDPDF=Y")</f>
        <v>56.953499999999998</v>
      </c>
      <c r="O17" s="18">
        <f>_xll.BDH("COXK IN Equity","TOT_DEBT_TO_TOT_CAP","FY 2017","FY 2017","Currency=INR","Period=FY","BEST_FPERIOD_OVERRIDE=FY","FILING_STATUS=MR","EQY_CONSOLIDATED=Y","Sort=A","Dates=H","DateFormat=P","Fill=—","Direction=H","UseDPDF=Y")</f>
        <v>53.405500000000004</v>
      </c>
      <c r="P17" s="18">
        <f>_xll.BDH("COXK IN Equity","TOT_DEBT_TO_TOT_CAP","FY 2018","FY 2018","Currency=INR","Period=FY","BEST_FPERIOD_OVERRIDE=FY","FILING_STATUS=MR","EQY_CONSOLIDATED=Y","Sort=A","Dates=H","DateFormat=P","Fill=—","Direction=H","UseDPDF=Y")</f>
        <v>48.168199999999999</v>
      </c>
      <c r="Q17" s="18">
        <f>_xll.BDH("COXK IN Equity","TOT_DEBT_TO_TOT_CAP","FY 2019","FY 2019","Currency=INR","Period=FY","BEST_FPERIOD_OVERRIDE=FY","FILING_STATUS=MR","EQY_CONSOLIDATED=Y","Sort=A","Dates=H","DateFormat=P","Fill=—","Direction=H","UseDPDF=Y")</f>
        <v>38.352499999999999</v>
      </c>
      <c r="R17" s="18" t="str">
        <f>_xll.BDH("COXK IN Equity","TOT_DEBT_TO_TOT_CAP","FY 2020","FY 2020","Currency=INR","Period=FY","BEST_FPERIOD_OVERRIDE=FY","FILING_STATUS=MR","EQY_CONSOLIDATED=Y","Sort=A","Dates=H","DateFormat=P","Fill=—","Direction=H","UseDPDF=Y")</f>
        <v>—</v>
      </c>
    </row>
    <row r="18" spans="1:18" x14ac:dyDescent="0.25">
      <c r="A18" s="3" t="s">
        <v>83</v>
      </c>
      <c r="B18" s="3" t="s">
        <v>84</v>
      </c>
      <c r="C18" s="18">
        <f>_xll.BDH("COXK IN Equity","TOT_DEBT_TO_TOT_ASSET","FY 2005","FY 2005","Currency=INR","Period=FY","BEST_FPERIOD_OVERRIDE=FY","FILING_STATUS=MR","EQY_CONSOLIDATED=Y","Sort=A","Dates=H","DateFormat=P","Fill=—","Direction=H","UseDPDF=Y")</f>
        <v>37.139200000000002</v>
      </c>
      <c r="D18" s="18">
        <f>_xll.BDH("COXK IN Equity","TOT_DEBT_TO_TOT_ASSET","FY 2006","FY 2006","Currency=INR","Period=FY","BEST_FPERIOD_OVERRIDE=FY","FILING_STATUS=MR","EQY_CONSOLIDATED=Y","Sort=A","Dates=H","DateFormat=P","Fill=—","Direction=H","UseDPDF=Y")</f>
        <v>29.954599999999999</v>
      </c>
      <c r="E18" s="18">
        <f>_xll.BDH("COXK IN Equity","TOT_DEBT_TO_TOT_ASSET","FY 2007","FY 2007","Currency=INR","Period=FY","BEST_FPERIOD_OVERRIDE=FY","FILING_STATUS=MR","EQY_CONSOLIDATED=Y","Sort=A","Dates=H","DateFormat=P","Fill=—","Direction=H","UseDPDF=Y")</f>
        <v>20.762499999999999</v>
      </c>
      <c r="F18" s="18">
        <f>_xll.BDH("COXK IN Equity","TOT_DEBT_TO_TOT_ASSET","FY 2008","FY 2008","Currency=INR","Period=FY","BEST_FPERIOD_OVERRIDE=FY","FILING_STATUS=MR","EQY_CONSOLIDATED=Y","Sort=A","Dates=H","DateFormat=P","Fill=—","Direction=H","UseDPDF=Y")</f>
        <v>24.6069</v>
      </c>
      <c r="G18" s="18">
        <f>_xll.BDH("COXK IN Equity","TOT_DEBT_TO_TOT_ASSET","FY 2009","FY 2009","Currency=INR","Period=FY","BEST_FPERIOD_OVERRIDE=FY","FILING_STATUS=MR","EQY_CONSOLIDATED=Y","Sort=A","Dates=H","DateFormat=P","Fill=—","Direction=H","UseDPDF=Y")</f>
        <v>44.069699999999997</v>
      </c>
      <c r="H18" s="18">
        <f>_xll.BDH("COXK IN Equity","TOT_DEBT_TO_TOT_ASSET","FY 2010","FY 2010","Currency=INR","Period=FY","BEST_FPERIOD_OVERRIDE=FY","FILING_STATUS=MR","EQY_CONSOLIDATED=Y","Sort=A","Dates=H","DateFormat=P","Fill=—","Direction=H","UseDPDF=Y")</f>
        <v>32.951500000000003</v>
      </c>
      <c r="I18" s="18">
        <f>_xll.BDH("COXK IN Equity","TOT_DEBT_TO_TOT_ASSET","FY 2011","FY 2011","Currency=INR","Period=FY","BEST_FPERIOD_OVERRIDE=FY","FILING_STATUS=MR","EQY_CONSOLIDATED=Y","Sort=A","Dates=H","DateFormat=P","Fill=—","Direction=H","UseDPDF=Y")</f>
        <v>35.709099999999999</v>
      </c>
      <c r="J18" s="18">
        <f>_xll.BDH("COXK IN Equity","TOT_DEBT_TO_TOT_ASSET","FY 2012","FY 2012","Currency=INR","Period=FY","BEST_FPERIOD_OVERRIDE=FY","FILING_STATUS=MR","EQY_CONSOLIDATED=Y","Sort=A","Dates=H","DateFormat=P","Fill=—","Direction=H","UseDPDF=Y")</f>
        <v>60.833500000000001</v>
      </c>
      <c r="K18" s="18">
        <f>_xll.BDH("COXK IN Equity","TOT_DEBT_TO_TOT_ASSET","FY 2013","FY 2013","Currency=INR","Period=FY","BEST_FPERIOD_OVERRIDE=FY","FILING_STATUS=MR","EQY_CONSOLIDATED=Y","Sort=A","Dates=H","DateFormat=P","Fill=—","Direction=H","UseDPDF=Y")</f>
        <v>55.990900000000003</v>
      </c>
      <c r="L18" s="18">
        <f>_xll.BDH("COXK IN Equity","TOT_DEBT_TO_TOT_ASSET","FY 2014","FY 2014","Currency=INR","Period=FY","BEST_FPERIOD_OVERRIDE=FY","FILING_STATUS=MR","EQY_CONSOLIDATED=Y","Sort=A","Dates=H","DateFormat=P","Fill=—","Direction=H","UseDPDF=Y")</f>
        <v>53.274700000000003</v>
      </c>
      <c r="M18" s="18">
        <f>_xll.BDH("COXK IN Equity","TOT_DEBT_TO_TOT_ASSET","FY 2015","FY 2015","Currency=INR","Period=FY","BEST_FPERIOD_OVERRIDE=FY","FILING_STATUS=MR","EQY_CONSOLIDATED=Y","Sort=A","Dates=H","DateFormat=P","Fill=—","Direction=H","UseDPDF=Y")</f>
        <v>42.033299999999997</v>
      </c>
      <c r="N18" s="18">
        <f>_xll.BDH("COXK IN Equity","TOT_DEBT_TO_TOT_ASSET","FY 2016","FY 2016","Currency=INR","Period=FY","BEST_FPERIOD_OVERRIDE=FY","FILING_STATUS=MR","EQY_CONSOLIDATED=Y","Sort=A","Dates=H","DateFormat=P","Fill=—","Direction=H","UseDPDF=Y")</f>
        <v>43.857999999999997</v>
      </c>
      <c r="O18" s="18">
        <f>_xll.BDH("COXK IN Equity","TOT_DEBT_TO_TOT_ASSET","FY 2017","FY 2017","Currency=INR","Period=FY","BEST_FPERIOD_OVERRIDE=FY","FILING_STATUS=MR","EQY_CONSOLIDATED=Y","Sort=A","Dates=H","DateFormat=P","Fill=—","Direction=H","UseDPDF=Y")</f>
        <v>40.841200000000001</v>
      </c>
      <c r="P18" s="18">
        <f>_xll.BDH("COXK IN Equity","TOT_DEBT_TO_TOT_ASSET","FY 2018","FY 2018","Currency=INR","Period=FY","BEST_FPERIOD_OVERRIDE=FY","FILING_STATUS=MR","EQY_CONSOLIDATED=Y","Sort=A","Dates=H","DateFormat=P","Fill=—","Direction=H","UseDPDF=Y")</f>
        <v>36.985100000000003</v>
      </c>
      <c r="Q18" s="18">
        <f>_xll.BDH("COXK IN Equity","TOT_DEBT_TO_TOT_ASSET","FY 2019","FY 2019","Currency=INR","Period=FY","BEST_FPERIOD_OVERRIDE=FY","FILING_STATUS=MR","EQY_CONSOLIDATED=Y","Sort=A","Dates=H","DateFormat=P","Fill=—","Direction=H","UseDPDF=Y")</f>
        <v>31.7502</v>
      </c>
      <c r="R18" s="18">
        <f>_xll.BDH("COXK IN Equity","TOT_DEBT_TO_TOT_ASSET","FY 2020","FY 2020","Currency=INR","Period=FY","BEST_FPERIOD_OVERRIDE=FY","FILING_STATUS=MR","EQY_CONSOLIDATED=Y","Sort=A","Dates=H","DateFormat=P","Fill=—","Direction=H","UseDPDF=Y")</f>
        <v>1606.2716</v>
      </c>
    </row>
    <row r="19" spans="1:18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3" t="s">
        <v>85</v>
      </c>
      <c r="B20" s="3" t="s">
        <v>86</v>
      </c>
      <c r="C20" s="18">
        <f>_xll.BDH("COXK IN Equity","CASH_FLOW_TO_TOT_LIAB","FY 2005","FY 2005","Currency=INR","Period=FY","BEST_FPERIOD_OVERRIDE=FY","FILING_STATUS=MR","EQY_CONSOLIDATED=Y","Sort=A","Dates=H","DateFormat=P","Fill=—","Direction=H","UseDPDF=Y")</f>
        <v>12.1258</v>
      </c>
      <c r="D20" s="18">
        <f>_xll.BDH("COXK IN Equity","CASH_FLOW_TO_TOT_LIAB","FY 2006","FY 2006","Currency=INR","Period=FY","BEST_FPERIOD_OVERRIDE=FY","FILING_STATUS=MR","EQY_CONSOLIDATED=Y","Sort=A","Dates=H","DateFormat=P","Fill=—","Direction=H","UseDPDF=Y")</f>
        <v>-0.55269999999999997</v>
      </c>
      <c r="E20" s="18">
        <f>_xll.BDH("COXK IN Equity","CASH_FLOW_TO_TOT_LIAB","FY 2007","FY 2007","Currency=INR","Period=FY","BEST_FPERIOD_OVERRIDE=FY","FILING_STATUS=MR","EQY_CONSOLIDATED=Y","Sort=A","Dates=H","DateFormat=P","Fill=—","Direction=H","UseDPDF=Y")</f>
        <v>9.2652000000000001</v>
      </c>
      <c r="F20" s="18">
        <f>_xll.BDH("COXK IN Equity","CASH_FLOW_TO_TOT_LIAB","FY 2008","FY 2008","Currency=INR","Period=FY","BEST_FPERIOD_OVERRIDE=FY","FILING_STATUS=MR","EQY_CONSOLIDATED=Y","Sort=A","Dates=H","DateFormat=P","Fill=—","Direction=H","UseDPDF=Y")</f>
        <v>-4.5117000000000003</v>
      </c>
      <c r="G20" s="18">
        <f>_xll.BDH("COXK IN Equity","CASH_FLOW_TO_TOT_LIAB","FY 2009","FY 2009","Currency=INR","Period=FY","BEST_FPERIOD_OVERRIDE=FY","FILING_STATUS=MR","EQY_CONSOLIDATED=Y","Sort=A","Dates=H","DateFormat=P","Fill=—","Direction=H","UseDPDF=Y")</f>
        <v>-19.158899999999999</v>
      </c>
      <c r="H20" s="18">
        <f>_xll.BDH("COXK IN Equity","CASH_FLOW_TO_TOT_LIAB","FY 2010","FY 2010","Currency=INR","Period=FY","BEST_FPERIOD_OVERRIDE=FY","FILING_STATUS=MR","EQY_CONSOLIDATED=Y","Sort=A","Dates=H","DateFormat=P","Fill=—","Direction=H","UseDPDF=Y")</f>
        <v>3.7959999999999998</v>
      </c>
      <c r="I20" s="18">
        <f>_xll.BDH("COXK IN Equity","CASH_FLOW_TO_TOT_LIAB","FY 2011","FY 2011","Currency=INR","Period=FY","BEST_FPERIOD_OVERRIDE=FY","FILING_STATUS=MR","EQY_CONSOLIDATED=Y","Sort=A","Dates=H","DateFormat=P","Fill=—","Direction=H","UseDPDF=Y")</f>
        <v>5.7962999999999996</v>
      </c>
      <c r="J20" s="18">
        <f>_xll.BDH("COXK IN Equity","CASH_FLOW_TO_TOT_LIAB","FY 2012","FY 2012","Currency=INR","Period=FY","BEST_FPERIOD_OVERRIDE=FY","FILING_STATUS=MR","EQY_CONSOLIDATED=Y","Sort=A","Dates=H","DateFormat=P","Fill=—","Direction=H","UseDPDF=Y")</f>
        <v>-4.1852</v>
      </c>
      <c r="K20" s="18">
        <f>_xll.BDH("COXK IN Equity","CASH_FLOW_TO_TOT_LIAB","FY 2013","FY 2013","Currency=INR","Period=FY","BEST_FPERIOD_OVERRIDE=FY","FILING_STATUS=MR","EQY_CONSOLIDATED=Y","Sort=A","Dates=H","DateFormat=P","Fill=—","Direction=H","UseDPDF=Y")</f>
        <v>-1.8036000000000001</v>
      </c>
      <c r="L20" s="18">
        <f>_xll.BDH("COXK IN Equity","CASH_FLOW_TO_TOT_LIAB","FY 2014","FY 2014","Currency=INR","Period=FY","BEST_FPERIOD_OVERRIDE=FY","FILING_STATUS=MR","EQY_CONSOLIDATED=Y","Sort=A","Dates=H","DateFormat=P","Fill=—","Direction=H","UseDPDF=Y")</f>
        <v>6.3296999999999999</v>
      </c>
      <c r="M20" s="18">
        <f>_xll.BDH("COXK IN Equity","CASH_FLOW_TO_TOT_LIAB","FY 2015","FY 2015","Currency=INR","Period=FY","BEST_FPERIOD_OVERRIDE=FY","FILING_STATUS=MR","EQY_CONSOLIDATED=Y","Sort=A","Dates=H","DateFormat=P","Fill=—","Direction=H","UseDPDF=Y")</f>
        <v>3.8681999999999999</v>
      </c>
      <c r="N20" s="18">
        <f>_xll.BDH("COXK IN Equity","CASH_FLOW_TO_TOT_LIAB","FY 2016","FY 2016","Currency=INR","Period=FY","BEST_FPERIOD_OVERRIDE=FY","FILING_STATUS=MR","EQY_CONSOLIDATED=Y","Sort=A","Dates=H","DateFormat=P","Fill=—","Direction=H","UseDPDF=Y")</f>
        <v>8.2291000000000007</v>
      </c>
      <c r="O20" s="18">
        <f>_xll.BDH("COXK IN Equity","CASH_FLOW_TO_TOT_LIAB","FY 2017","FY 2017","Currency=INR","Period=FY","BEST_FPERIOD_OVERRIDE=FY","FILING_STATUS=MR","EQY_CONSOLIDATED=Y","Sort=A","Dates=H","DateFormat=P","Fill=—","Direction=H","UseDPDF=Y")</f>
        <v>1.4434</v>
      </c>
      <c r="P20" s="18">
        <f>_xll.BDH("COXK IN Equity","CASH_FLOW_TO_TOT_LIAB","FY 2018","FY 2018","Currency=INR","Period=FY","BEST_FPERIOD_OVERRIDE=FY","FILING_STATUS=MR","EQY_CONSOLIDATED=Y","Sort=A","Dates=H","DateFormat=P","Fill=—","Direction=H","UseDPDF=Y")</f>
        <v>-14.819599999999999</v>
      </c>
      <c r="Q20" s="18" t="str">
        <f>_xll.BDH("COXK IN Equity","CASH_FLOW_TO_TOT_LIAB","FY 2019","FY 2019","Currency=INR","Period=FY","BEST_FPERIOD_OVERRIDE=FY","FILING_STATUS=MR","EQY_CONSOLIDATED=Y","Sort=A","Dates=H","DateFormat=P","Fill=—","Direction=H","UseDPDF=Y")</f>
        <v>—</v>
      </c>
      <c r="R20" s="18">
        <f>_xll.BDH("COXK IN Equity","CASH_FLOW_TO_TOT_LIAB","FY 2020","FY 2020","Currency=INR","Period=FY","BEST_FPERIOD_OVERRIDE=FY","FILING_STATUS=MR","EQY_CONSOLIDATED=Y","Sort=A","Dates=H","DateFormat=P","Fill=—","Direction=H","UseDPDF=Y")</f>
        <v>-13.7112</v>
      </c>
    </row>
    <row r="21" spans="1:18" x14ac:dyDescent="0.25">
      <c r="A21" s="3" t="s">
        <v>87</v>
      </c>
      <c r="B21" s="3" t="s">
        <v>88</v>
      </c>
      <c r="C21" s="18">
        <f>_xll.BDH("COXK IN Equity","CAP_EXPEND_RATIO","FY 2005","FY 2005","Currency=INR","Period=FY","BEST_FPERIOD_OVERRIDE=FY","FILING_STATUS=MR","EQY_CONSOLIDATED=Y","Sort=A","Dates=H","DateFormat=P","Fill=—","Direction=H","UseDPDF=Y")</f>
        <v>5.7404999999999999</v>
      </c>
      <c r="D21" s="18">
        <f>_xll.BDH("COXK IN Equity","CAP_EXPEND_RATIO","FY 2006","FY 2006","Currency=INR","Period=FY","BEST_FPERIOD_OVERRIDE=FY","FILING_STATUS=MR","EQY_CONSOLIDATED=Y","Sort=A","Dates=H","DateFormat=P","Fill=—","Direction=H","UseDPDF=Y")</f>
        <v>-0.13500000000000001</v>
      </c>
      <c r="E21" s="18">
        <f>_xll.BDH("COXK IN Equity","CAP_EXPEND_RATIO","FY 2007","FY 2007","Currency=INR","Period=FY","BEST_FPERIOD_OVERRIDE=FY","FILING_STATUS=MR","EQY_CONSOLIDATED=Y","Sort=A","Dates=H","DateFormat=P","Fill=—","Direction=H","UseDPDF=Y")</f>
        <v>3.6248</v>
      </c>
      <c r="F21" s="18">
        <f>_xll.BDH("COXK IN Equity","CAP_EXPEND_RATIO","FY 2008","FY 2008","Currency=INR","Period=FY","BEST_FPERIOD_OVERRIDE=FY","FILING_STATUS=MR","EQY_CONSOLIDATED=Y","Sort=A","Dates=H","DateFormat=P","Fill=—","Direction=H","UseDPDF=Y")</f>
        <v>-0.92049999999999998</v>
      </c>
      <c r="G21" s="18">
        <f>_xll.BDH("COXK IN Equity","CAP_EXPEND_RATIO","FY 2009","FY 2009","Currency=INR","Period=FY","BEST_FPERIOD_OVERRIDE=FY","FILING_STATUS=MR","EQY_CONSOLIDATED=Y","Sort=A","Dates=H","DateFormat=P","Fill=—","Direction=H","UseDPDF=Y")</f>
        <v>-3.8005</v>
      </c>
      <c r="H21" s="18">
        <f>_xll.BDH("COXK IN Equity","CAP_EXPEND_RATIO","FY 2010","FY 2010","Currency=INR","Period=FY","BEST_FPERIOD_OVERRIDE=FY","FILING_STATUS=MR","EQY_CONSOLIDATED=Y","Sort=A","Dates=H","DateFormat=P","Fill=—","Direction=H","UseDPDF=Y")</f>
        <v>0.87480000000000002</v>
      </c>
      <c r="I21" s="18">
        <f>_xll.BDH("COXK IN Equity","CAP_EXPEND_RATIO","FY 2011","FY 2011","Currency=INR","Period=FY","BEST_FPERIOD_OVERRIDE=FY","FILING_STATUS=MR","EQY_CONSOLIDATED=Y","Sort=A","Dates=H","DateFormat=P","Fill=—","Direction=H","UseDPDF=Y")</f>
        <v>0.72660000000000002</v>
      </c>
      <c r="J21" s="18">
        <f>_xll.BDH("COXK IN Equity","CAP_EXPEND_RATIO","FY 2012","FY 2012","Currency=INR","Period=FY","BEST_FPERIOD_OVERRIDE=FY","FILING_STATUS=MR","EQY_CONSOLIDATED=Y","Sort=A","Dates=H","DateFormat=P","Fill=—","Direction=H","UseDPDF=Y")</f>
        <v>-1.8851</v>
      </c>
      <c r="K21" s="18">
        <f>_xll.BDH("COXK IN Equity","CAP_EXPEND_RATIO","FY 2013","FY 2013","Currency=INR","Period=FY","BEST_FPERIOD_OVERRIDE=FY","FILING_STATUS=MR","EQY_CONSOLIDATED=Y","Sort=A","Dates=H","DateFormat=P","Fill=—","Direction=H","UseDPDF=Y")</f>
        <v>-0.69</v>
      </c>
      <c r="L21" s="18">
        <f>_xll.BDH("COXK IN Equity","CAP_EXPEND_RATIO","FY 2014","FY 2014","Currency=INR","Period=FY","BEST_FPERIOD_OVERRIDE=FY","FILING_STATUS=MR","EQY_CONSOLIDATED=Y","Sort=A","Dates=H","DateFormat=P","Fill=—","Direction=H","UseDPDF=Y")</f>
        <v>1.7615000000000001</v>
      </c>
      <c r="M21" s="18">
        <f>_xll.BDH("COXK IN Equity","CAP_EXPEND_RATIO","FY 2015","FY 2015","Currency=INR","Period=FY","BEST_FPERIOD_OVERRIDE=FY","FILING_STATUS=MR","EQY_CONSOLIDATED=Y","Sort=A","Dates=H","DateFormat=P","Fill=—","Direction=H","UseDPDF=Y")</f>
        <v>1.2021999999999999</v>
      </c>
      <c r="N21" s="18">
        <f>_xll.BDH("COXK IN Equity","CAP_EXPEND_RATIO","FY 2016","FY 2016","Currency=INR","Period=FY","BEST_FPERIOD_OVERRIDE=FY","FILING_STATUS=MR","EQY_CONSOLIDATED=Y","Sort=A","Dates=H","DateFormat=P","Fill=—","Direction=H","UseDPDF=Y")</f>
        <v>1.6066</v>
      </c>
      <c r="O21" s="18">
        <f>_xll.BDH("COXK IN Equity","CAP_EXPEND_RATIO","FY 2017","FY 2017","Currency=INR","Period=FY","BEST_FPERIOD_OVERRIDE=FY","FILING_STATUS=MR","EQY_CONSOLIDATED=Y","Sort=A","Dates=H","DateFormat=P","Fill=—","Direction=H","UseDPDF=Y")</f>
        <v>0.40339999999999998</v>
      </c>
      <c r="P21" s="18">
        <f>_xll.BDH("COXK IN Equity","CAP_EXPEND_RATIO","FY 2018","FY 2018","Currency=INR","Period=FY","BEST_FPERIOD_OVERRIDE=FY","FILING_STATUS=MR","EQY_CONSOLIDATED=Y","Sort=A","Dates=H","DateFormat=P","Fill=—","Direction=H","UseDPDF=Y")</f>
        <v>-3.4780000000000002</v>
      </c>
      <c r="Q21" s="18" t="str">
        <f>_xll.BDH("COXK IN Equity","CAP_EXPEND_RATIO","FY 2019","FY 2019","Currency=INR","Period=FY","BEST_FPERIOD_OVERRIDE=FY","FILING_STATUS=MR","EQY_CONSOLIDATED=Y","Sort=A","Dates=H","DateFormat=P","Fill=—","Direction=H","UseDPDF=Y")</f>
        <v>—</v>
      </c>
      <c r="R21" s="18">
        <f>_xll.BDH("COXK IN Equity","CAP_EXPEND_RATIO","FY 2020","FY 2020","Currency=INR","Period=FY","BEST_FPERIOD_OVERRIDE=FY","FILING_STATUS=MR","EQY_CONSOLIDATED=Y","Sort=A","Dates=H","DateFormat=P","Fill=—","Direction=H","UseDPDF=Y")</f>
        <v>-58.307299999999998</v>
      </c>
    </row>
    <row r="22" spans="1:18" x14ac:dyDescent="0.25">
      <c r="A22" s="3" t="s">
        <v>89</v>
      </c>
      <c r="B22" s="3" t="s">
        <v>90</v>
      </c>
      <c r="C22" s="18" t="str">
        <f>_xll.BDH("COXK IN Equity","ALTMAN_Z_SCORE","FY 2005","FY 2005","Currency=INR","Period=FY","BEST_FPERIOD_OVERRIDE=FY","FILING_STATUS=MR","EQY_CONSOLIDATED=Y","Sort=A","Dates=H","DateFormat=P","Fill=—","Direction=H","UseDPDF=Y")</f>
        <v>—</v>
      </c>
      <c r="D22" s="18" t="str">
        <f>_xll.BDH("COXK IN Equity","ALTMAN_Z_SCORE","FY 2006","FY 2006","Currency=INR","Period=FY","BEST_FPERIOD_OVERRIDE=FY","FILING_STATUS=MR","EQY_CONSOLIDATED=Y","Sort=A","Dates=H","DateFormat=P","Fill=—","Direction=H","UseDPDF=Y")</f>
        <v>—</v>
      </c>
      <c r="E22" s="18" t="str">
        <f>_xll.BDH("COXK IN Equity","ALTMAN_Z_SCORE","FY 2007","FY 2007","Currency=INR","Period=FY","BEST_FPERIOD_OVERRIDE=FY","FILING_STATUS=MR","EQY_CONSOLIDATED=Y","Sort=A","Dates=H","DateFormat=P","Fill=—","Direction=H","UseDPDF=Y")</f>
        <v>—</v>
      </c>
      <c r="F22" s="18" t="str">
        <f>_xll.BDH("COXK IN Equity","ALTMAN_Z_SCORE","FY 2008","FY 2008","Currency=INR","Period=FY","BEST_FPERIOD_OVERRIDE=FY","FILING_STATUS=MR","EQY_CONSOLIDATED=Y","Sort=A","Dates=H","DateFormat=P","Fill=—","Direction=H","UseDPDF=Y")</f>
        <v>—</v>
      </c>
      <c r="G22" s="18" t="str">
        <f>_xll.BDH("COXK IN Equity","ALTMAN_Z_SCORE","FY 2009","FY 2009","Currency=INR","Period=FY","BEST_FPERIOD_OVERRIDE=FY","FILING_STATUS=MR","EQY_CONSOLIDATED=Y","Sort=A","Dates=H","DateFormat=P","Fill=—","Direction=H","UseDPDF=Y")</f>
        <v>—</v>
      </c>
      <c r="H22" s="18">
        <f>_xll.BDH("COXK IN Equity","ALTMAN_Z_SCORE","FY 2010","FY 2010","Currency=INR","Period=FY","BEST_FPERIOD_OVERRIDE=FY","FILING_STATUS=MR","EQY_CONSOLIDATED=Y","Sort=A","Dates=H","DateFormat=P","Fill=—","Direction=H","UseDPDF=Y")</f>
        <v>4.4508000000000001</v>
      </c>
      <c r="I22" s="18">
        <f>_xll.BDH("COXK IN Equity","ALTMAN_Z_SCORE","FY 2011","FY 2011","Currency=INR","Period=FY","BEST_FPERIOD_OVERRIDE=FY","FILING_STATUS=MR","EQY_CONSOLIDATED=Y","Sort=A","Dates=H","DateFormat=P","Fill=—","Direction=H","UseDPDF=Y")</f>
        <v>3.1556999999999999</v>
      </c>
      <c r="J22" s="18">
        <f>_xll.BDH("COXK IN Equity","ALTMAN_Z_SCORE","FY 2012","FY 2012","Currency=INR","Period=FY","BEST_FPERIOD_OVERRIDE=FY","FILING_STATUS=MR","EQY_CONSOLIDATED=Y","Sort=A","Dates=H","DateFormat=P","Fill=—","Direction=H","UseDPDF=Y")</f>
        <v>0.49149999999999999</v>
      </c>
      <c r="K22" s="18">
        <f>_xll.BDH("COXK IN Equity","ALTMAN_Z_SCORE","FY 2013","FY 2013","Currency=INR","Period=FY","BEST_FPERIOD_OVERRIDE=FY","FILING_STATUS=MR","EQY_CONSOLIDATED=Y","Sort=A","Dates=H","DateFormat=P","Fill=—","Direction=H","UseDPDF=Y")</f>
        <v>1.0731999999999999</v>
      </c>
      <c r="L22" s="18">
        <f>_xll.BDH("COXK IN Equity","ALTMAN_Z_SCORE","FY 2014","FY 2014","Currency=INR","Period=FY","BEST_FPERIOD_OVERRIDE=FY","FILING_STATUS=MR","EQY_CONSOLIDATED=Y","Sort=A","Dates=H","DateFormat=P","Fill=—","Direction=H","UseDPDF=Y")</f>
        <v>1.2205999999999999</v>
      </c>
      <c r="M22" s="18">
        <f>_xll.BDH("COXK IN Equity","ALTMAN_Z_SCORE","FY 2015","FY 2015","Currency=INR","Period=FY","BEST_FPERIOD_OVERRIDE=FY","FILING_STATUS=MR","EQY_CONSOLIDATED=Y","Sort=A","Dates=H","DateFormat=P","Fill=—","Direction=H","UseDPDF=Y")</f>
        <v>2.0415999999999999</v>
      </c>
      <c r="N22" s="18">
        <f>_xll.BDH("COXK IN Equity","ALTMAN_Z_SCORE","FY 2016","FY 2016","Currency=INR","Period=FY","BEST_FPERIOD_OVERRIDE=FY","FILING_STATUS=MR","EQY_CONSOLIDATED=Y","Sort=A","Dates=H","DateFormat=P","Fill=—","Direction=H","UseDPDF=Y")</f>
        <v>2.2130000000000001</v>
      </c>
      <c r="O22" s="18">
        <f>_xll.BDH("COXK IN Equity","ALTMAN_Z_SCORE","FY 2017","FY 2017","Currency=INR","Period=FY","BEST_FPERIOD_OVERRIDE=FY","FILING_STATUS=MR","EQY_CONSOLIDATED=Y","Sort=A","Dates=H","DateFormat=P","Fill=—","Direction=H","UseDPDF=Y")</f>
        <v>2.4278</v>
      </c>
      <c r="P22" s="18">
        <f>_xll.BDH("COXK IN Equity","ALTMAN_Z_SCORE","FY 2018","FY 2018","Currency=INR","Period=FY","BEST_FPERIOD_OVERRIDE=FY","FILING_STATUS=MR","EQY_CONSOLIDATED=Y","Sort=A","Dates=H","DateFormat=P","Fill=—","Direction=H","UseDPDF=Y")</f>
        <v>2.0728</v>
      </c>
      <c r="Q22" s="18">
        <f>_xll.BDH("COXK IN Equity","ALTMAN_Z_SCORE","FY 2019","FY 2019","Currency=INR","Period=FY","BEST_FPERIOD_OVERRIDE=FY","FILING_STATUS=MR","EQY_CONSOLIDATED=Y","Sort=A","Dates=H","DateFormat=P","Fill=—","Direction=H","UseDPDF=Y")</f>
        <v>2.6566999999999998</v>
      </c>
      <c r="R22" s="18">
        <f>_xll.BDH("COXK IN Equity","ALTMAN_Z_SCORE","FY 2020","FY 2020","Currency=INR","Period=FY","BEST_FPERIOD_OVERRIDE=FY","FILING_STATUS=MR","EQY_CONSOLIDATED=Y","Sort=A","Dates=H","DateFormat=P","Fill=—","Direction=H","UseDPDF=Y")</f>
        <v>-56.574599999999997</v>
      </c>
    </row>
    <row r="23" spans="1:18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764E-2F5C-4E6C-A79D-610777587082}">
  <dimension ref="A1:R25"/>
  <sheetViews>
    <sheetView workbookViewId="0">
      <selection activeCell="D30" sqref="D30"/>
    </sheetView>
  </sheetViews>
  <sheetFormatPr defaultRowHeight="15" x14ac:dyDescent="0.25"/>
  <cols>
    <col min="1" max="1" width="35.140625" customWidth="1"/>
    <col min="2" max="2" width="0" hidden="1" customWidth="1"/>
    <col min="3" max="18" width="11.85546875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0.25" x14ac:dyDescent="0.25">
      <c r="A2" s="14" t="s">
        <v>91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6" t="s">
        <v>3</v>
      </c>
      <c r="B4" s="6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92</v>
      </c>
      <c r="L4" s="5" t="s">
        <v>93</v>
      </c>
      <c r="M4" s="5" t="s">
        <v>94</v>
      </c>
      <c r="N4" s="5" t="s">
        <v>95</v>
      </c>
      <c r="O4" s="5" t="s">
        <v>96</v>
      </c>
      <c r="P4" s="5" t="s">
        <v>97</v>
      </c>
      <c r="Q4" s="5" t="s">
        <v>98</v>
      </c>
      <c r="R4" s="5" t="s">
        <v>99</v>
      </c>
    </row>
    <row r="5" spans="1:18" x14ac:dyDescent="0.25">
      <c r="A5" s="15" t="s">
        <v>15</v>
      </c>
      <c r="B5" s="15"/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100</v>
      </c>
      <c r="L5" s="4" t="s">
        <v>101</v>
      </c>
      <c r="M5" s="4" t="s">
        <v>102</v>
      </c>
      <c r="N5" s="4" t="s">
        <v>103</v>
      </c>
      <c r="O5" s="4" t="s">
        <v>104</v>
      </c>
      <c r="P5" s="4" t="s">
        <v>105</v>
      </c>
      <c r="Q5" s="4" t="s">
        <v>106</v>
      </c>
      <c r="R5" s="4" t="s">
        <v>107</v>
      </c>
    </row>
    <row r="6" spans="1:18" x14ac:dyDescent="0.25">
      <c r="A6" s="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3" t="s">
        <v>29</v>
      </c>
      <c r="B7" s="3" t="s">
        <v>30</v>
      </c>
      <c r="C7" s="18" t="str">
        <f>_xll.BDH("TATASTL IN Equity","RETURN_COM_EQY","FY 2006","FY 2006","Currency=INR","Period=FY","BEST_FPERIOD_OVERRIDE=FY","FILING_STATUS=MR","EQY_CONSOLIDATED=Y","FA_ADJUSTED=GAAP","Sort=A","Dates=H","DateFormat=P","Fill=—","Direction=H","UseDPDF=Y")</f>
        <v>—</v>
      </c>
      <c r="D7" s="18">
        <f>_xll.BDH("TATASTL IN Equity","RETURN_COM_EQY","FY 2007","FY 2007","Currency=INR","Period=FY","BEST_FPERIOD_OVERRIDE=FY","FILING_STATUS=MR","EQY_CONSOLIDATED=Y","FA_ADJUSTED=GAAP","Sort=A","Dates=H","DateFormat=P","Fill=—","Direction=H","UseDPDF=Y")</f>
        <v>29.724299999999999</v>
      </c>
      <c r="E7" s="18">
        <f>_xll.BDH("TATASTL IN Equity","RETURN_COM_EQY","FY 2008","FY 2008","Currency=INR","Period=FY","BEST_FPERIOD_OVERRIDE=FY","FILING_STATUS=MR","EQY_CONSOLIDATED=Y","FA_ADJUSTED=GAAP","Sort=A","Dates=H","DateFormat=P","Fill=—","Direction=H","UseDPDF=Y")</f>
        <v>29.844100000000001</v>
      </c>
      <c r="F7" s="18">
        <f>_xll.BDH("TATASTL IN Equity","RETURN_COM_EQY","FY 2009","FY 2009","Currency=INR","Period=FY","BEST_FPERIOD_OVERRIDE=FY","FILING_STATUS=MR","EQY_CONSOLIDATED=Y","FA_ADJUSTED=GAAP","Sort=A","Dates=H","DateFormat=P","Fill=—","Direction=H","UseDPDF=Y")</f>
        <v>23.191099999999999</v>
      </c>
      <c r="G7" s="18">
        <f>_xll.BDH("TATASTL IN Equity","RETURN_COM_EQY","FY 2010","FY 2010","Currency=INR","Period=FY","BEST_FPERIOD_OVERRIDE=FY","FILING_STATUS=MR","EQY_CONSOLIDATED=Y","FA_ADJUSTED=GAAP","Sort=A","Dates=H","DateFormat=P","Fill=—","Direction=H","UseDPDF=Y")</f>
        <v>28.136399999999998</v>
      </c>
      <c r="H7" s="18">
        <f>_xll.BDH("TATASTL IN Equity","RETURN_COM_EQY","FY 2011","FY 2011","Currency=INR","Period=FY","BEST_FPERIOD_OVERRIDE=FY","FILING_STATUS=MR","EQY_CONSOLIDATED=Y","FA_ADJUSTED=GAAP","Sort=A","Dates=H","DateFormat=P","Fill=—","Direction=H","UseDPDF=Y")</f>
        <v>20.4453</v>
      </c>
      <c r="I7" s="18">
        <f>_xll.BDH("TATASTL IN Equity","RETURN_COM_EQY","FY 2012","FY 2012","Currency=INR","Period=FY","BEST_FPERIOD_OVERRIDE=FY","FILING_STATUS=MR","EQY_CONSOLIDATED=Y","FA_ADJUSTED=GAAP","Sort=A","Dates=H","DateFormat=P","Fill=—","Direction=H","UseDPDF=Y")</f>
        <v>15.090999999999999</v>
      </c>
      <c r="J7" s="18">
        <f>_xll.BDH("TATASTL IN Equity","RETURN_COM_EQY","FY 2013","FY 2013","Currency=INR","Period=FY","BEST_FPERIOD_OVERRIDE=FY","FILING_STATUS=MR","EQY_CONSOLIDATED=Y","FA_ADJUSTED=GAAP","Sort=A","Dates=H","DateFormat=P","Fill=—","Direction=H","UseDPDF=Y")</f>
        <v>10.8111</v>
      </c>
      <c r="K7" s="18">
        <f>_xll.BDH("TATASTL IN Equity","RETURN_COM_EQY","FY 2014","FY 2014","Currency=INR","Period=FY","BEST_FPERIOD_OVERRIDE=FY","FILING_STATUS=MR","EQY_CONSOLIDATED=Y","FA_ADJUSTED=GAAP","Sort=A","Dates=H","DateFormat=P","Fill=—","Direction=H","UseDPDF=Y")</f>
        <v>0.53610000000000002</v>
      </c>
      <c r="L7" s="18">
        <f>_xll.BDH("TATASTL IN Equity","RETURN_COM_EQY","FY 2015","FY 2015","Currency=INR","Period=FY","BEST_FPERIOD_OVERRIDE=FY","FILING_STATUS=MR","EQY_CONSOLIDATED=Y","FA_ADJUSTED=GAAP","Sort=A","Dates=H","DateFormat=P","Fill=—","Direction=H","UseDPDF=Y")</f>
        <v>-15.079599999999999</v>
      </c>
      <c r="M7" s="18">
        <f>_xll.BDH("TATASTL IN Equity","RETURN_COM_EQY","FY 2016","FY 2016","Currency=INR","Period=FY","BEST_FPERIOD_OVERRIDE=FY","FILING_STATUS=MR","EQY_CONSOLIDATED=Y","FA_ADJUSTED=GAAP","Sort=A","Dates=H","DateFormat=P","Fill=—","Direction=H","UseDPDF=Y")</f>
        <v>-69.604500000000002</v>
      </c>
      <c r="N7" s="18" t="str">
        <f>_xll.BDH("TATASTL IN Equity","RETURN_COM_EQY","FY 2017","FY 2017","Currency=INR","Period=FY","BEST_FPERIOD_OVERRIDE=FY","FILING_STATUS=MR","EQY_CONSOLIDATED=Y","FA_ADJUSTED=GAAP","Sort=A","Dates=H","DateFormat=P","Fill=—","Direction=H","UseDPDF=Y")</f>
        <v>—</v>
      </c>
      <c r="O7" s="18" t="str">
        <f>_xll.BDH("TATASTL IN Equity","RETURN_COM_EQY","FY 2018","FY 2018","Currency=INR","Period=FY","BEST_FPERIOD_OVERRIDE=FY","FILING_STATUS=MR","EQY_CONSOLIDATED=Y","FA_ADJUSTED=GAAP","Sort=A","Dates=H","DateFormat=P","Fill=—","Direction=H","UseDPDF=Y")</f>
        <v>—</v>
      </c>
      <c r="P7" s="18" t="str">
        <f>_xll.BDH("TATASTL IN Equity","RETURN_COM_EQY","FY 2019","FY 2019","Currency=INR","Period=FY","BEST_FPERIOD_OVERRIDE=FY","FILING_STATUS=MR","EQY_CONSOLIDATED=Y","FA_ADJUSTED=GAAP","Sort=A","Dates=H","DateFormat=P","Fill=—","Direction=H","UseDPDF=Y")</f>
        <v>—</v>
      </c>
      <c r="Q7" s="18">
        <f>_xll.BDH("TATASTL IN Equity","RETURN_COM_EQY","FY 2020","FY 2020","Currency=INR","Period=FY","BEST_FPERIOD_OVERRIDE=FY","FILING_STATUS=MR","EQY_CONSOLIDATED=Y","FA_ADJUSTED=GAAP","Sort=A","Dates=H","DateFormat=P","Fill=—","Direction=H","UseDPDF=Y")</f>
        <v>-3.4152</v>
      </c>
      <c r="R7" s="18">
        <f>_xll.BDH("TATASTL IN Equity","RETURN_COM_EQY","FY 2021","FY 2021","Currency=INR","Period=FY","BEST_FPERIOD_OVERRIDE=FY","FILING_STATUS=MR","EQY_CONSOLIDATED=Y","FA_ADJUSTED=GAAP","Sort=A","Dates=H","DateFormat=P","Fill=—","Direction=H","UseDPDF=Y")</f>
        <v>12.753500000000001</v>
      </c>
    </row>
    <row r="8" spans="1:18" x14ac:dyDescent="0.25">
      <c r="A8" s="3" t="s">
        <v>31</v>
      </c>
      <c r="B8" s="3" t="s">
        <v>32</v>
      </c>
      <c r="C8" s="18" t="str">
        <f>_xll.BDH("TATASTL IN Equity","RETURN_ON_ASSET","FY 2006","FY 2006","Currency=INR","Period=FY","BEST_FPERIOD_OVERRIDE=FY","FILING_STATUS=MR","EQY_CONSOLIDATED=Y","FA_ADJUSTED=GAAP","Sort=A","Dates=H","DateFormat=P","Fill=—","Direction=H","UseDPDF=Y")</f>
        <v>—</v>
      </c>
      <c r="D8" s="18">
        <f>_xll.BDH("TATASTL IN Equity","RETURN_ON_ASSET","FY 2007","FY 2007","Currency=INR","Period=FY","BEST_FPERIOD_OVERRIDE=FY","FILING_STATUS=MR","EQY_CONSOLIDATED=Y","FA_ADJUSTED=GAAP","Sort=A","Dates=H","DateFormat=P","Fill=—","Direction=H","UseDPDF=Y")</f>
        <v>7.0114999999999998</v>
      </c>
      <c r="E8" s="18">
        <f>_xll.BDH("TATASTL IN Equity","RETURN_ON_ASSET","FY 2008","FY 2008","Currency=INR","Period=FY","BEST_FPERIOD_OVERRIDE=FY","FILING_STATUS=MR","EQY_CONSOLIDATED=Y","FA_ADJUSTED=GAAP","Sort=A","Dates=H","DateFormat=P","Fill=—","Direction=H","UseDPDF=Y")</f>
        <v>5.9672999999999998</v>
      </c>
      <c r="F8" s="18">
        <f>_xll.BDH("TATASTL IN Equity","RETURN_ON_ASSET","FY 2009","FY 2009","Currency=INR","Period=FY","BEST_FPERIOD_OVERRIDE=FY","FILING_STATUS=MR","EQY_CONSOLIDATED=Y","FA_ADJUSTED=GAAP","Sort=A","Dates=H","DateFormat=P","Fill=—","Direction=H","UseDPDF=Y")</f>
        <v>4.0532000000000004</v>
      </c>
      <c r="G8" s="18">
        <f>_xll.BDH("TATASTL IN Equity","RETURN_ON_ASSET","FY 2010","FY 2010","Currency=INR","Period=FY","BEST_FPERIOD_OVERRIDE=FY","FILING_STATUS=MR","EQY_CONSOLIDATED=Y","FA_ADJUSTED=GAAP","Sort=A","Dates=H","DateFormat=P","Fill=—","Direction=H","UseDPDF=Y")</f>
        <v>5.7068000000000003</v>
      </c>
      <c r="H8" s="18">
        <f>_xll.BDH("TATASTL IN Equity","RETURN_ON_ASSET","FY 2011","FY 2011","Currency=INR","Period=FY","BEST_FPERIOD_OVERRIDE=FY","FILING_STATUS=MR","EQY_CONSOLIDATED=Y","FA_ADJUSTED=GAAP","Sort=A","Dates=H","DateFormat=P","Fill=—","Direction=H","UseDPDF=Y")</f>
        <v>4.7161999999999997</v>
      </c>
      <c r="I8" s="18">
        <f>_xll.BDH("TATASTL IN Equity","RETURN_ON_ASSET","FY 2012","FY 2012","Currency=INR","Period=FY","BEST_FPERIOD_OVERRIDE=FY","FILING_STATUS=MR","EQY_CONSOLIDATED=Y","FA_ADJUSTED=GAAP","Sort=A","Dates=H","DateFormat=P","Fill=—","Direction=H","UseDPDF=Y")</f>
        <v>3.4371999999999998</v>
      </c>
      <c r="J8" s="18">
        <f>_xll.BDH("TATASTL IN Equity","RETURN_ON_ASSET","FY 2013","FY 2013","Currency=INR","Period=FY","BEST_FPERIOD_OVERRIDE=FY","FILING_STATUS=MR","EQY_CONSOLIDATED=Y","FA_ADJUSTED=GAAP","Sort=A","Dates=H","DateFormat=P","Fill=—","Direction=H","UseDPDF=Y")</f>
        <v>2.3475999999999999</v>
      </c>
      <c r="K8" s="18">
        <f>_xll.BDH("TATASTL IN Equity","RETURN_ON_ASSET","FY 2014","FY 2014","Currency=INR","Period=FY","BEST_FPERIOD_OVERRIDE=FY","FILING_STATUS=MR","EQY_CONSOLIDATED=Y","FA_ADJUSTED=GAAP","Sort=A","Dates=H","DateFormat=P","Fill=—","Direction=H","UseDPDF=Y")</f>
        <v>0.125</v>
      </c>
      <c r="L8" s="18">
        <f>_xll.BDH("TATASTL IN Equity","RETURN_ON_ASSET","FY 2015","FY 2015","Currency=INR","Period=FY","BEST_FPERIOD_OVERRIDE=FY","FILING_STATUS=MR","EQY_CONSOLIDATED=Y","FA_ADJUSTED=GAAP","Sort=A","Dates=H","DateFormat=P","Fill=—","Direction=H","UseDPDF=Y")</f>
        <v>-2.4154</v>
      </c>
      <c r="M8" s="18">
        <f>_xll.BDH("TATASTL IN Equity","RETURN_ON_ASSET","FY 2016","FY 2016","Currency=INR","Period=FY","BEST_FPERIOD_OVERRIDE=FY","FILING_STATUS=MR","EQY_CONSOLIDATED=Y","FA_ADJUSTED=GAAP","Sort=A","Dates=H","DateFormat=P","Fill=—","Direction=H","UseDPDF=Y")</f>
        <v>-6.0975999999999999</v>
      </c>
      <c r="N8" s="18">
        <f>_xll.BDH("TATASTL IN Equity","RETURN_ON_ASSET","FY 2017","FY 2017","Currency=INR","Period=FY","BEST_FPERIOD_OVERRIDE=FY","FILING_STATUS=MR","EQY_CONSOLIDATED=Y","FA_ADJUSTED=GAAP","Sort=A","Dates=H","DateFormat=P","Fill=—","Direction=H","UseDPDF=Y")</f>
        <v>-6.0190999999999999</v>
      </c>
      <c r="O8" s="18">
        <f>_xll.BDH("TATASTL IN Equity","RETURN_ON_ASSET","FY 2018","FY 2018","Currency=INR","Period=FY","BEST_FPERIOD_OVERRIDE=FY","FILING_STATUS=MR","EQY_CONSOLIDATED=Y","FA_ADJUSTED=GAAP","Sort=A","Dates=H","DateFormat=P","Fill=—","Direction=H","UseDPDF=Y")</f>
        <v>-49.102699999999999</v>
      </c>
      <c r="P8" s="18">
        <f>_xll.BDH("TATASTL IN Equity","RETURN_ON_ASSET","FY 2019","FY 2019","Currency=INR","Period=FY","BEST_FPERIOD_OVERRIDE=FY","FILING_STATUS=MR","EQY_CONSOLIDATED=Y","FA_ADJUSTED=GAAP","Sort=A","Dates=H","DateFormat=P","Fill=—","Direction=H","UseDPDF=Y")</f>
        <v>4.3105000000000002</v>
      </c>
      <c r="Q8" s="18">
        <f>_xll.BDH("TATASTL IN Equity","RETURN_ON_ASSET","FY 2020","FY 2020","Currency=INR","Period=FY","BEST_FPERIOD_OVERRIDE=FY","FILING_STATUS=MR","EQY_CONSOLIDATED=Y","FA_ADJUSTED=GAAP","Sort=A","Dates=H","DateFormat=P","Fill=—","Direction=H","UseDPDF=Y")</f>
        <v>-1.6034999999999999</v>
      </c>
      <c r="R8" s="18">
        <f>_xll.BDH("TATASTL IN Equity","RETURN_ON_ASSET","FY 2021","FY 2021","Currency=INR","Period=FY","BEST_FPERIOD_OVERRIDE=FY","FILING_STATUS=MR","EQY_CONSOLIDATED=Y","FA_ADJUSTED=GAAP","Sort=A","Dates=H","DateFormat=P","Fill=—","Direction=H","UseDPDF=Y")</f>
        <v>6.6337999999999999</v>
      </c>
    </row>
    <row r="9" spans="1:18" x14ac:dyDescent="0.25">
      <c r="A9" s="3" t="s">
        <v>33</v>
      </c>
      <c r="B9" s="3" t="s">
        <v>34</v>
      </c>
      <c r="C9" s="18" t="str">
        <f>_xll.BDH("TATASTL IN Equity","RETURN_ON_CAP","FY 2006","FY 2006","Currency=INR","Period=FY","BEST_FPERIOD_OVERRIDE=FY","FILING_STATUS=MR","EQY_CONSOLIDATED=Y","FA_ADJUSTED=GAAP","Sort=A","Dates=H","DateFormat=P","Fill=—","Direction=H","UseDPDF=Y")</f>
        <v>—</v>
      </c>
      <c r="D9" s="18">
        <f>_xll.BDH("TATASTL IN Equity","RETURN_ON_CAP","FY 2007","FY 2007","Currency=INR","Period=FY","BEST_FPERIOD_OVERRIDE=FY","FILING_STATUS=MR","EQY_CONSOLIDATED=Y","FA_ADJUSTED=GAAP","Sort=A","Dates=H","DateFormat=P","Fill=—","Direction=H","UseDPDF=Y")</f>
        <v>9.9449000000000005</v>
      </c>
      <c r="E9" s="18">
        <f>_xll.BDH("TATASTL IN Equity","RETURN_ON_CAP","FY 2008","FY 2008","Currency=INR","Period=FY","BEST_FPERIOD_OVERRIDE=FY","FILING_STATUS=MR","EQY_CONSOLIDATED=Y","FA_ADJUSTED=GAAP","Sort=A","Dates=H","DateFormat=P","Fill=—","Direction=H","UseDPDF=Y")</f>
        <v>7.9622000000000002</v>
      </c>
      <c r="F9" s="18">
        <f>_xll.BDH("TATASTL IN Equity","RETURN_ON_CAP","FY 2009","FY 2009","Currency=INR","Period=FY","BEST_FPERIOD_OVERRIDE=FY","FILING_STATUS=MR","EQY_CONSOLIDATED=Y","FA_ADJUSTED=GAAP","Sort=A","Dates=H","DateFormat=P","Fill=—","Direction=H","UseDPDF=Y")</f>
        <v>11.6235</v>
      </c>
      <c r="G9" s="18">
        <f>_xll.BDH("TATASTL IN Equity","RETURN_ON_CAP","FY 2010","FY 2010","Currency=INR","Period=FY","BEST_FPERIOD_OVERRIDE=FY","FILING_STATUS=MR","EQY_CONSOLIDATED=Y","FA_ADJUSTED=GAAP","Sort=A","Dates=H","DateFormat=P","Fill=—","Direction=H","UseDPDF=Y")</f>
        <v>11.7942</v>
      </c>
      <c r="H9" s="18">
        <f>_xll.BDH("TATASTL IN Equity","RETURN_ON_CAP","FY 2011","FY 2011","Currency=INR","Period=FY","BEST_FPERIOD_OVERRIDE=FY","FILING_STATUS=MR","EQY_CONSOLIDATED=Y","FA_ADJUSTED=GAAP","Sort=A","Dates=H","DateFormat=P","Fill=—","Direction=H","UseDPDF=Y")</f>
        <v>7.0403000000000002</v>
      </c>
      <c r="I9" s="18">
        <f>_xll.BDH("TATASTL IN Equity","RETURN_ON_CAP","FY 2012","FY 2012","Currency=INR","Period=FY","BEST_FPERIOD_OVERRIDE=FY","FILING_STATUS=MR","EQY_CONSOLIDATED=Y","FA_ADJUSTED=GAAP","Sort=A","Dates=H","DateFormat=P","Fill=—","Direction=H","UseDPDF=Y")</f>
        <v>4.7531999999999996</v>
      </c>
      <c r="J9" s="18">
        <f>_xll.BDH("TATASTL IN Equity","RETURN_ON_CAP","FY 2013","FY 2013","Currency=INR","Period=FY","BEST_FPERIOD_OVERRIDE=FY","FILING_STATUS=MR","EQY_CONSOLIDATED=Y","FA_ADJUSTED=GAAP","Sort=A","Dates=H","DateFormat=P","Fill=—","Direction=H","UseDPDF=Y")</f>
        <v>4.8566000000000003</v>
      </c>
      <c r="K9" s="18">
        <f>_xll.BDH("TATASTL IN Equity","RETURN_ON_CAP","FY 2014","FY 2014","Currency=INR","Period=FY","BEST_FPERIOD_OVERRIDE=FY","FILING_STATUS=MR","EQY_CONSOLIDATED=Y","FA_ADJUSTED=GAAP","Sort=A","Dates=H","DateFormat=P","Fill=—","Direction=H","UseDPDF=Y")</f>
        <v>2.2269000000000001</v>
      </c>
      <c r="L9" s="18">
        <f>_xll.BDH("TATASTL IN Equity","RETURN_ON_CAP","FY 2015","FY 2015","Currency=INR","Period=FY","BEST_FPERIOD_OVERRIDE=FY","FILING_STATUS=MR","EQY_CONSOLIDATED=Y","FA_ADJUSTED=GAAP","Sort=A","Dates=H","DateFormat=P","Fill=—","Direction=H","UseDPDF=Y")</f>
        <v>0.57530000000000003</v>
      </c>
      <c r="M9" s="18">
        <f>_xll.BDH("TATASTL IN Equity","RETURN_ON_CAP","FY 2016","FY 2016","Currency=INR","Period=FY","BEST_FPERIOD_OVERRIDE=FY","FILING_STATUS=MR","EQY_CONSOLIDATED=Y","FA_ADJUSTED=GAAP","Sort=A","Dates=H","DateFormat=P","Fill=—","Direction=H","UseDPDF=Y")</f>
        <v>-0.79800000000000004</v>
      </c>
      <c r="N9" s="18">
        <f>_xll.BDH("TATASTL IN Equity","RETURN_ON_CAP","FY 2017","FY 2017","Currency=INR","Period=FY","BEST_FPERIOD_OVERRIDE=FY","FILING_STATUS=MR","EQY_CONSOLIDATED=Y","FA_ADJUSTED=GAAP","Sort=A","Dates=H","DateFormat=P","Fill=—","Direction=H","UseDPDF=Y")</f>
        <v>0.69159999999999999</v>
      </c>
      <c r="O9" s="18">
        <f>_xll.BDH("TATASTL IN Equity","RETURN_ON_CAP","FY 2018","FY 2018","Currency=INR","Period=FY","BEST_FPERIOD_OVERRIDE=FY","FILING_STATUS=MR","EQY_CONSOLIDATED=Y","FA_ADJUSTED=GAAP","Sort=A","Dates=H","DateFormat=P","Fill=—","Direction=H","UseDPDF=Y")</f>
        <v>-55.684800000000003</v>
      </c>
      <c r="P9" s="18">
        <f>_xll.BDH("TATASTL IN Equity","RETURN_ON_CAP","FY 2019","FY 2019","Currency=INR","Period=FY","BEST_FPERIOD_OVERRIDE=FY","FILING_STATUS=MR","EQY_CONSOLIDATED=Y","FA_ADJUSTED=GAAP","Sort=A","Dates=H","DateFormat=P","Fill=—","Direction=H","UseDPDF=Y")</f>
        <v>18.535</v>
      </c>
      <c r="Q9" s="18">
        <f>_xll.BDH("TATASTL IN Equity","RETURN_ON_CAP","FY 2020","FY 2020","Currency=INR","Period=FY","BEST_FPERIOD_OVERRIDE=FY","FILING_STATUS=MR","EQY_CONSOLIDATED=Y","FA_ADJUSTED=GAAP","Sort=A","Dates=H","DateFormat=P","Fill=—","Direction=H","UseDPDF=Y")</f>
        <v>1.5015000000000001</v>
      </c>
      <c r="R9" s="18">
        <f>_xll.BDH("TATASTL IN Equity","RETURN_ON_CAP","FY 2021","FY 2021","Currency=INR","Period=FY","BEST_FPERIOD_OVERRIDE=FY","FILING_STATUS=MR","EQY_CONSOLIDATED=Y","FA_ADJUSTED=GAAP","Sort=A","Dates=H","DateFormat=P","Fill=—","Direction=H","UseDPDF=Y")</f>
        <v>12.0718</v>
      </c>
    </row>
    <row r="10" spans="1:18" x14ac:dyDescent="0.25">
      <c r="A10" s="3" t="s">
        <v>35</v>
      </c>
      <c r="B10" s="3" t="s">
        <v>36</v>
      </c>
      <c r="C10" s="18" t="str">
        <f>_xll.BDH("TATASTL IN Equity","RETURN_ON_INV_CAPITAL","FY 2006","FY 2006","Currency=INR","Period=FY","BEST_FPERIOD_OVERRIDE=FY","FILING_STATUS=MR","EQY_CONSOLIDATED=Y","FA_ADJUSTED=GAAP","Sort=A","Dates=H","DateFormat=P","Fill=—","Direction=H","UseDPDF=Y")</f>
        <v>—</v>
      </c>
      <c r="D10" s="18">
        <f>_xll.BDH("TATASTL IN Equity","RETURN_ON_INV_CAPITAL","FY 2007","FY 2007","Currency=INR","Period=FY","BEST_FPERIOD_OVERRIDE=FY","FILING_STATUS=MR","EQY_CONSOLIDATED=Y","FA_ADJUSTED=GAAP","Sort=A","Dates=H","DateFormat=P","Fill=—","Direction=H","UseDPDF=Y")</f>
        <v>9.3064</v>
      </c>
      <c r="E10" s="18">
        <f>_xll.BDH("TATASTL IN Equity","RETURN_ON_INV_CAPITAL","FY 2008","FY 2008","Currency=INR","Period=FY","BEST_FPERIOD_OVERRIDE=FY","FILING_STATUS=MR","EQY_CONSOLIDATED=Y","FA_ADJUSTED=GAAP","Sort=A","Dates=H","DateFormat=P","Fill=—","Direction=H","UseDPDF=Y")</f>
        <v>8.0967000000000002</v>
      </c>
      <c r="F10" s="18">
        <f>_xll.BDH("TATASTL IN Equity","RETURN_ON_INV_CAPITAL","FY 2009","FY 2009","Currency=INR","Period=FY","BEST_FPERIOD_OVERRIDE=FY","FILING_STATUS=MR","EQY_CONSOLIDATED=Y","FA_ADJUSTED=GAAP","Sort=A","Dates=H","DateFormat=P","Fill=—","Direction=H","UseDPDF=Y")</f>
        <v>7.1047000000000002</v>
      </c>
      <c r="G10" s="18">
        <f>_xll.BDH("TATASTL IN Equity","RETURN_ON_INV_CAPITAL","FY 2010","FY 2010","Currency=INR","Period=FY","BEST_FPERIOD_OVERRIDE=FY","FILING_STATUS=MR","EQY_CONSOLIDATED=Y","FA_ADJUSTED=GAAP","Sort=A","Dates=H","DateFormat=P","Fill=—","Direction=H","UseDPDF=Y")</f>
        <v>6.9119000000000002</v>
      </c>
      <c r="H10" s="18">
        <f>_xll.BDH("TATASTL IN Equity","RETURN_ON_INV_CAPITAL","FY 2011","FY 2011","Currency=INR","Period=FY","BEST_FPERIOD_OVERRIDE=FY","FILING_STATUS=MR","EQY_CONSOLIDATED=Y","FA_ADJUSTED=GAAP","Sort=A","Dates=H","DateFormat=P","Fill=—","Direction=H","UseDPDF=Y")</f>
        <v>6.5976999999999997</v>
      </c>
      <c r="I10" s="18">
        <f>_xll.BDH("TATASTL IN Equity","RETURN_ON_INV_CAPITAL","FY 2012","FY 2012","Currency=INR","Period=FY","BEST_FPERIOD_OVERRIDE=FY","FILING_STATUS=MR","EQY_CONSOLIDATED=Y","FA_ADJUSTED=GAAP","Sort=A","Dates=H","DateFormat=P","Fill=—","Direction=H","UseDPDF=Y")</f>
        <v>6.6287000000000003</v>
      </c>
      <c r="J10" s="18">
        <f>_xll.BDH("TATASTL IN Equity","RETURN_ON_INV_CAPITAL","FY 2013","FY 2013","Currency=INR","Period=FY","BEST_FPERIOD_OVERRIDE=FY","FILING_STATUS=MR","EQY_CONSOLIDATED=Y","FA_ADJUSTED=GAAP","Sort=A","Dates=H","DateFormat=P","Fill=—","Direction=H","UseDPDF=Y")</f>
        <v>5.3285999999999998</v>
      </c>
      <c r="K10" s="18">
        <f>_xll.BDH("TATASTL IN Equity","RETURN_ON_INV_CAPITAL","FY 2014","FY 2014","Currency=INR","Period=FY","BEST_FPERIOD_OVERRIDE=FY","FILING_STATUS=MR","EQY_CONSOLIDATED=Y","FA_ADJUSTED=GAAP","Sort=A","Dates=H","DateFormat=P","Fill=—","Direction=H","UseDPDF=Y")</f>
        <v>2.5905999999999998</v>
      </c>
      <c r="L10" s="18">
        <f>_xll.BDH("TATASTL IN Equity","RETURN_ON_INV_CAPITAL","FY 2015","FY 2015","Currency=INR","Period=FY","BEST_FPERIOD_OVERRIDE=FY","FILING_STATUS=MR","EQY_CONSOLIDATED=Y","FA_ADJUSTED=GAAP","Sort=A","Dates=H","DateFormat=P","Fill=—","Direction=H","UseDPDF=Y")</f>
        <v>0.79659999999999997</v>
      </c>
      <c r="M10" s="18">
        <f>_xll.BDH("TATASTL IN Equity","RETURN_ON_INV_CAPITAL","FY 2016","FY 2016","Currency=INR","Period=FY","BEST_FPERIOD_OVERRIDE=FY","FILING_STATUS=MR","EQY_CONSOLIDATED=Y","FA_ADJUSTED=GAAP","Sort=A","Dates=H","DateFormat=P","Fill=—","Direction=H","UseDPDF=Y")</f>
        <v>-0.90280000000000005</v>
      </c>
      <c r="N10" s="18">
        <f>_xll.BDH("TATASTL IN Equity","RETURN_ON_INV_CAPITAL","FY 2017","FY 2017","Currency=INR","Period=FY","BEST_FPERIOD_OVERRIDE=FY","FILING_STATUS=MR","EQY_CONSOLIDATED=Y","FA_ADJUSTED=GAAP","Sort=A","Dates=H","DateFormat=P","Fill=—","Direction=H","UseDPDF=Y")</f>
        <v>0.48099999999999998</v>
      </c>
      <c r="O10" s="18">
        <f>_xll.BDH("TATASTL IN Equity","RETURN_ON_INV_CAPITAL","FY 2018","FY 2018","Currency=INR","Period=FY","BEST_FPERIOD_OVERRIDE=FY","FILING_STATUS=MR","EQY_CONSOLIDATED=Y","FA_ADJUSTED=GAAP","Sort=A","Dates=H","DateFormat=P","Fill=—","Direction=H","UseDPDF=Y")</f>
        <v>-10.391299999999999</v>
      </c>
      <c r="P10" s="18">
        <f>_xll.BDH("TATASTL IN Equity","RETURN_ON_INV_CAPITAL","FY 2019","FY 2019","Currency=INR","Period=FY","BEST_FPERIOD_OVERRIDE=FY","FILING_STATUS=MR","EQY_CONSOLIDATED=Y","FA_ADJUSTED=GAAP","Sort=A","Dates=H","DateFormat=P","Fill=—","Direction=H","UseDPDF=Y")</f>
        <v>7.9428999999999998</v>
      </c>
      <c r="Q10" s="18">
        <f>_xll.BDH("TATASTL IN Equity","RETURN_ON_INV_CAPITAL","FY 2020","FY 2020","Currency=INR","Period=FY","BEST_FPERIOD_OVERRIDE=FY","FILING_STATUS=MR","EQY_CONSOLIDATED=Y","FA_ADJUSTED=GAAP","Sort=A","Dates=H","DateFormat=P","Fill=—","Direction=H","UseDPDF=Y")</f>
        <v>1.2199</v>
      </c>
      <c r="R10" s="18">
        <f>_xll.BDH("TATASTL IN Equity","RETURN_ON_INV_CAPITAL","FY 2021","FY 2021","Currency=INR","Period=FY","BEST_FPERIOD_OVERRIDE=FY","FILING_STATUS=MR","EQY_CONSOLIDATED=Y","FA_ADJUSTED=GAAP","Sort=A","Dates=H","DateFormat=P","Fill=—","Direction=H","UseDPDF=Y")</f>
        <v>11.7639</v>
      </c>
    </row>
    <row r="11" spans="1:18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2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3" t="s">
        <v>40</v>
      </c>
      <c r="B13" s="3" t="s">
        <v>41</v>
      </c>
      <c r="C13" s="18">
        <f>_xll.BDH("TATASTL IN Equity","EBITDA_TO_REVENUE","FY 2006","FY 2006","Currency=INR","Period=FY","BEST_FPERIOD_OVERRIDE=FY","FILING_STATUS=MR","EQY_CONSOLIDATED=Y","FA_ADJUSTED=GAAP","Sort=A","Dates=H","DateFormat=P","Fill=—","Direction=H","UseDPDF=Y")</f>
        <v>14.5937</v>
      </c>
      <c r="D13" s="18">
        <f>_xll.BDH("TATASTL IN Equity","EBITDA_TO_REVENUE","FY 2007","FY 2007","Currency=INR","Period=FY","BEST_FPERIOD_OVERRIDE=FY","FILING_STATUS=MR","EQY_CONSOLIDATED=Y","FA_ADJUSTED=GAAP","Sort=A","Dates=H","DateFormat=P","Fill=—","Direction=H","UseDPDF=Y")</f>
        <v>16.464400000000001</v>
      </c>
      <c r="E13" s="18">
        <f>_xll.BDH("TATASTL IN Equity","EBITDA_TO_REVENUE","FY 2008","FY 2008","Currency=INR","Period=FY","BEST_FPERIOD_OVERRIDE=FY","FILING_STATUS=MR","EQY_CONSOLIDATED=Y","FA_ADJUSTED=GAAP","Sort=A","Dates=H","DateFormat=P","Fill=—","Direction=H","UseDPDF=Y")</f>
        <v>19.997699999999998</v>
      </c>
      <c r="F13" s="18">
        <f>_xll.BDH("TATASTL IN Equity","EBITDA_TO_REVENUE","FY 2009","FY 2009","Currency=INR","Period=FY","BEST_FPERIOD_OVERRIDE=FY","FILING_STATUS=MR","EQY_CONSOLIDATED=Y","FA_ADJUSTED=GAAP","Sort=A","Dates=H","DateFormat=P","Fill=—","Direction=H","UseDPDF=Y")</f>
        <v>22.1556</v>
      </c>
      <c r="G13" s="18">
        <f>_xll.BDH("TATASTL IN Equity","EBITDA_TO_REVENUE","FY 2010","FY 2010","Currency=INR","Period=FY","BEST_FPERIOD_OVERRIDE=FY","FILING_STATUS=MR","EQY_CONSOLIDATED=Y","FA_ADJUSTED=GAAP","Sort=A","Dates=H","DateFormat=P","Fill=—","Direction=H","UseDPDF=Y")</f>
        <v>25.963200000000001</v>
      </c>
      <c r="H13" s="18">
        <f>_xll.BDH("TATASTL IN Equity","EBITDA_TO_REVENUE","FY 2011","FY 2011","Currency=INR","Period=FY","BEST_FPERIOD_OVERRIDE=FY","FILING_STATUS=MR","EQY_CONSOLIDATED=Y","FA_ADJUSTED=GAAP","Sort=A","Dates=H","DateFormat=P","Fill=—","Direction=H","UseDPDF=Y")</f>
        <v>30.063300000000002</v>
      </c>
      <c r="I13" s="18">
        <f>_xll.BDH("TATASTL IN Equity","EBITDA_TO_REVENUE","FY 2012","FY 2012","Currency=INR","Period=FY","BEST_FPERIOD_OVERRIDE=FY","FILING_STATUS=MR","EQY_CONSOLIDATED=Y","FA_ADJUSTED=GAAP","Sort=A","Dates=H","DateFormat=P","Fill=—","Direction=H","UseDPDF=Y")</f>
        <v>31.147400000000001</v>
      </c>
      <c r="J13" s="18">
        <f>_xll.BDH("TATASTL IN Equity","EBITDA_TO_REVENUE","FY 2013","FY 2013","Currency=INR","Period=FY","BEST_FPERIOD_OVERRIDE=FY","FILING_STATUS=MR","EQY_CONSOLIDATED=Y","FA_ADJUSTED=GAAP","Sort=A","Dates=H","DateFormat=P","Fill=—","Direction=H","UseDPDF=Y")</f>
        <v>32.200299999999999</v>
      </c>
      <c r="K13" s="18">
        <f>_xll.BDH("TATASTL IN Equity","EBITDA_TO_REVENUE","FY 2014","FY 2014","Currency=INR","Period=FY","BEST_FPERIOD_OVERRIDE=FY","FILING_STATUS=MR","EQY_CONSOLIDATED=Y","FA_ADJUSTED=GAAP","Sort=A","Dates=H","DateFormat=P","Fill=—","Direction=H","UseDPDF=Y")</f>
        <v>29.085899999999999</v>
      </c>
      <c r="L13" s="18">
        <f>_xll.BDH("TATASTL IN Equity","EBITDA_TO_REVENUE","FY 2015","FY 2015","Currency=INR","Period=FY","BEST_FPERIOD_OVERRIDE=FY","FILING_STATUS=MR","EQY_CONSOLIDATED=Y","FA_ADJUSTED=GAAP","Sort=A","Dates=H","DateFormat=P","Fill=—","Direction=H","UseDPDF=Y")</f>
        <v>21.545999999999999</v>
      </c>
      <c r="M13" s="18">
        <f>_xll.BDH("TATASTL IN Equity","EBITDA_TO_REVENUE","FY 2016","FY 2016","Currency=INR","Period=FY","BEST_FPERIOD_OVERRIDE=FY","FILING_STATUS=MR","EQY_CONSOLIDATED=Y","FA_ADJUSTED=GAAP","Sort=A","Dates=H","DateFormat=P","Fill=—","Direction=H","UseDPDF=Y")</f>
        <v>15.813000000000001</v>
      </c>
      <c r="N13" s="18">
        <f>_xll.BDH("TATASTL IN Equity","EBITDA_TO_REVENUE","FY 2017","FY 2017","Currency=INR","Period=FY","BEST_FPERIOD_OVERRIDE=FY","FILING_STATUS=MR","EQY_CONSOLIDATED=Y","FA_ADJUSTED=GAAP","Sort=A","Dates=H","DateFormat=P","Fill=—","Direction=H","UseDPDF=Y")</f>
        <v>21.313600000000001</v>
      </c>
      <c r="O13" s="18">
        <f>_xll.BDH("TATASTL IN Equity","EBITDA_TO_REVENUE","FY 2018","FY 2018","Currency=INR","Period=FY","BEST_FPERIOD_OVERRIDE=FY","FILING_STATUS=MR","EQY_CONSOLIDATED=Y","FA_ADJUSTED=GAAP","Sort=A","Dates=H","DateFormat=P","Fill=—","Direction=H","UseDPDF=Y")</f>
        <v>12.956</v>
      </c>
      <c r="P13" s="18">
        <f>_xll.BDH("TATASTL IN Equity","EBITDA_TO_REVENUE","FY 2019","FY 2019","Currency=INR","Period=FY","BEST_FPERIOD_OVERRIDE=FY","FILING_STATUS=MR","EQY_CONSOLIDATED=Y","FA_ADJUSTED=GAAP","Sort=A","Dates=H","DateFormat=P","Fill=—","Direction=H","UseDPDF=Y")</f>
        <v>18.176300000000001</v>
      </c>
      <c r="Q13" s="18">
        <f>_xll.BDH("TATASTL IN Equity","EBITDA_TO_REVENUE","FY 2020","FY 2020","Currency=INR","Period=FY","BEST_FPERIOD_OVERRIDE=FY","FILING_STATUS=MR","EQY_CONSOLIDATED=Y","FA_ADJUSTED=GAAP","Sort=A","Dates=H","DateFormat=P","Fill=—","Direction=H","UseDPDF=Y")</f>
        <v>12.913600000000001</v>
      </c>
      <c r="R13" s="18">
        <f>_xll.BDH("TATASTL IN Equity","EBITDA_TO_REVENUE","FY 2021","FY 2021","Currency=INR","Period=FY","BEST_FPERIOD_OVERRIDE=FY","FILING_STATUS=MR","EQY_CONSOLIDATED=Y","FA_ADJUSTED=GAAP","Sort=A","Dates=H","DateFormat=P","Fill=—","Direction=H","UseDPDF=Y")</f>
        <v>25.436199999999999</v>
      </c>
    </row>
    <row r="14" spans="1:18" x14ac:dyDescent="0.25">
      <c r="A14" s="3" t="s">
        <v>42</v>
      </c>
      <c r="B14" s="3" t="s">
        <v>43</v>
      </c>
      <c r="C14" s="18">
        <f>_xll.BDH("TATASTL IN Equity","OPER_MARGIN","FY 2006","FY 2006","Currency=INR","Period=FY","BEST_FPERIOD_OVERRIDE=FY","FILING_STATUS=MR","EQY_CONSOLIDATED=Y","FA_ADJUSTED=GAAP","Sort=A","Dates=H","DateFormat=P","Fill=—","Direction=H","UseDPDF=Y")</f>
        <v>8.4884000000000004</v>
      </c>
      <c r="D14" s="18">
        <f>_xll.BDH("TATASTL IN Equity","OPER_MARGIN","FY 2007","FY 2007","Currency=INR","Period=FY","BEST_FPERIOD_OVERRIDE=FY","FILING_STATUS=MR","EQY_CONSOLIDATED=Y","FA_ADJUSTED=GAAP","Sort=A","Dates=H","DateFormat=P","Fill=—","Direction=H","UseDPDF=Y")</f>
        <v>10.9879</v>
      </c>
      <c r="E14" s="18">
        <f>_xll.BDH("TATASTL IN Equity","OPER_MARGIN","FY 2008","FY 2008","Currency=INR","Period=FY","BEST_FPERIOD_OVERRIDE=FY","FILING_STATUS=MR","EQY_CONSOLIDATED=Y","FA_ADJUSTED=GAAP","Sort=A","Dates=H","DateFormat=P","Fill=—","Direction=H","UseDPDF=Y")</f>
        <v>14.9368</v>
      </c>
      <c r="F14" s="18">
        <f>_xll.BDH("TATASTL IN Equity","OPER_MARGIN","FY 2009","FY 2009","Currency=INR","Period=FY","BEST_FPERIOD_OVERRIDE=FY","FILING_STATUS=MR","EQY_CONSOLIDATED=Y","FA_ADJUSTED=GAAP","Sort=A","Dates=H","DateFormat=P","Fill=—","Direction=H","UseDPDF=Y")</f>
        <v>17.417200000000001</v>
      </c>
      <c r="G14" s="18">
        <f>_xll.BDH("TATASTL IN Equity","OPER_MARGIN","FY 2010","FY 2010","Currency=INR","Period=FY","BEST_FPERIOD_OVERRIDE=FY","FILING_STATUS=MR","EQY_CONSOLIDATED=Y","FA_ADJUSTED=GAAP","Sort=A","Dates=H","DateFormat=P","Fill=—","Direction=H","UseDPDF=Y")</f>
        <v>22.230799999999999</v>
      </c>
      <c r="H14" s="18">
        <f>_xll.BDH("TATASTL IN Equity","OPER_MARGIN","FY 2011","FY 2011","Currency=INR","Period=FY","BEST_FPERIOD_OVERRIDE=FY","FILING_STATUS=MR","EQY_CONSOLIDATED=Y","FA_ADJUSTED=GAAP","Sort=A","Dates=H","DateFormat=P","Fill=—","Direction=H","UseDPDF=Y")</f>
        <v>25.952200000000001</v>
      </c>
      <c r="I14" s="18">
        <f>_xll.BDH("TATASTL IN Equity","OPER_MARGIN","FY 2012","FY 2012","Currency=INR","Period=FY","BEST_FPERIOD_OVERRIDE=FY","FILING_STATUS=MR","EQY_CONSOLIDATED=Y","FA_ADJUSTED=GAAP","Sort=A","Dates=H","DateFormat=P","Fill=—","Direction=H","UseDPDF=Y")</f>
        <v>24.705400000000001</v>
      </c>
      <c r="J14" s="18">
        <f>_xll.BDH("TATASTL IN Equity","OPER_MARGIN","FY 2013","FY 2013","Currency=INR","Period=FY","BEST_FPERIOD_OVERRIDE=FY","FILING_STATUS=MR","EQY_CONSOLIDATED=Y","FA_ADJUSTED=GAAP","Sort=A","Dates=H","DateFormat=P","Fill=—","Direction=H","UseDPDF=Y")</f>
        <v>24.118500000000001</v>
      </c>
      <c r="K14" s="18">
        <f>_xll.BDH("TATASTL IN Equity","OPER_MARGIN","FY 2014","FY 2014","Currency=INR","Period=FY","BEST_FPERIOD_OVERRIDE=FY","FILING_STATUS=MR","EQY_CONSOLIDATED=Y","FA_ADJUSTED=GAAP","Sort=A","Dates=H","DateFormat=P","Fill=—","Direction=H","UseDPDF=Y")</f>
        <v>18.662199999999999</v>
      </c>
      <c r="L14" s="18">
        <f>_xll.BDH("TATASTL IN Equity","OPER_MARGIN","FY 2015","FY 2015","Currency=INR","Period=FY","BEST_FPERIOD_OVERRIDE=FY","FILING_STATUS=MR","EQY_CONSOLIDATED=Y","FA_ADJUSTED=GAAP","Sort=A","Dates=H","DateFormat=P","Fill=—","Direction=H","UseDPDF=Y")</f>
        <v>12.2387</v>
      </c>
      <c r="M14" s="18">
        <f>_xll.BDH("TATASTL IN Equity","OPER_MARGIN","FY 2016","FY 2016","Currency=INR","Period=FY","BEST_FPERIOD_OVERRIDE=FY","FILING_STATUS=MR","EQY_CONSOLIDATED=Y","FA_ADJUSTED=GAAP","Sort=A","Dates=H","DateFormat=P","Fill=—","Direction=H","UseDPDF=Y")</f>
        <v>2.6347999999999998</v>
      </c>
      <c r="N14" s="18">
        <f>_xll.BDH("TATASTL IN Equity","OPER_MARGIN","FY 2017","FY 2017","Currency=INR","Period=FY","BEST_FPERIOD_OVERRIDE=FY","FILING_STATUS=MR","EQY_CONSOLIDATED=Y","FA_ADJUSTED=GAAP","Sort=A","Dates=H","DateFormat=P","Fill=—","Direction=H","UseDPDF=Y")</f>
        <v>9.0152000000000001</v>
      </c>
      <c r="O14" s="18">
        <f>_xll.BDH("TATASTL IN Equity","OPER_MARGIN","FY 2018","FY 2018","Currency=INR","Period=FY","BEST_FPERIOD_OVERRIDE=FY","FILING_STATUS=MR","EQY_CONSOLIDATED=Y","FA_ADJUSTED=GAAP","Sort=A","Dates=H","DateFormat=P","Fill=—","Direction=H","UseDPDF=Y")</f>
        <v>2.4598</v>
      </c>
      <c r="P14" s="18">
        <f>_xll.BDH("TATASTL IN Equity","OPER_MARGIN","FY 2019","FY 2019","Currency=INR","Period=FY","BEST_FPERIOD_OVERRIDE=FY","FILING_STATUS=MR","EQY_CONSOLIDATED=Y","FA_ADJUSTED=GAAP","Sort=A","Dates=H","DateFormat=P","Fill=—","Direction=H","UseDPDF=Y")</f>
        <v>11.2752</v>
      </c>
      <c r="Q14" s="18">
        <f>_xll.BDH("TATASTL IN Equity","OPER_MARGIN","FY 2020","FY 2020","Currency=INR","Period=FY","BEST_FPERIOD_OVERRIDE=FY","FILING_STATUS=MR","EQY_CONSOLIDATED=Y","FA_ADJUSTED=GAAP","Sort=A","Dates=H","DateFormat=P","Fill=—","Direction=H","UseDPDF=Y")</f>
        <v>4.8726000000000003</v>
      </c>
      <c r="R14" s="18">
        <f>_xll.BDH("TATASTL IN Equity","OPER_MARGIN","FY 2021","FY 2021","Currency=INR","Period=FY","BEST_FPERIOD_OVERRIDE=FY","FILING_STATUS=MR","EQY_CONSOLIDATED=Y","FA_ADJUSTED=GAAP","Sort=A","Dates=H","DateFormat=P","Fill=—","Direction=H","UseDPDF=Y")</f>
        <v>18.473700000000001</v>
      </c>
    </row>
    <row r="15" spans="1:18" x14ac:dyDescent="0.25">
      <c r="A15" s="3" t="s">
        <v>44</v>
      </c>
      <c r="B15" s="3" t="s">
        <v>45</v>
      </c>
      <c r="C15" s="18" t="str">
        <f>_xll.BDH("TATASTL IN Equity","INCREMENTAL_OPERATING_MARGIN","FY 2006","FY 2006","Currency=INR","Period=FY","BEST_FPERIOD_OVERRIDE=FY","FILING_STATUS=MR","EQY_CONSOLIDATED=Y","FA_ADJUSTED=GAAP","Sort=A","Dates=H","DateFormat=P","Fill=—","Direction=H","UseDPDF=Y")</f>
        <v>—</v>
      </c>
      <c r="D15" s="18">
        <f>_xll.BDH("TATASTL IN Equity","INCREMENTAL_OPERATING_MARGIN","FY 2007","FY 2007","Currency=INR","Period=FY","BEST_FPERIOD_OVERRIDE=FY","FILING_STATUS=MR","EQY_CONSOLIDATED=Y","FA_ADJUSTED=GAAP","Sort=A","Dates=H","DateFormat=P","Fill=—","Direction=H","UseDPDF=Y")</f>
        <v>17.157299999999999</v>
      </c>
      <c r="E15" s="18">
        <f>_xll.BDH("TATASTL IN Equity","INCREMENTAL_OPERATING_MARGIN","FY 2008","FY 2008","Currency=INR","Period=FY","BEST_FPERIOD_OVERRIDE=FY","FILING_STATUS=MR","EQY_CONSOLIDATED=Y","FA_ADJUSTED=GAAP","Sort=A","Dates=H","DateFormat=P","Fill=—","Direction=H","UseDPDF=Y")</f>
        <v>56.504100000000001</v>
      </c>
      <c r="F15" s="18">
        <f>_xll.BDH("TATASTL IN Equity","INCREMENTAL_OPERATING_MARGIN","FY 2009","FY 2009","Currency=INR","Period=FY","BEST_FPERIOD_OVERRIDE=FY","FILING_STATUS=MR","EQY_CONSOLIDATED=Y","FA_ADJUSTED=GAAP","Sort=A","Dates=H","DateFormat=P","Fill=—","Direction=H","UseDPDF=Y")</f>
        <v>30.8794</v>
      </c>
      <c r="G15" s="18">
        <f>_xll.BDH("TATASTL IN Equity","INCREMENTAL_OPERATING_MARGIN","FY 2010","FY 2010","Currency=INR","Period=FY","BEST_FPERIOD_OVERRIDE=FY","FILING_STATUS=MR","EQY_CONSOLIDATED=Y","FA_ADJUSTED=GAAP","Sort=A","Dates=H","DateFormat=P","Fill=—","Direction=H","UseDPDF=Y")</f>
        <v>58.516100000000002</v>
      </c>
      <c r="H15" s="18">
        <f>_xll.BDH("TATASTL IN Equity","INCREMENTAL_OPERATING_MARGIN","FY 2011","FY 2011","Currency=INR","Period=FY","BEST_FPERIOD_OVERRIDE=FY","FILING_STATUS=MR","EQY_CONSOLIDATED=Y","FA_ADJUSTED=GAAP","Sort=A","Dates=H","DateFormat=P","Fill=—","Direction=H","UseDPDF=Y")</f>
        <v>43.997999999999998</v>
      </c>
      <c r="I15" s="18">
        <f>_xll.BDH("TATASTL IN Equity","INCREMENTAL_OPERATING_MARGIN","FY 2012","FY 2012","Currency=INR","Period=FY","BEST_FPERIOD_OVERRIDE=FY","FILING_STATUS=MR","EQY_CONSOLIDATED=Y","FA_ADJUSTED=GAAP","Sort=A","Dates=H","DateFormat=P","Fill=—","Direction=H","UseDPDF=Y")</f>
        <v>21.763500000000001</v>
      </c>
      <c r="J15" s="18">
        <f>_xll.BDH("TATASTL IN Equity","INCREMENTAL_OPERATING_MARGIN","FY 2013","FY 2013","Currency=INR","Period=FY","BEST_FPERIOD_OVERRIDE=FY","FILING_STATUS=MR","EQY_CONSOLIDATED=Y","FA_ADJUSTED=GAAP","Sort=A","Dates=H","DateFormat=P","Fill=—","Direction=H","UseDPDF=Y")</f>
        <v>15.526899999999999</v>
      </c>
      <c r="K15" s="18">
        <f>_xll.BDH("TATASTL IN Equity","INCREMENTAL_OPERATING_MARGIN","FY 2014","FY 2014","Currency=INR","Period=FY","BEST_FPERIOD_OVERRIDE=FY","FILING_STATUS=MR","EQY_CONSOLIDATED=Y","FA_ADJUSTED=GAAP","Sort=A","Dates=H","DateFormat=P","Fill=—","Direction=H","UseDPDF=Y")</f>
        <v>-72.976100000000002</v>
      </c>
      <c r="L15" s="18" t="str">
        <f>_xll.BDH("TATASTL IN Equity","INCREMENTAL_OPERATING_MARGIN","FY 2015","FY 2015","Currency=INR","Period=FY","BEST_FPERIOD_OVERRIDE=FY","FILING_STATUS=MR","EQY_CONSOLIDATED=Y","FA_ADJUSTED=GAAP","Sort=A","Dates=H","DateFormat=P","Fill=—","Direction=H","UseDPDF=Y")</f>
        <v>—</v>
      </c>
      <c r="M15" s="18" t="str">
        <f>_xll.BDH("TATASTL IN Equity","INCREMENTAL_OPERATING_MARGIN","FY 2016","FY 2016","Currency=INR","Period=FY","BEST_FPERIOD_OVERRIDE=FY","FILING_STATUS=MR","EQY_CONSOLIDATED=Y","FA_ADJUSTED=GAAP","Sort=A","Dates=H","DateFormat=P","Fill=—","Direction=H","UseDPDF=Y")</f>
        <v>—</v>
      </c>
      <c r="N15" s="18">
        <f>_xll.BDH("TATASTL IN Equity","INCREMENTAL_OPERATING_MARGIN","FY 2017","FY 2017","Currency=INR","Period=FY","BEST_FPERIOD_OVERRIDE=FY","FILING_STATUS=MR","EQY_CONSOLIDATED=Y","FA_ADJUSTED=GAAP","Sort=A","Dates=H","DateFormat=P","Fill=—","Direction=H","UseDPDF=Y")</f>
        <v>152.92349999999999</v>
      </c>
      <c r="O15" s="18" t="str">
        <f>_xll.BDH("TATASTL IN Equity","INCREMENTAL_OPERATING_MARGIN","FY 2018","FY 2018","Currency=INR","Period=FY","BEST_FPERIOD_OVERRIDE=FY","FILING_STATUS=MR","EQY_CONSOLIDATED=Y","FA_ADJUSTED=GAAP","Sort=A","Dates=H","DateFormat=P","Fill=—","Direction=H","UseDPDF=Y")</f>
        <v>—</v>
      </c>
      <c r="P15" s="18">
        <f>_xll.BDH("TATASTL IN Equity","INCREMENTAL_OPERATING_MARGIN","FY 2019","FY 2019","Currency=INR","Period=FY","BEST_FPERIOD_OVERRIDE=FY","FILING_STATUS=MR","EQY_CONSOLIDATED=Y","FA_ADJUSTED=GAAP","Sort=A","Dates=H","DateFormat=P","Fill=—","Direction=H","UseDPDF=Y")</f>
        <v>49.9375</v>
      </c>
      <c r="Q15" s="18">
        <f>_xll.BDH("TATASTL IN Equity","INCREMENTAL_OPERATING_MARGIN","FY 2020","FY 2020","Currency=INR","Period=FY","BEST_FPERIOD_OVERRIDE=FY","FILING_STATUS=MR","EQY_CONSOLIDATED=Y","FA_ADJUSTED=GAAP","Sort=A","Dates=H","DateFormat=P","Fill=—","Direction=H","UseDPDF=Y")</f>
        <v>-54.552700000000002</v>
      </c>
      <c r="R15" s="18">
        <f>_xll.BDH("TATASTL IN Equity","INCREMENTAL_OPERATING_MARGIN","FY 2021","FY 2021","Currency=INR","Period=FY","BEST_FPERIOD_OVERRIDE=FY","FILING_STATUS=MR","EQY_CONSOLIDATED=Y","FA_ADJUSTED=GAAP","Sort=A","Dates=H","DateFormat=P","Fill=—","Direction=H","UseDPDF=Y")</f>
        <v>95.358400000000003</v>
      </c>
    </row>
    <row r="16" spans="1:18" x14ac:dyDescent="0.25">
      <c r="A16" s="3" t="s">
        <v>46</v>
      </c>
      <c r="B16" s="3" t="s">
        <v>47</v>
      </c>
      <c r="C16" s="18">
        <f>_xll.BDH("TATASTL IN Equity","PRETAX_INC_TO_NET_SALES","FY 2006","FY 2006","Currency=INR","Period=FY","BEST_FPERIOD_OVERRIDE=FY","FILING_STATUS=MR","EQY_CONSOLIDATED=Y","FA_ADJUSTED=GAAP","Sort=A","Dates=H","DateFormat=P","Fill=—","Direction=H","UseDPDF=Y")</f>
        <v>5.8807</v>
      </c>
      <c r="D16" s="18">
        <f>_xll.BDH("TATASTL IN Equity","PRETAX_INC_TO_NET_SALES","FY 2007","FY 2007","Currency=INR","Period=FY","BEST_FPERIOD_OVERRIDE=FY","FILING_STATUS=MR","EQY_CONSOLIDATED=Y","FA_ADJUSTED=GAAP","Sort=A","Dates=H","DateFormat=P","Fill=—","Direction=H","UseDPDF=Y")</f>
        <v>9.7606999999999999</v>
      </c>
      <c r="E16" s="18">
        <f>_xll.BDH("TATASTL IN Equity","PRETAX_INC_TO_NET_SALES","FY 2008","FY 2008","Currency=INR","Period=FY","BEST_FPERIOD_OVERRIDE=FY","FILING_STATUS=MR","EQY_CONSOLIDATED=Y","FA_ADJUSTED=GAAP","Sort=A","Dates=H","DateFormat=P","Fill=—","Direction=H","UseDPDF=Y")</f>
        <v>12.902100000000001</v>
      </c>
      <c r="F16" s="18">
        <f>_xll.BDH("TATASTL IN Equity","PRETAX_INC_TO_NET_SALES","FY 2009","FY 2009","Currency=INR","Period=FY","BEST_FPERIOD_OVERRIDE=FY","FILING_STATUS=MR","EQY_CONSOLIDATED=Y","FA_ADJUSTED=GAAP","Sort=A","Dates=H","DateFormat=P","Fill=—","Direction=H","UseDPDF=Y")</f>
        <v>11.4055</v>
      </c>
      <c r="G16" s="18">
        <f>_xll.BDH("TATASTL IN Equity","PRETAX_INC_TO_NET_SALES","FY 2010","FY 2010","Currency=INR","Period=FY","BEST_FPERIOD_OVERRIDE=FY","FILING_STATUS=MR","EQY_CONSOLIDATED=Y","FA_ADJUSTED=GAAP","Sort=A","Dates=H","DateFormat=P","Fill=—","Direction=H","UseDPDF=Y")</f>
        <v>20.497</v>
      </c>
      <c r="H16" s="18">
        <f>_xll.BDH("TATASTL IN Equity","PRETAX_INC_TO_NET_SALES","FY 2011","FY 2011","Currency=INR","Period=FY","BEST_FPERIOD_OVERRIDE=FY","FILING_STATUS=MR","EQY_CONSOLIDATED=Y","FA_ADJUSTED=GAAP","Sort=A","Dates=H","DateFormat=P","Fill=—","Direction=H","UseDPDF=Y")</f>
        <v>20.354299999999999</v>
      </c>
      <c r="I16" s="18">
        <f>_xll.BDH("TATASTL IN Equity","PRETAX_INC_TO_NET_SALES","FY 2012","FY 2012","Currency=INR","Period=FY","BEST_FPERIOD_OVERRIDE=FY","FILING_STATUS=MR","EQY_CONSOLIDATED=Y","FA_ADJUSTED=GAAP","Sort=A","Dates=H","DateFormat=P","Fill=—","Direction=H","UseDPDF=Y")</f>
        <v>14.076499999999999</v>
      </c>
      <c r="J16" s="18">
        <f>_xll.BDH("TATASTL IN Equity","PRETAX_INC_TO_NET_SALES","FY 2013","FY 2013","Currency=INR","Period=FY","BEST_FPERIOD_OVERRIDE=FY","FILING_STATUS=MR","EQY_CONSOLIDATED=Y","FA_ADJUSTED=GAAP","Sort=A","Dates=H","DateFormat=P","Fill=—","Direction=H","UseDPDF=Y")</f>
        <v>11.7644</v>
      </c>
      <c r="K16" s="18">
        <f>_xll.BDH("TATASTL IN Equity","PRETAX_INC_TO_NET_SALES","FY 2014","FY 2014","Currency=INR","Period=FY","BEST_FPERIOD_OVERRIDE=FY","FILING_STATUS=MR","EQY_CONSOLIDATED=Y","FA_ADJUSTED=GAAP","Sort=A","Dates=H","DateFormat=P","Fill=—","Direction=H","UseDPDF=Y")</f>
        <v>0.99129999999999996</v>
      </c>
      <c r="L16" s="18">
        <f>_xll.BDH("TATASTL IN Equity","PRETAX_INC_TO_NET_SALES","FY 2015","FY 2015","Currency=INR","Period=FY","BEST_FPERIOD_OVERRIDE=FY","FILING_STATUS=MR","EQY_CONSOLIDATED=Y","FA_ADJUSTED=GAAP","Sort=A","Dates=H","DateFormat=P","Fill=—","Direction=H","UseDPDF=Y")</f>
        <v>-12.4793</v>
      </c>
      <c r="M16" s="18">
        <f>_xll.BDH("TATASTL IN Equity","PRETAX_INC_TO_NET_SALES","FY 2016","FY 2016","Currency=INR","Period=FY","BEST_FPERIOD_OVERRIDE=FY","FILING_STATUS=MR","EQY_CONSOLIDATED=Y","FA_ADJUSTED=GAAP","Sort=A","Dates=H","DateFormat=P","Fill=—","Direction=H","UseDPDF=Y")</f>
        <v>-31.9618</v>
      </c>
      <c r="N16" s="18">
        <f>_xll.BDH("TATASTL IN Equity","PRETAX_INC_TO_NET_SALES","FY 2017","FY 2017","Currency=INR","Period=FY","BEST_FPERIOD_OVERRIDE=FY","FILING_STATUS=MR","EQY_CONSOLIDATED=Y","FA_ADJUSTED=GAAP","Sort=A","Dates=H","DateFormat=P","Fill=—","Direction=H","UseDPDF=Y")</f>
        <v>-30.990500000000001</v>
      </c>
      <c r="O16" s="18">
        <f>_xll.BDH("TATASTL IN Equity","PRETAX_INC_TO_NET_SALES","FY 2018","FY 2018","Currency=INR","Period=FY","BEST_FPERIOD_OVERRIDE=FY","FILING_STATUS=MR","EQY_CONSOLIDATED=Y","FA_ADJUSTED=GAAP","Sort=A","Dates=H","DateFormat=P","Fill=—","Direction=H","UseDPDF=Y")</f>
        <v>-169.80420000000001</v>
      </c>
      <c r="P16" s="18">
        <f>_xll.BDH("TATASTL IN Equity","PRETAX_INC_TO_NET_SALES","FY 2019","FY 2019","Currency=INR","Period=FY","BEST_FPERIOD_OVERRIDE=FY","FILING_STATUS=MR","EQY_CONSOLIDATED=Y","FA_ADJUSTED=GAAP","Sort=A","Dates=H","DateFormat=P","Fill=—","Direction=H","UseDPDF=Y")</f>
        <v>8.1938999999999993</v>
      </c>
      <c r="Q16" s="18">
        <f>_xll.BDH("TATASTL IN Equity","PRETAX_INC_TO_NET_SALES","FY 2020","FY 2020","Currency=INR","Period=FY","BEST_FPERIOD_OVERRIDE=FY","FILING_STATUS=MR","EQY_CONSOLIDATED=Y","FA_ADJUSTED=GAAP","Sort=A","Dates=H","DateFormat=P","Fill=—","Direction=H","UseDPDF=Y")</f>
        <v>-3.4533999999999998</v>
      </c>
      <c r="R16" s="18">
        <f>_xll.BDH("TATASTL IN Equity","PRETAX_INC_TO_NET_SALES","FY 2021","FY 2021","Currency=INR","Period=FY","BEST_FPERIOD_OVERRIDE=FY","FILING_STATUS=MR","EQY_CONSOLIDATED=Y","FA_ADJUSTED=GAAP","Sort=A","Dates=H","DateFormat=P","Fill=—","Direction=H","UseDPDF=Y")</f>
        <v>11.7621</v>
      </c>
    </row>
    <row r="17" spans="1:18" x14ac:dyDescent="0.25">
      <c r="A17" s="3" t="s">
        <v>48</v>
      </c>
      <c r="B17" s="3" t="s">
        <v>49</v>
      </c>
      <c r="C17" s="18">
        <f>_xll.BDH("TATASTL IN Equity","INC_BEF_XO_ITEMS_TO_NET_SALES","FY 2006","FY 2006","Currency=INR","Period=FY","BEST_FPERIOD_OVERRIDE=FY","FILING_STATUS=MR","EQY_CONSOLIDATED=Y","FA_ADJUSTED=GAAP","Sort=A","Dates=H","DateFormat=P","Fill=—","Direction=H","UseDPDF=Y")</f>
        <v>5.6889000000000003</v>
      </c>
      <c r="D17" s="18">
        <f>_xll.BDH("TATASTL IN Equity","INC_BEF_XO_ITEMS_TO_NET_SALES","FY 2007","FY 2007","Currency=INR","Period=FY","BEST_FPERIOD_OVERRIDE=FY","FILING_STATUS=MR","EQY_CONSOLIDATED=Y","FA_ADJUSTED=GAAP","Sort=A","Dates=H","DateFormat=P","Fill=—","Direction=H","UseDPDF=Y")</f>
        <v>8.2113999999999994</v>
      </c>
      <c r="E17" s="18">
        <f>_xll.BDH("TATASTL IN Equity","INC_BEF_XO_ITEMS_TO_NET_SALES","FY 2008","FY 2008","Currency=INR","Period=FY","BEST_FPERIOD_OVERRIDE=FY","FILING_STATUS=MR","EQY_CONSOLIDATED=Y","FA_ADJUSTED=GAAP","Sort=A","Dates=H","DateFormat=P","Fill=—","Direction=H","UseDPDF=Y")</f>
        <v>10.144299999999999</v>
      </c>
      <c r="F17" s="18">
        <f>_xll.BDH("TATASTL IN Equity","INC_BEF_XO_ITEMS_TO_NET_SALES","FY 2009","FY 2009","Currency=INR","Period=FY","BEST_FPERIOD_OVERRIDE=FY","FILING_STATUS=MR","EQY_CONSOLIDATED=Y","FA_ADJUSTED=GAAP","Sort=A","Dates=H","DateFormat=P","Fill=—","Direction=H","UseDPDF=Y")</f>
        <v>8.5860000000000003</v>
      </c>
      <c r="G17" s="18">
        <f>_xll.BDH("TATASTL IN Equity","INC_BEF_XO_ITEMS_TO_NET_SALES","FY 2010","FY 2010","Currency=INR","Period=FY","BEST_FPERIOD_OVERRIDE=FY","FILING_STATUS=MR","EQY_CONSOLIDATED=Y","FA_ADJUSTED=GAAP","Sort=A","Dates=H","DateFormat=P","Fill=—","Direction=H","UseDPDF=Y")</f>
        <v>15.0436</v>
      </c>
      <c r="H17" s="18">
        <f>_xll.BDH("TATASTL IN Equity","INC_BEF_XO_ITEMS_TO_NET_SALES","FY 2011","FY 2011","Currency=INR","Period=FY","BEST_FPERIOD_OVERRIDE=FY","FILING_STATUS=MR","EQY_CONSOLIDATED=Y","FA_ADJUSTED=GAAP","Sort=A","Dates=H","DateFormat=P","Fill=—","Direction=H","UseDPDF=Y")</f>
        <v>14.9056</v>
      </c>
      <c r="I17" s="18">
        <f>_xll.BDH("TATASTL IN Equity","INC_BEF_XO_ITEMS_TO_NET_SALES","FY 2012","FY 2012","Currency=INR","Period=FY","BEST_FPERIOD_OVERRIDE=FY","FILING_STATUS=MR","EQY_CONSOLIDATED=Y","FA_ADJUSTED=GAAP","Sort=A","Dates=H","DateFormat=P","Fill=—","Direction=H","UseDPDF=Y")</f>
        <v>10.5288</v>
      </c>
      <c r="J17" s="18">
        <f>_xll.BDH("TATASTL IN Equity","INC_BEF_XO_ITEMS_TO_NET_SALES","FY 2013","FY 2013","Currency=INR","Period=FY","BEST_FPERIOD_OVERRIDE=FY","FILING_STATUS=MR","EQY_CONSOLIDATED=Y","FA_ADJUSTED=GAAP","Sort=A","Dates=H","DateFormat=P","Fill=—","Direction=H","UseDPDF=Y")</f>
        <v>8.7988999999999997</v>
      </c>
      <c r="K17" s="18">
        <f>_xll.BDH("TATASTL IN Equity","INC_BEF_XO_ITEMS_TO_NET_SALES","FY 2014","FY 2014","Currency=INR","Period=FY","BEST_FPERIOD_OVERRIDE=FY","FILING_STATUS=MR","EQY_CONSOLIDATED=Y","FA_ADJUSTED=GAAP","Sort=A","Dates=H","DateFormat=P","Fill=—","Direction=H","UseDPDF=Y")</f>
        <v>0.63619999999999999</v>
      </c>
      <c r="L17" s="18">
        <f>_xll.BDH("TATASTL IN Equity","INC_BEF_XO_ITEMS_TO_NET_SALES","FY 2015","FY 2015","Currency=INR","Period=FY","BEST_FPERIOD_OVERRIDE=FY","FILING_STATUS=MR","EQY_CONSOLIDATED=Y","FA_ADJUSTED=GAAP","Sort=A","Dates=H","DateFormat=P","Fill=—","Direction=H","UseDPDF=Y")</f>
        <v>-12.467700000000001</v>
      </c>
      <c r="M17" s="18">
        <f>_xll.BDH("TATASTL IN Equity","INC_BEF_XO_ITEMS_TO_NET_SALES","FY 2016","FY 2016","Currency=INR","Period=FY","BEST_FPERIOD_OVERRIDE=FY","FILING_STATUS=MR","EQY_CONSOLIDATED=Y","FA_ADJUSTED=GAAP","Sort=A","Dates=H","DateFormat=P","Fill=—","Direction=H","UseDPDF=Y")</f>
        <v>-26.215900000000001</v>
      </c>
      <c r="N17" s="18">
        <f>_xll.BDH("TATASTL IN Equity","INC_BEF_XO_ITEMS_TO_NET_SALES","FY 2017","FY 2017","Currency=INR","Period=FY","BEST_FPERIOD_OVERRIDE=FY","FILING_STATUS=MR","EQY_CONSOLIDATED=Y","FA_ADJUSTED=GAAP","Sort=A","Dates=H","DateFormat=P","Fill=—","Direction=H","UseDPDF=Y")</f>
        <v>-26.437899999999999</v>
      </c>
      <c r="O17" s="18">
        <f>_xll.BDH("TATASTL IN Equity","INC_BEF_XO_ITEMS_TO_NET_SALES","FY 2018","FY 2018","Currency=INR","Period=FY","BEST_FPERIOD_OVERRIDE=FY","FILING_STATUS=MR","EQY_CONSOLIDATED=Y","FA_ADJUSTED=GAAP","Sort=A","Dates=H","DateFormat=P","Fill=—","Direction=H","UseDPDF=Y")</f>
        <v>-144.40039999999999</v>
      </c>
      <c r="P17" s="18">
        <f>_xll.BDH("TATASTL IN Equity","INC_BEF_XO_ITEMS_TO_NET_SALES","FY 2019","FY 2019","Currency=INR","Period=FY","BEST_FPERIOD_OVERRIDE=FY","FILING_STATUS=MR","EQY_CONSOLIDATED=Y","FA_ADJUSTED=GAAP","Sort=A","Dates=H","DateFormat=P","Fill=—","Direction=H","UseDPDF=Y")</f>
        <v>8.1938999999999993</v>
      </c>
      <c r="Q17" s="18">
        <f>_xll.BDH("TATASTL IN Equity","INC_BEF_XO_ITEMS_TO_NET_SALES","FY 2020","FY 2020","Currency=INR","Period=FY","BEST_FPERIOD_OVERRIDE=FY","FILING_STATUS=MR","EQY_CONSOLIDATED=Y","FA_ADJUSTED=GAAP","Sort=A","Dates=H","DateFormat=P","Fill=—","Direction=H","UseDPDF=Y")</f>
        <v>-3.4533999999999998</v>
      </c>
      <c r="R17" s="18">
        <f>_xll.BDH("TATASTL IN Equity","INC_BEF_XO_ITEMS_TO_NET_SALES","FY 2021","FY 2021","Currency=INR","Period=FY","BEST_FPERIOD_OVERRIDE=FY","FILING_STATUS=MR","EQY_CONSOLIDATED=Y","FA_ADJUSTED=GAAP","Sort=A","Dates=H","DateFormat=P","Fill=—","Direction=H","UseDPDF=Y")</f>
        <v>11.7569</v>
      </c>
    </row>
    <row r="18" spans="1:18" x14ac:dyDescent="0.25">
      <c r="A18" s="3" t="s">
        <v>50</v>
      </c>
      <c r="B18" s="3" t="s">
        <v>51</v>
      </c>
      <c r="C18" s="18">
        <f>_xll.BDH("TATASTL IN Equity","PROF_MARGIN","FY 2006","FY 2006","Currency=INR","Period=FY","BEST_FPERIOD_OVERRIDE=FY","FILING_STATUS=MR","EQY_CONSOLIDATED=Y","FA_ADJUSTED=GAAP","Sort=A","Dates=H","DateFormat=P","Fill=—","Direction=H","UseDPDF=Y")</f>
        <v>5.6889000000000003</v>
      </c>
      <c r="D18" s="18">
        <f>_xll.BDH("TATASTL IN Equity","PROF_MARGIN","FY 2007","FY 2007","Currency=INR","Period=FY","BEST_FPERIOD_OVERRIDE=FY","FILING_STATUS=MR","EQY_CONSOLIDATED=Y","FA_ADJUSTED=GAAP","Sort=A","Dates=H","DateFormat=P","Fill=—","Direction=H","UseDPDF=Y")</f>
        <v>8.2113999999999994</v>
      </c>
      <c r="E18" s="18">
        <f>_xll.BDH("TATASTL IN Equity","PROF_MARGIN","FY 2008","FY 2008","Currency=INR","Period=FY","BEST_FPERIOD_OVERRIDE=FY","FILING_STATUS=MR","EQY_CONSOLIDATED=Y","FA_ADJUSTED=GAAP","Sort=A","Dates=H","DateFormat=P","Fill=—","Direction=H","UseDPDF=Y")</f>
        <v>10.144299999999999</v>
      </c>
      <c r="F18" s="18">
        <f>_xll.BDH("TATASTL IN Equity","PROF_MARGIN","FY 2009","FY 2009","Currency=INR","Period=FY","BEST_FPERIOD_OVERRIDE=FY","FILING_STATUS=MR","EQY_CONSOLIDATED=Y","FA_ADJUSTED=GAAP","Sort=A","Dates=H","DateFormat=P","Fill=—","Direction=H","UseDPDF=Y")</f>
        <v>8.5860000000000003</v>
      </c>
      <c r="G18" s="18">
        <f>_xll.BDH("TATASTL IN Equity","PROF_MARGIN","FY 2010","FY 2010","Currency=INR","Period=FY","BEST_FPERIOD_OVERRIDE=FY","FILING_STATUS=MR","EQY_CONSOLIDATED=Y","FA_ADJUSTED=GAAP","Sort=A","Dates=H","DateFormat=P","Fill=—","Direction=H","UseDPDF=Y")</f>
        <v>15.048</v>
      </c>
      <c r="H18" s="18">
        <f>_xll.BDH("TATASTL IN Equity","PROF_MARGIN","FY 2011","FY 2011","Currency=INR","Period=FY","BEST_FPERIOD_OVERRIDE=FY","FILING_STATUS=MR","EQY_CONSOLIDATED=Y","FA_ADJUSTED=GAAP","Sort=A","Dates=H","DateFormat=P","Fill=—","Direction=H","UseDPDF=Y")</f>
        <v>14.904999999999999</v>
      </c>
      <c r="I18" s="18">
        <f>_xll.BDH("TATASTL IN Equity","PROF_MARGIN","FY 2012","FY 2012","Currency=INR","Period=FY","BEST_FPERIOD_OVERRIDE=FY","FILING_STATUS=MR","EQY_CONSOLIDATED=Y","FA_ADJUSTED=GAAP","Sort=A","Dates=H","DateFormat=P","Fill=—","Direction=H","UseDPDF=Y")</f>
        <v>10.5457</v>
      </c>
      <c r="J18" s="18">
        <f>_xll.BDH("TATASTL IN Equity","PROF_MARGIN","FY 2013","FY 2013","Currency=INR","Period=FY","BEST_FPERIOD_OVERRIDE=FY","FILING_STATUS=MR","EQY_CONSOLIDATED=Y","FA_ADJUSTED=GAAP","Sort=A","Dates=H","DateFormat=P","Fill=—","Direction=H","UseDPDF=Y")</f>
        <v>8.8218999999999994</v>
      </c>
      <c r="K18" s="18">
        <f>_xll.BDH("TATASTL IN Equity","PROF_MARGIN","FY 2014","FY 2014","Currency=INR","Period=FY","BEST_FPERIOD_OVERRIDE=FY","FILING_STATUS=MR","EQY_CONSOLIDATED=Y","FA_ADJUSTED=GAAP","Sort=A","Dates=H","DateFormat=P","Fill=—","Direction=H","UseDPDF=Y")</f>
        <v>0.63949999999999996</v>
      </c>
      <c r="L18" s="18">
        <f>_xll.BDH("TATASTL IN Equity","PROF_MARGIN","FY 2015","FY 2015","Currency=INR","Period=FY","BEST_FPERIOD_OVERRIDE=FY","FILING_STATUS=MR","EQY_CONSOLIDATED=Y","FA_ADJUSTED=GAAP","Sort=A","Dates=H","DateFormat=P","Fill=—","Direction=H","UseDPDF=Y")</f>
        <v>-12.4649</v>
      </c>
      <c r="M18" s="18">
        <f>_xll.BDH("TATASTL IN Equity","PROF_MARGIN","FY 2016","FY 2016","Currency=INR","Period=FY","BEST_FPERIOD_OVERRIDE=FY","FILING_STATUS=MR","EQY_CONSOLIDATED=Y","FA_ADJUSTED=GAAP","Sort=A","Dates=H","DateFormat=P","Fill=—","Direction=H","UseDPDF=Y")</f>
        <v>-26.215599999999998</v>
      </c>
      <c r="N18" s="18">
        <f>_xll.BDH("TATASTL IN Equity","PROF_MARGIN","FY 2017","FY 2017","Currency=INR","Period=FY","BEST_FPERIOD_OVERRIDE=FY","FILING_STATUS=MR","EQY_CONSOLIDATED=Y","FA_ADJUSTED=GAAP","Sort=A","Dates=H","DateFormat=P","Fill=—","Direction=H","UseDPDF=Y")</f>
        <v>-26.374300000000002</v>
      </c>
      <c r="O18" s="18">
        <f>_xll.BDH("TATASTL IN Equity","PROF_MARGIN","FY 2018","FY 2018","Currency=INR","Period=FY","BEST_FPERIOD_OVERRIDE=FY","FILING_STATUS=MR","EQY_CONSOLIDATED=Y","FA_ADJUSTED=GAAP","Sort=A","Dates=H","DateFormat=P","Fill=—","Direction=H","UseDPDF=Y")</f>
        <v>-144.39859999999999</v>
      </c>
      <c r="P18" s="18">
        <f>_xll.BDH("TATASTL IN Equity","PROF_MARGIN","FY 2019","FY 2019","Currency=INR","Period=FY","BEST_FPERIOD_OVERRIDE=FY","FILING_STATUS=MR","EQY_CONSOLIDATED=Y","FA_ADJUSTED=GAAP","Sort=A","Dates=H","DateFormat=P","Fill=—","Direction=H","UseDPDF=Y")</f>
        <v>8.1941000000000006</v>
      </c>
      <c r="Q18" s="18">
        <f>_xll.BDH("TATASTL IN Equity","PROF_MARGIN","FY 2020","FY 2020","Currency=INR","Period=FY","BEST_FPERIOD_OVERRIDE=FY","FILING_STATUS=MR","EQY_CONSOLIDATED=Y","FA_ADJUSTED=GAAP","Sort=A","Dates=H","DateFormat=P","Fill=—","Direction=H","UseDPDF=Y")</f>
        <v>-3.4533999999999998</v>
      </c>
      <c r="R18" s="18">
        <f>_xll.BDH("TATASTL IN Equity","PROF_MARGIN","FY 2021","FY 2021","Currency=INR","Period=FY","BEST_FPERIOD_OVERRIDE=FY","FILING_STATUS=MR","EQY_CONSOLIDATED=Y","FA_ADJUSTED=GAAP","Sort=A","Dates=H","DateFormat=P","Fill=—","Direction=H","UseDPDF=Y")</f>
        <v>11.7569</v>
      </c>
    </row>
    <row r="19" spans="1:18" x14ac:dyDescent="0.25">
      <c r="A19" s="3" t="s">
        <v>52</v>
      </c>
      <c r="B19" s="3" t="s">
        <v>53</v>
      </c>
      <c r="C19" s="18">
        <f>_xll.BDH("TATASTL IN Equity","NET_INCOME_TO_COMMON_MARGIN","FY 2006","FY 2006","Currency=INR","Period=FY","BEST_FPERIOD_OVERRIDE=FY","FILING_STATUS=MR","EQY_CONSOLIDATED=Y","FA_ADJUSTED=GAAP","Sort=A","Dates=H","DateFormat=P","Fill=—","Direction=H","UseDPDF=Y")</f>
        <v>5.6889000000000003</v>
      </c>
      <c r="D19" s="18">
        <f>_xll.BDH("TATASTL IN Equity","NET_INCOME_TO_COMMON_MARGIN","FY 2007","FY 2007","Currency=INR","Period=FY","BEST_FPERIOD_OVERRIDE=FY","FILING_STATUS=MR","EQY_CONSOLIDATED=Y","FA_ADJUSTED=GAAP","Sort=A","Dates=H","DateFormat=P","Fill=—","Direction=H","UseDPDF=Y")</f>
        <v>8.2113999999999994</v>
      </c>
      <c r="E19" s="18">
        <f>_xll.BDH("TATASTL IN Equity","NET_INCOME_TO_COMMON_MARGIN","FY 2008","FY 2008","Currency=INR","Period=FY","BEST_FPERIOD_OVERRIDE=FY","FILING_STATUS=MR","EQY_CONSOLIDATED=Y","FA_ADJUSTED=GAAP","Sort=A","Dates=H","DateFormat=P","Fill=—","Direction=H","UseDPDF=Y")</f>
        <v>10.144299999999999</v>
      </c>
      <c r="F19" s="18">
        <f>_xll.BDH("TATASTL IN Equity","NET_INCOME_TO_COMMON_MARGIN","FY 2009","FY 2009","Currency=INR","Period=FY","BEST_FPERIOD_OVERRIDE=FY","FILING_STATUS=MR","EQY_CONSOLIDATED=Y","FA_ADJUSTED=GAAP","Sort=A","Dates=H","DateFormat=P","Fill=—","Direction=H","UseDPDF=Y")</f>
        <v>8.5860000000000003</v>
      </c>
      <c r="G19" s="18">
        <f>_xll.BDH("TATASTL IN Equity","NET_INCOME_TO_COMMON_MARGIN","FY 2010","FY 2010","Currency=INR","Period=FY","BEST_FPERIOD_OVERRIDE=FY","FILING_STATUS=MR","EQY_CONSOLIDATED=Y","FA_ADJUSTED=GAAP","Sort=A","Dates=H","DateFormat=P","Fill=—","Direction=H","UseDPDF=Y")</f>
        <v>15.048</v>
      </c>
      <c r="H19" s="18">
        <f>_xll.BDH("TATASTL IN Equity","NET_INCOME_TO_COMMON_MARGIN","FY 2011","FY 2011","Currency=INR","Period=FY","BEST_FPERIOD_OVERRIDE=FY","FILING_STATUS=MR","EQY_CONSOLIDATED=Y","FA_ADJUSTED=GAAP","Sort=A","Dates=H","DateFormat=P","Fill=—","Direction=H","UseDPDF=Y")</f>
        <v>14.815799999999999</v>
      </c>
      <c r="I19" s="18">
        <f>_xll.BDH("TATASTL IN Equity","NET_INCOME_TO_COMMON_MARGIN","FY 2012","FY 2012","Currency=INR","Period=FY","BEST_FPERIOD_OVERRIDE=FY","FILING_STATUS=MR","EQY_CONSOLIDATED=Y","FA_ADJUSTED=GAAP","Sort=A","Dates=H","DateFormat=P","Fill=—","Direction=H","UseDPDF=Y")</f>
        <v>10.449299999999999</v>
      </c>
      <c r="J19" s="18">
        <f>_xll.BDH("TATASTL IN Equity","NET_INCOME_TO_COMMON_MARGIN","FY 2013","FY 2013","Currency=INR","Period=FY","BEST_FPERIOD_OVERRIDE=FY","FILING_STATUS=MR","EQY_CONSOLIDATED=Y","FA_ADJUSTED=GAAP","Sort=A","Dates=H","DateFormat=P","Fill=—","Direction=H","UseDPDF=Y")</f>
        <v>8.7337000000000007</v>
      </c>
      <c r="K19" s="18">
        <f>_xll.BDH("TATASTL IN Equity","NET_INCOME_TO_COMMON_MARGIN","FY 2014","FY 2014","Currency=INR","Period=FY","BEST_FPERIOD_OVERRIDE=FY","FILING_STATUS=MR","EQY_CONSOLIDATED=Y","FA_ADJUSTED=GAAP","Sort=A","Dates=H","DateFormat=P","Fill=—","Direction=H","UseDPDF=Y")</f>
        <v>0.52700000000000002</v>
      </c>
      <c r="L19" s="18">
        <f>_xll.BDH("TATASTL IN Equity","NET_INCOME_TO_COMMON_MARGIN","FY 2015","FY 2015","Currency=INR","Period=FY","BEST_FPERIOD_OVERRIDE=FY","FILING_STATUS=MR","EQY_CONSOLIDATED=Y","FA_ADJUSTED=GAAP","Sort=A","Dates=H","DateFormat=P","Fill=—","Direction=H","UseDPDF=Y")</f>
        <v>-12.573499999999999</v>
      </c>
      <c r="M19" s="18">
        <f>_xll.BDH("TATASTL IN Equity","NET_INCOME_TO_COMMON_MARGIN","FY 2016","FY 2016","Currency=INR","Period=FY","BEST_FPERIOD_OVERRIDE=FY","FILING_STATUS=MR","EQY_CONSOLIDATED=Y","FA_ADJUSTED=GAAP","Sort=A","Dates=H","DateFormat=P","Fill=—","Direction=H","UseDPDF=Y")</f>
        <v>-26.215599999999998</v>
      </c>
      <c r="N19" s="18">
        <f>_xll.BDH("TATASTL IN Equity","NET_INCOME_TO_COMMON_MARGIN","FY 2017","FY 2017","Currency=INR","Period=FY","BEST_FPERIOD_OVERRIDE=FY","FILING_STATUS=MR","EQY_CONSOLIDATED=Y","FA_ADJUSTED=GAAP","Sort=A","Dates=H","DateFormat=P","Fill=—","Direction=H","UseDPDF=Y")</f>
        <v>-26.374300000000002</v>
      </c>
      <c r="O19" s="18">
        <f>_xll.BDH("TATASTL IN Equity","NET_INCOME_TO_COMMON_MARGIN","FY 2018","FY 2018","Currency=INR","Period=FY","BEST_FPERIOD_OVERRIDE=FY","FILING_STATUS=MR","EQY_CONSOLIDATED=Y","FA_ADJUSTED=GAAP","Sort=A","Dates=H","DateFormat=P","Fill=—","Direction=H","UseDPDF=Y")</f>
        <v>-144.39859999999999</v>
      </c>
      <c r="P19" s="18">
        <f>_xll.BDH("TATASTL IN Equity","NET_INCOME_TO_COMMON_MARGIN","FY 2019","FY 2019","Currency=INR","Period=FY","BEST_FPERIOD_OVERRIDE=FY","FILING_STATUS=MR","EQY_CONSOLIDATED=Y","FA_ADJUSTED=GAAP","Sort=A","Dates=H","DateFormat=P","Fill=—","Direction=H","UseDPDF=Y")</f>
        <v>8.1941000000000006</v>
      </c>
      <c r="Q19" s="18">
        <f>_xll.BDH("TATASTL IN Equity","NET_INCOME_TO_COMMON_MARGIN","FY 2020","FY 2020","Currency=INR","Period=FY","BEST_FPERIOD_OVERRIDE=FY","FILING_STATUS=MR","EQY_CONSOLIDATED=Y","FA_ADJUSTED=GAAP","Sort=A","Dates=H","DateFormat=P","Fill=—","Direction=H","UseDPDF=Y")</f>
        <v>-3.4533999999999998</v>
      </c>
      <c r="R19" s="18">
        <f>_xll.BDH("TATASTL IN Equity","NET_INCOME_TO_COMMON_MARGIN","FY 2021","FY 2021","Currency=INR","Period=FY","BEST_FPERIOD_OVERRIDE=FY","FILING_STATUS=MR","EQY_CONSOLIDATED=Y","FA_ADJUSTED=GAAP","Sort=A","Dates=H","DateFormat=P","Fill=—","Direction=H","UseDPDF=Y")</f>
        <v>11.7569</v>
      </c>
    </row>
    <row r="20" spans="1:18" x14ac:dyDescent="0.25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2" t="s">
        <v>54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A22" s="3" t="s">
        <v>55</v>
      </c>
      <c r="B22" s="3" t="s">
        <v>56</v>
      </c>
      <c r="C22" s="18">
        <f>_xll.BDH("TATASTL IN Equity","EFF_TAX_RATE","FY 2006","FY 2006","Currency=INR","Period=FY","BEST_FPERIOD_OVERRIDE=FY","FILING_STATUS=MR","EQY_CONSOLIDATED=Y","FA_ADJUSTED=GAAP","Sort=A","Dates=H","DateFormat=P","Fill=—","Direction=H","UseDPDF=Y")</f>
        <v>3.2614999999999998</v>
      </c>
      <c r="D22" s="18">
        <f>_xll.BDH("TATASTL IN Equity","EFF_TAX_RATE","FY 2007","FY 2007","Currency=INR","Period=FY","BEST_FPERIOD_OVERRIDE=FY","FILING_STATUS=MR","EQY_CONSOLIDATED=Y","FA_ADJUSTED=GAAP","Sort=A","Dates=H","DateFormat=P","Fill=—","Direction=H","UseDPDF=Y")</f>
        <v>15.872999999999999</v>
      </c>
      <c r="E22" s="18">
        <f>_xll.BDH("TATASTL IN Equity","EFF_TAX_RATE","FY 2008","FY 2008","Currency=INR","Period=FY","BEST_FPERIOD_OVERRIDE=FY","FILING_STATUS=MR","EQY_CONSOLIDATED=Y","FA_ADJUSTED=GAAP","Sort=A","Dates=H","DateFormat=P","Fill=—","Direction=H","UseDPDF=Y")</f>
        <v>21.374500000000001</v>
      </c>
      <c r="F22" s="18">
        <f>_xll.BDH("TATASTL IN Equity","EFF_TAX_RATE","FY 2009","FY 2009","Currency=INR","Period=FY","BEST_FPERIOD_OVERRIDE=FY","FILING_STATUS=MR","EQY_CONSOLIDATED=Y","FA_ADJUSTED=GAAP","Sort=A","Dates=H","DateFormat=P","Fill=—","Direction=H","UseDPDF=Y")</f>
        <v>24.720600000000001</v>
      </c>
      <c r="G22" s="18">
        <f>_xll.BDH("TATASTL IN Equity","EFF_TAX_RATE","FY 2010","FY 2010","Currency=INR","Period=FY","BEST_FPERIOD_OVERRIDE=FY","FILING_STATUS=MR","EQY_CONSOLIDATED=Y","FA_ADJUSTED=GAAP","Sort=A","Dates=H","DateFormat=P","Fill=—","Direction=H","UseDPDF=Y")</f>
        <v>26.605699999999999</v>
      </c>
      <c r="H22" s="18">
        <f>_xll.BDH("TATASTL IN Equity","EFF_TAX_RATE","FY 2011","FY 2011","Currency=INR","Period=FY","BEST_FPERIOD_OVERRIDE=FY","FILING_STATUS=MR","EQY_CONSOLIDATED=Y","FA_ADJUSTED=GAAP","Sort=A","Dates=H","DateFormat=P","Fill=—","Direction=H","UseDPDF=Y")</f>
        <v>26.936699999999998</v>
      </c>
      <c r="I22" s="18">
        <f>_xll.BDH("TATASTL IN Equity","EFF_TAX_RATE","FY 2012","FY 2012","Currency=INR","Period=FY","BEST_FPERIOD_OVERRIDE=FY","FILING_STATUS=MR","EQY_CONSOLIDATED=Y","FA_ADJUSTED=GAAP","Sort=A","Dates=H","DateFormat=P","Fill=—","Direction=H","UseDPDF=Y")</f>
        <v>25.2288</v>
      </c>
      <c r="J22" s="18">
        <f>_xll.BDH("TATASTL IN Equity","EFF_TAX_RATE","FY 2013","FY 2013","Currency=INR","Period=FY","BEST_FPERIOD_OVERRIDE=FY","FILING_STATUS=MR","EQY_CONSOLIDATED=Y","FA_ADJUSTED=GAAP","Sort=A","Dates=H","DateFormat=P","Fill=—","Direction=H","UseDPDF=Y")</f>
        <v>25.2271</v>
      </c>
      <c r="K22" s="18">
        <f>_xll.BDH("TATASTL IN Equity","EFF_TAX_RATE","FY 2014","FY 2014","Currency=INR","Period=FY","BEST_FPERIOD_OVERRIDE=FY","FILING_STATUS=MR","EQY_CONSOLIDATED=Y","FA_ADJUSTED=GAAP","Sort=A","Dates=H","DateFormat=P","Fill=—","Direction=H","UseDPDF=Y")</f>
        <v>36.407800000000002</v>
      </c>
      <c r="L22" s="18" t="str">
        <f>_xll.BDH("TATASTL IN Equity","EFF_TAX_RATE","FY 2015","FY 2015","Currency=INR","Period=FY","BEST_FPERIOD_OVERRIDE=FY","FILING_STATUS=MR","EQY_CONSOLIDATED=Y","FA_ADJUSTED=GAAP","Sort=A","Dates=H","DateFormat=P","Fill=—","Direction=H","UseDPDF=Y")</f>
        <v>—</v>
      </c>
      <c r="M22" s="18" t="str">
        <f>_xll.BDH("TATASTL IN Equity","EFF_TAX_RATE","FY 2016","FY 2016","Currency=INR","Period=FY","BEST_FPERIOD_OVERRIDE=FY","FILING_STATUS=MR","EQY_CONSOLIDATED=Y","FA_ADJUSTED=GAAP","Sort=A","Dates=H","DateFormat=P","Fill=—","Direction=H","UseDPDF=Y")</f>
        <v>—</v>
      </c>
      <c r="N22" s="18" t="str">
        <f>_xll.BDH("TATASTL IN Equity","EFF_TAX_RATE","FY 2017","FY 2017","Currency=INR","Period=FY","BEST_FPERIOD_OVERRIDE=FY","FILING_STATUS=MR","EQY_CONSOLIDATED=Y","FA_ADJUSTED=GAAP","Sort=A","Dates=H","DateFormat=P","Fill=—","Direction=H","UseDPDF=Y")</f>
        <v>—</v>
      </c>
      <c r="O22" s="18" t="str">
        <f>_xll.BDH("TATASTL IN Equity","EFF_TAX_RATE","FY 2018","FY 2018","Currency=INR","Period=FY","BEST_FPERIOD_OVERRIDE=FY","FILING_STATUS=MR","EQY_CONSOLIDATED=Y","FA_ADJUSTED=GAAP","Sort=A","Dates=H","DateFormat=P","Fill=—","Direction=H","UseDPDF=Y")</f>
        <v>—</v>
      </c>
      <c r="P22" s="18">
        <f>_xll.BDH("TATASTL IN Equity","EFF_TAX_RATE","FY 2019","FY 2019","Currency=INR","Period=FY","BEST_FPERIOD_OVERRIDE=FY","FILING_STATUS=MR","EQY_CONSOLIDATED=Y","FA_ADJUSTED=GAAP","Sort=A","Dates=H","DateFormat=P","Fill=—","Direction=H","UseDPDF=Y")</f>
        <v>0</v>
      </c>
      <c r="Q22" s="18" t="str">
        <f>_xll.BDH("TATASTL IN Equity","EFF_TAX_RATE","FY 2020","FY 2020","Currency=INR","Period=FY","BEST_FPERIOD_OVERRIDE=FY","FILING_STATUS=MR","EQY_CONSOLIDATED=Y","FA_ADJUSTED=GAAP","Sort=A","Dates=H","DateFormat=P","Fill=—","Direction=H","UseDPDF=Y")</f>
        <v>—</v>
      </c>
      <c r="R22" s="18">
        <f>_xll.BDH("TATASTL IN Equity","EFF_TAX_RATE","FY 2021","FY 2021","Currency=INR","Period=FY","BEST_FPERIOD_OVERRIDE=FY","FILING_STATUS=MR","EQY_CONSOLIDATED=Y","FA_ADJUSTED=GAAP","Sort=A","Dates=H","DateFormat=P","Fill=—","Direction=H","UseDPDF=Y")</f>
        <v>4.3900000000000002E-2</v>
      </c>
    </row>
    <row r="23" spans="1:18" x14ac:dyDescent="0.25">
      <c r="A23" s="3" t="s">
        <v>57</v>
      </c>
      <c r="B23" s="3" t="s">
        <v>58</v>
      </c>
      <c r="C23" s="18">
        <f>_xll.BDH("TATASTL IN Equity","DVD_PAYOUT_RATIO","FY 2006","FY 2006","Currency=INR","Period=FY","BEST_FPERIOD_OVERRIDE=FY","FILING_STATUS=MR","EQY_CONSOLIDATED=Y","FA_ADJUSTED=GAAP","Sort=A","Dates=H","DateFormat=P","Fill=—","Direction=H","UseDPDF=Y")</f>
        <v>6.6803999999999997</v>
      </c>
      <c r="D23" s="18">
        <f>_xll.BDH("TATASTL IN Equity","DVD_PAYOUT_RATIO","FY 2007","FY 2007","Currency=INR","Period=FY","BEST_FPERIOD_OVERRIDE=FY","FILING_STATUS=MR","EQY_CONSOLIDATED=Y","FA_ADJUSTED=GAAP","Sort=A","Dates=H","DateFormat=P","Fill=—","Direction=H","UseDPDF=Y")</f>
        <v>3.3895</v>
      </c>
      <c r="E23" s="18">
        <f>_xll.BDH("TATASTL IN Equity","DVD_PAYOUT_RATIO","FY 2008","FY 2008","Currency=INR","Period=FY","BEST_FPERIOD_OVERRIDE=FY","FILING_STATUS=MR","EQY_CONSOLIDATED=Y","FA_ADJUSTED=GAAP","Sort=A","Dates=H","DateFormat=P","Fill=—","Direction=H","UseDPDF=Y")</f>
        <v>2.5055999999999998</v>
      </c>
      <c r="F23" s="18">
        <f>_xll.BDH("TATASTL IN Equity","DVD_PAYOUT_RATIO","FY 2009","FY 2009","Currency=INR","Period=FY","BEST_FPERIOD_OVERRIDE=FY","FILING_STATUS=MR","EQY_CONSOLIDATED=Y","FA_ADJUSTED=GAAP","Sort=A","Dates=H","DateFormat=P","Fill=—","Direction=H","UseDPDF=Y")</f>
        <v>2.4998</v>
      </c>
      <c r="G23" s="18">
        <f>_xll.BDH("TATASTL IN Equity","DVD_PAYOUT_RATIO","FY 2010","FY 2010","Currency=INR","Period=FY","BEST_FPERIOD_OVERRIDE=FY","FILING_STATUS=MR","EQY_CONSOLIDATED=Y","FA_ADJUSTED=GAAP","Sort=A","Dates=H","DateFormat=P","Fill=—","Direction=H","UseDPDF=Y")</f>
        <v>1.2596000000000001</v>
      </c>
      <c r="H23" s="18">
        <f>_xll.BDH("TATASTL IN Equity","DVD_PAYOUT_RATIO","FY 2011","FY 2011","Currency=INR","Period=FY","BEST_FPERIOD_OVERRIDE=FY","FILING_STATUS=MR","EQY_CONSOLIDATED=Y","FA_ADJUSTED=GAAP","Sort=A","Dates=H","DateFormat=P","Fill=—","Direction=H","UseDPDF=Y")</f>
        <v>1.0603</v>
      </c>
      <c r="I23" s="18">
        <f>_xll.BDH("TATASTL IN Equity","DVD_PAYOUT_RATIO","FY 2012","FY 2012","Currency=INR","Period=FY","BEST_FPERIOD_OVERRIDE=FY","FILING_STATUS=MR","EQY_CONSOLIDATED=Y","FA_ADJUSTED=GAAP","Sort=A","Dates=H","DateFormat=P","Fill=—","Direction=H","UseDPDF=Y")</f>
        <v>1.0559000000000001</v>
      </c>
      <c r="J23" s="18">
        <f>_xll.BDH("TATASTL IN Equity","DVD_PAYOUT_RATIO","FY 2013","FY 2013","Currency=INR","Period=FY","BEST_FPERIOD_OVERRIDE=FY","FILING_STATUS=MR","EQY_CONSOLIDATED=Y","FA_ADJUSTED=GAAP","Sort=A","Dates=H","DateFormat=P","Fill=—","Direction=H","UseDPDF=Y")</f>
        <v>1.1826000000000001</v>
      </c>
      <c r="K23" s="18">
        <f>_xll.BDH("TATASTL IN Equity","DVD_PAYOUT_RATIO","FY 2014","FY 2014","Currency=INR","Period=FY","BEST_FPERIOD_OVERRIDE=FY","FILING_STATUS=MR","EQY_CONSOLIDATED=Y","FA_ADJUSTED=GAAP","Sort=A","Dates=H","DateFormat=P","Fill=—","Direction=H","UseDPDF=Y")</f>
        <v>23.2394</v>
      </c>
      <c r="L23" s="18" t="str">
        <f>_xll.BDH("TATASTL IN Equity","DVD_PAYOUT_RATIO","FY 2015","FY 2015","Currency=INR","Period=FY","BEST_FPERIOD_OVERRIDE=FY","FILING_STATUS=MR","EQY_CONSOLIDATED=Y","FA_ADJUSTED=GAAP","Sort=A","Dates=H","DateFormat=P","Fill=—","Direction=H","UseDPDF=Y")</f>
        <v>—</v>
      </c>
      <c r="M23" s="18" t="str">
        <f>_xll.BDH("TATASTL IN Equity","DVD_PAYOUT_RATIO","FY 2016","FY 2016","Currency=INR","Period=FY","BEST_FPERIOD_OVERRIDE=FY","FILING_STATUS=MR","EQY_CONSOLIDATED=Y","FA_ADJUSTED=GAAP","Sort=A","Dates=H","DateFormat=P","Fill=—","Direction=H","UseDPDF=Y")</f>
        <v>—</v>
      </c>
      <c r="N23" s="18" t="str">
        <f>_xll.BDH("TATASTL IN Equity","DVD_PAYOUT_RATIO","FY 2017","FY 2017","Currency=INR","Period=FY","BEST_FPERIOD_OVERRIDE=FY","FILING_STATUS=MR","EQY_CONSOLIDATED=Y","FA_ADJUSTED=GAAP","Sort=A","Dates=H","DateFormat=P","Fill=—","Direction=H","UseDPDF=Y")</f>
        <v>—</v>
      </c>
      <c r="O23" s="18" t="str">
        <f>_xll.BDH("TATASTL IN Equity","DVD_PAYOUT_RATIO","FY 2018","FY 2018","Currency=INR","Period=FY","BEST_FPERIOD_OVERRIDE=FY","FILING_STATUS=MR","EQY_CONSOLIDATED=Y","FA_ADJUSTED=GAAP","Sort=A","Dates=H","DateFormat=P","Fill=—","Direction=H","UseDPDF=Y")</f>
        <v>—</v>
      </c>
      <c r="P23" s="18">
        <f>_xll.BDH("TATASTL IN Equity","DVD_PAYOUT_RATIO","FY 2019","FY 2019","Currency=INR","Period=FY","BEST_FPERIOD_OVERRIDE=FY","FILING_STATUS=MR","EQY_CONSOLIDATED=Y","FA_ADJUSTED=GAAP","Sort=A","Dates=H","DateFormat=P","Fill=—","Direction=H","UseDPDF=Y")</f>
        <v>0</v>
      </c>
      <c r="Q23" s="18" t="str">
        <f>_xll.BDH("TATASTL IN Equity","DVD_PAYOUT_RATIO","FY 2020","FY 2020","Currency=INR","Period=FY","BEST_FPERIOD_OVERRIDE=FY","FILING_STATUS=MR","EQY_CONSOLIDATED=Y","FA_ADJUSTED=GAAP","Sort=A","Dates=H","DateFormat=P","Fill=—","Direction=H","UseDPDF=Y")</f>
        <v>—</v>
      </c>
      <c r="R23" s="18">
        <f>_xll.BDH("TATASTL IN Equity","DVD_PAYOUT_RATIO","FY 2021","FY 2021","Currency=INR","Period=FY","BEST_FPERIOD_OVERRIDE=FY","FILING_STATUS=MR","EQY_CONSOLIDATED=Y","FA_ADJUSTED=GAAP","Sort=A","Dates=H","DateFormat=P","Fill=—","Direction=H","UseDPDF=Y")</f>
        <v>0</v>
      </c>
    </row>
    <row r="24" spans="1:18" x14ac:dyDescent="0.25">
      <c r="A24" s="3" t="s">
        <v>59</v>
      </c>
      <c r="B24" s="3" t="s">
        <v>60</v>
      </c>
      <c r="C24" s="18" t="str">
        <f>_xll.BDH("TATASTL IN Equity","SUSTAIN_GROWTH_RT","FY 2006","FY 2006","Currency=INR","Period=FY","BEST_FPERIOD_OVERRIDE=FY","FILING_STATUS=MR","EQY_CONSOLIDATED=Y","FA_ADJUSTED=GAAP","Sort=A","Dates=H","DateFormat=P","Fill=—","Direction=H","UseDPDF=Y")</f>
        <v>—</v>
      </c>
      <c r="D24" s="18">
        <f>_xll.BDH("TATASTL IN Equity","SUSTAIN_GROWTH_RT","FY 2007","FY 2007","Currency=INR","Period=FY","BEST_FPERIOD_OVERRIDE=FY","FILING_STATUS=MR","EQY_CONSOLIDATED=Y","FA_ADJUSTED=GAAP","Sort=A","Dates=H","DateFormat=P","Fill=—","Direction=H","UseDPDF=Y")</f>
        <v>28.716799999999999</v>
      </c>
      <c r="E24" s="18">
        <f>_xll.BDH("TATASTL IN Equity","SUSTAIN_GROWTH_RT","FY 2008","FY 2008","Currency=INR","Period=FY","BEST_FPERIOD_OVERRIDE=FY","FILING_STATUS=MR","EQY_CONSOLIDATED=Y","FA_ADJUSTED=GAAP","Sort=A","Dates=H","DateFormat=P","Fill=—","Direction=H","UseDPDF=Y")</f>
        <v>29.096299999999999</v>
      </c>
      <c r="F24" s="18">
        <f>_xll.BDH("TATASTL IN Equity","SUSTAIN_GROWTH_RT","FY 2009","FY 2009","Currency=INR","Period=FY","BEST_FPERIOD_OVERRIDE=FY","FILING_STATUS=MR","EQY_CONSOLIDATED=Y","FA_ADJUSTED=GAAP","Sort=A","Dates=H","DateFormat=P","Fill=—","Direction=H","UseDPDF=Y")</f>
        <v>22.6114</v>
      </c>
      <c r="G24" s="18">
        <f>_xll.BDH("TATASTL IN Equity","SUSTAIN_GROWTH_RT","FY 2010","FY 2010","Currency=INR","Period=FY","BEST_FPERIOD_OVERRIDE=FY","FILING_STATUS=MR","EQY_CONSOLIDATED=Y","FA_ADJUSTED=GAAP","Sort=A","Dates=H","DateFormat=P","Fill=—","Direction=H","UseDPDF=Y")</f>
        <v>27.782</v>
      </c>
      <c r="H24" s="18">
        <f>_xll.BDH("TATASTL IN Equity","SUSTAIN_GROWTH_RT","FY 2011","FY 2011","Currency=INR","Period=FY","BEST_FPERIOD_OVERRIDE=FY","FILING_STATUS=MR","EQY_CONSOLIDATED=Y","FA_ADJUSTED=GAAP","Sort=A","Dates=H","DateFormat=P","Fill=—","Direction=H","UseDPDF=Y")</f>
        <v>20.2285</v>
      </c>
      <c r="I24" s="18">
        <f>_xll.BDH("TATASTL IN Equity","SUSTAIN_GROWTH_RT","FY 2012","FY 2012","Currency=INR","Period=FY","BEST_FPERIOD_OVERRIDE=FY","FILING_STATUS=MR","EQY_CONSOLIDATED=Y","FA_ADJUSTED=GAAP","Sort=A","Dates=H","DateFormat=P","Fill=—","Direction=H","UseDPDF=Y")</f>
        <v>14.931699999999999</v>
      </c>
      <c r="J24" s="18">
        <f>_xll.BDH("TATASTL IN Equity","SUSTAIN_GROWTH_RT","FY 2013","FY 2013","Currency=INR","Period=FY","BEST_FPERIOD_OVERRIDE=FY","FILING_STATUS=MR","EQY_CONSOLIDATED=Y","FA_ADJUSTED=GAAP","Sort=A","Dates=H","DateFormat=P","Fill=—","Direction=H","UseDPDF=Y")</f>
        <v>10.683299999999999</v>
      </c>
      <c r="K24" s="18">
        <f>_xll.BDH("TATASTL IN Equity","SUSTAIN_GROWTH_RT","FY 2014","FY 2014","Currency=INR","Period=FY","BEST_FPERIOD_OVERRIDE=FY","FILING_STATUS=MR","EQY_CONSOLIDATED=Y","FA_ADJUSTED=GAAP","Sort=A","Dates=H","DateFormat=P","Fill=—","Direction=H","UseDPDF=Y")</f>
        <v>0.41149999999999998</v>
      </c>
      <c r="L24" s="18" t="str">
        <f>_xll.BDH("TATASTL IN Equity","SUSTAIN_GROWTH_RT","FY 2015","FY 2015","Currency=INR","Period=FY","BEST_FPERIOD_OVERRIDE=FY","FILING_STATUS=MR","EQY_CONSOLIDATED=Y","FA_ADJUSTED=GAAP","Sort=A","Dates=H","DateFormat=P","Fill=—","Direction=H","UseDPDF=Y")</f>
        <v>—</v>
      </c>
      <c r="M24" s="18" t="str">
        <f>_xll.BDH("TATASTL IN Equity","SUSTAIN_GROWTH_RT","FY 2016","FY 2016","Currency=INR","Period=FY","BEST_FPERIOD_OVERRIDE=FY","FILING_STATUS=MR","EQY_CONSOLIDATED=Y","FA_ADJUSTED=GAAP","Sort=A","Dates=H","DateFormat=P","Fill=—","Direction=H","UseDPDF=Y")</f>
        <v>—</v>
      </c>
      <c r="N24" s="18" t="str">
        <f>_xll.BDH("TATASTL IN Equity","SUSTAIN_GROWTH_RT","FY 2017","FY 2017","Currency=INR","Period=FY","BEST_FPERIOD_OVERRIDE=FY","FILING_STATUS=MR","EQY_CONSOLIDATED=Y","FA_ADJUSTED=GAAP","Sort=A","Dates=H","DateFormat=P","Fill=—","Direction=H","UseDPDF=Y")</f>
        <v>—</v>
      </c>
      <c r="O24" s="18" t="str">
        <f>_xll.BDH("TATASTL IN Equity","SUSTAIN_GROWTH_RT","FY 2018","FY 2018","Currency=INR","Period=FY","BEST_FPERIOD_OVERRIDE=FY","FILING_STATUS=MR","EQY_CONSOLIDATED=Y","FA_ADJUSTED=GAAP","Sort=A","Dates=H","DateFormat=P","Fill=—","Direction=H","UseDPDF=Y")</f>
        <v>—</v>
      </c>
      <c r="P24" s="18" t="str">
        <f>_xll.BDH("TATASTL IN Equity","SUSTAIN_GROWTH_RT","FY 2019","FY 2019","Currency=INR","Period=FY","BEST_FPERIOD_OVERRIDE=FY","FILING_STATUS=MR","EQY_CONSOLIDATED=Y","FA_ADJUSTED=GAAP","Sort=A","Dates=H","DateFormat=P","Fill=—","Direction=H","UseDPDF=Y")</f>
        <v>—</v>
      </c>
      <c r="Q24" s="18" t="str">
        <f>_xll.BDH("TATASTL IN Equity","SUSTAIN_GROWTH_RT","FY 2020","FY 2020","Currency=INR","Period=FY","BEST_FPERIOD_OVERRIDE=FY","FILING_STATUS=MR","EQY_CONSOLIDATED=Y","FA_ADJUSTED=GAAP","Sort=A","Dates=H","DateFormat=P","Fill=—","Direction=H","UseDPDF=Y")</f>
        <v>—</v>
      </c>
      <c r="R24" s="18">
        <f>_xll.BDH("TATASTL IN Equity","SUSTAIN_GROWTH_RT","FY 2021","FY 2021","Currency=INR","Period=FY","BEST_FPERIOD_OVERRIDE=FY","FILING_STATUS=MR","EQY_CONSOLIDATED=Y","FA_ADJUSTED=GAAP","Sort=A","Dates=H","DateFormat=P","Fill=—","Direction=H","UseDPDF=Y")</f>
        <v>12.753500000000001</v>
      </c>
    </row>
    <row r="25" spans="1:18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675E-04F8-4ED7-910F-B77A9C99B097}">
  <dimension ref="A1:U24"/>
  <sheetViews>
    <sheetView workbookViewId="0">
      <selection activeCell="I30" sqref="I30"/>
    </sheetView>
  </sheetViews>
  <sheetFormatPr defaultRowHeight="15" x14ac:dyDescent="0.25"/>
  <cols>
    <col min="1" max="1" width="35.140625" customWidth="1"/>
    <col min="2" max="2" width="0" hidden="1" customWidth="1"/>
    <col min="3" max="21" width="11.85546875" customWidth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0.25" x14ac:dyDescent="0.25">
      <c r="A2" s="14" t="s">
        <v>111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6" t="s">
        <v>3</v>
      </c>
      <c r="B4" s="6"/>
      <c r="C4" s="5" t="s">
        <v>6</v>
      </c>
      <c r="D4" s="5" t="s">
        <v>1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92</v>
      </c>
      <c r="N4" s="5" t="s">
        <v>93</v>
      </c>
      <c r="O4" s="5" t="s">
        <v>94</v>
      </c>
      <c r="P4" s="5" t="s">
        <v>95</v>
      </c>
      <c r="Q4" s="5" t="s">
        <v>96</v>
      </c>
      <c r="R4" s="5" t="s">
        <v>97</v>
      </c>
      <c r="S4" s="5" t="s">
        <v>98</v>
      </c>
      <c r="T4" s="5" t="s">
        <v>99</v>
      </c>
      <c r="U4" s="5" t="s">
        <v>112</v>
      </c>
    </row>
    <row r="5" spans="1:21" x14ac:dyDescent="0.25">
      <c r="A5" s="15" t="s">
        <v>15</v>
      </c>
      <c r="B5" s="15"/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100</v>
      </c>
      <c r="N5" s="4" t="s">
        <v>101</v>
      </c>
      <c r="O5" s="4" t="s">
        <v>102</v>
      </c>
      <c r="P5" s="4" t="s">
        <v>103</v>
      </c>
      <c r="Q5" s="4" t="s">
        <v>104</v>
      </c>
      <c r="R5" s="4" t="s">
        <v>105</v>
      </c>
      <c r="S5" s="4" t="s">
        <v>106</v>
      </c>
      <c r="T5" s="4" t="s">
        <v>107</v>
      </c>
      <c r="U5" s="4" t="s">
        <v>113</v>
      </c>
    </row>
    <row r="6" spans="1:21" x14ac:dyDescent="0.25">
      <c r="A6" s="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x14ac:dyDescent="0.25">
      <c r="A7" s="3" t="s">
        <v>29</v>
      </c>
      <c r="B7" s="3" t="s">
        <v>30</v>
      </c>
      <c r="C7" s="18" t="str">
        <f>_xll.BDH("DEWH IN Equity","RETURN_COM_EQY","FY 2004","FY 2004","Currency=INR","Period=FY","BEST_FPERIOD_OVERRIDE=FY","FILING_STATUS=MR","EQY_CONSOLIDATED=Y","FA_ADJUSTED=GAAP","Sort=A","Dates=H","DateFormat=P","Fill=—","Direction=H","UseDPDF=Y")</f>
        <v>—</v>
      </c>
      <c r="D7" s="18">
        <f>_xll.BDH("DEWH IN Equity","RETURN_COM_EQY","FY 2005","FY 2005","Currency=INR","Period=FY","BEST_FPERIOD_OVERRIDE=FY","FILING_STATUS=MR","EQY_CONSOLIDATED=Y","FA_ADJUSTED=GAAP","Sort=A","Dates=H","DateFormat=P","Fill=—","Direction=H","UseDPDF=Y")</f>
        <v>18.3917</v>
      </c>
      <c r="E7" s="18">
        <f>_xll.BDH("DEWH IN Equity","RETURN_COM_EQY","FY 2006","FY 2006","Currency=INR","Period=FY","BEST_FPERIOD_OVERRIDE=FY","FILING_STATUS=MR","EQY_CONSOLIDATED=Y","FA_ADJUSTED=GAAP","Sort=A","Dates=H","DateFormat=P","Fill=—","Direction=H","UseDPDF=Y")</f>
        <v>18.514099999999999</v>
      </c>
      <c r="F7" s="18">
        <f>_xll.BDH("DEWH IN Equity","RETURN_COM_EQY","FY 2007","FY 2007","Currency=INR","Period=FY","BEST_FPERIOD_OVERRIDE=FY","FILING_STATUS=MR","EQY_CONSOLIDATED=Y","FA_ADJUSTED=GAAP","Sort=A","Dates=H","DateFormat=P","Fill=—","Direction=H","UseDPDF=Y")</f>
        <v>16.8704</v>
      </c>
      <c r="G7" s="18">
        <f>_xll.BDH("DEWH IN Equity","RETURN_COM_EQY","FY 2008","FY 2008","Currency=INR","Period=FY","BEST_FPERIOD_OVERRIDE=FY","FILING_STATUS=MR","EQY_CONSOLIDATED=Y","FA_ADJUSTED=GAAP","Sort=A","Dates=H","DateFormat=P","Fill=—","Direction=H","UseDPDF=Y")</f>
        <v>22.1693</v>
      </c>
      <c r="H7" s="18">
        <f>_xll.BDH("DEWH IN Equity","RETURN_COM_EQY","FY 2009","FY 2009","Currency=INR","Period=FY","BEST_FPERIOD_OVERRIDE=FY","FILING_STATUS=MR","EQY_CONSOLIDATED=Y","FA_ADJUSTED=GAAP","Sort=A","Dates=H","DateFormat=P","Fill=—","Direction=H","UseDPDF=Y")</f>
        <v>19.659400000000002</v>
      </c>
      <c r="I7" s="18">
        <f>_xll.BDH("DEWH IN Equity","RETURN_COM_EQY","FY 2010","FY 2010","Currency=INR","Period=FY","BEST_FPERIOD_OVERRIDE=FY","FILING_STATUS=MR","EQY_CONSOLIDATED=Y","FA_ADJUSTED=GAAP","Sort=A","Dates=H","DateFormat=P","Fill=—","Direction=H","UseDPDF=Y")</f>
        <v>22.0396</v>
      </c>
      <c r="J7" s="18">
        <f>_xll.BDH("DEWH IN Equity","RETURN_COM_EQY","FY 2011","FY 2011","Currency=INR","Period=FY","BEST_FPERIOD_OVERRIDE=FY","FILING_STATUS=MR","EQY_CONSOLIDATED=Y","FA_ADJUSTED=GAAP","Sort=A","Dates=H","DateFormat=P","Fill=—","Direction=H","UseDPDF=Y")</f>
        <v>26.978300000000001</v>
      </c>
      <c r="K7" s="18">
        <f>_xll.BDH("DEWH IN Equity","RETURN_COM_EQY","FY 2012","FY 2012","Currency=INR","Period=FY","BEST_FPERIOD_OVERRIDE=FY","FILING_STATUS=MR","EQY_CONSOLIDATED=Y","FA_ADJUSTED=GAAP","Sort=A","Dates=H","DateFormat=P","Fill=—","Direction=H","UseDPDF=Y")</f>
        <v>18.099699999999999</v>
      </c>
      <c r="L7" s="18">
        <f>_xll.BDH("DEWH IN Equity","RETURN_COM_EQY","FY 2013","FY 2013","Currency=INR","Period=FY","BEST_FPERIOD_OVERRIDE=FY","FILING_STATUS=MR","EQY_CONSOLIDATED=Y","FA_ADJUSTED=GAAP","Sort=A","Dates=H","DateFormat=P","Fill=—","Direction=H","UseDPDF=Y")</f>
        <v>17.185300000000002</v>
      </c>
      <c r="M7" s="18">
        <f>_xll.BDH("DEWH IN Equity","RETURN_COM_EQY","FY 2014","FY 2014","Currency=INR","Period=FY","BEST_FPERIOD_OVERRIDE=FY","FILING_STATUS=MR","EQY_CONSOLIDATED=Y","FA_ADJUSTED=GAAP","Sort=A","Dates=H","DateFormat=P","Fill=—","Direction=H","UseDPDF=Y")</f>
        <v>15.5313</v>
      </c>
      <c r="N7" s="18">
        <f>_xll.BDH("DEWH IN Equity","RETURN_COM_EQY","FY 2015","FY 2015","Currency=INR","Period=FY","BEST_FPERIOD_OVERRIDE=FY","FILING_STATUS=MR","EQY_CONSOLIDATED=Y","FA_ADJUSTED=GAAP","Sort=A","Dates=H","DateFormat=P","Fill=—","Direction=H","UseDPDF=Y")</f>
        <v>15.133599999999999</v>
      </c>
      <c r="O7" s="18">
        <f>_xll.BDH("DEWH IN Equity","RETURN_COM_EQY","FY 2016","FY 2016","Currency=INR","Period=FY","BEST_FPERIOD_OVERRIDE=FY","FILING_STATUS=MR","EQY_CONSOLIDATED=Y","FA_ADJUSTED=GAAP","Sort=A","Dates=H","DateFormat=P","Fill=—","Direction=H","UseDPDF=Y")</f>
        <v>14.947800000000001</v>
      </c>
      <c r="P7" s="18">
        <f>_xll.BDH("DEWH IN Equity","RETURN_COM_EQY","FY 2017","FY 2017","Currency=INR","Period=FY","BEST_FPERIOD_OVERRIDE=FY","FILING_STATUS=MR","EQY_CONSOLIDATED=Y","FA_ADJUSTED=GAAP","Sort=A","Dates=H","DateFormat=P","Fill=—","Direction=H","UseDPDF=Y")</f>
        <v>42.777700000000003</v>
      </c>
      <c r="Q7" s="18">
        <f>_xll.BDH("DEWH IN Equity","RETURN_COM_EQY","FY 2018","FY 2018","Currency=INR","Period=FY","BEST_FPERIOD_OVERRIDE=FY","FILING_STATUS=MR","EQY_CONSOLIDATED=Y","FA_ADJUSTED=GAAP","Sort=A","Dates=H","DateFormat=P","Fill=—","Direction=H","UseDPDF=Y")</f>
        <v>15.1037</v>
      </c>
      <c r="R7" s="18">
        <f>_xll.BDH("DEWH IN Equity","RETURN_COM_EQY","FY 2019","FY 2019","Currency=INR","Period=FY","BEST_FPERIOD_OVERRIDE=FY","FILING_STATUS=MR","EQY_CONSOLIDATED=Y","FA_ADJUSTED=GAAP","Sort=A","Dates=H","DateFormat=P","Fill=—","Direction=H","UseDPDF=Y")</f>
        <v>-11.407</v>
      </c>
      <c r="S7" s="18" t="str">
        <f>_xll.BDH("DEWH IN Equity","RETURN_COM_EQY","FY 2020","FY 2020","Currency=INR","Period=FY","BEST_FPERIOD_OVERRIDE=FY","FILING_STATUS=MR","EQY_CONSOLIDATED=Y","FA_ADJUSTED=GAAP","Sort=A","Dates=H","DateFormat=P","Fill=—","Direction=H","UseDPDF=Y")</f>
        <v>—</v>
      </c>
      <c r="T7" s="18" t="str">
        <f>_xll.BDH("DEWH IN Equity","RETURN_COM_EQY","FY 2021","FY 2021","Currency=INR","Period=FY","BEST_FPERIOD_OVERRIDE=FY","FILING_STATUS=MR","EQY_CONSOLIDATED=Y","FA_ADJUSTED=GAAP","Sort=A","Dates=H","DateFormat=P","Fill=—","Direction=H","UseDPDF=Y")</f>
        <v>—</v>
      </c>
      <c r="U7" s="18" t="str">
        <f>_xll.BDH("DEWH IN Equity","RETURN_COM_EQY","FY 2022","FY 2022","Currency=INR","Period=FY","BEST_FPERIOD_OVERRIDE=FY","FILING_STATUS=MR","EQY_CONSOLIDATED=Y","FA_ADJUSTED=GAAP","Sort=A","Dates=H","DateFormat=P","Fill=—","Direction=H","UseDPDF=Y")</f>
        <v>—</v>
      </c>
    </row>
    <row r="8" spans="1:21" x14ac:dyDescent="0.25">
      <c r="A8" s="3" t="s">
        <v>31</v>
      </c>
      <c r="B8" s="3" t="s">
        <v>32</v>
      </c>
      <c r="C8" s="18" t="str">
        <f>_xll.BDH("DEWH IN Equity","RETURN_ON_ASSET","FY 2004","FY 2004","Currency=INR","Period=FY","BEST_FPERIOD_OVERRIDE=FY","FILING_STATUS=MR","EQY_CONSOLIDATED=Y","FA_ADJUSTED=GAAP","Sort=A","Dates=H","DateFormat=P","Fill=—","Direction=H","UseDPDF=Y")</f>
        <v>—</v>
      </c>
      <c r="D8" s="18">
        <f>_xll.BDH("DEWH IN Equity","RETURN_ON_ASSET","FY 2005","FY 2005","Currency=INR","Period=FY","BEST_FPERIOD_OVERRIDE=FY","FILING_STATUS=MR","EQY_CONSOLIDATED=Y","FA_ADJUSTED=GAAP","Sort=A","Dates=H","DateFormat=P","Fill=—","Direction=H","UseDPDF=Y")</f>
        <v>1.8689</v>
      </c>
      <c r="E8" s="18">
        <f>_xll.BDH("DEWH IN Equity","RETURN_ON_ASSET","FY 2006","FY 2006","Currency=INR","Period=FY","BEST_FPERIOD_OVERRIDE=FY","FILING_STATUS=MR","EQY_CONSOLIDATED=Y","FA_ADJUSTED=GAAP","Sort=A","Dates=H","DateFormat=P","Fill=—","Direction=H","UseDPDF=Y")</f>
        <v>1.8507</v>
      </c>
      <c r="F8" s="18">
        <f>_xll.BDH("DEWH IN Equity","RETURN_ON_ASSET","FY 2007","FY 2007","Currency=INR","Period=FY","BEST_FPERIOD_OVERRIDE=FY","FILING_STATUS=MR","EQY_CONSOLIDATED=Y","FA_ADJUSTED=GAAP","Sort=A","Dates=H","DateFormat=P","Fill=—","Direction=H","UseDPDF=Y")</f>
        <v>1.5435000000000001</v>
      </c>
      <c r="G8" s="18">
        <f>_xll.BDH("DEWH IN Equity","RETURN_ON_ASSET","FY 2008","FY 2008","Currency=INR","Period=FY","BEST_FPERIOD_OVERRIDE=FY","FILING_STATUS=MR","EQY_CONSOLIDATED=Y","FA_ADJUSTED=GAAP","Sort=A","Dates=H","DateFormat=P","Fill=—","Direction=H","UseDPDF=Y")</f>
        <v>1.9685999999999999</v>
      </c>
      <c r="H8" s="18">
        <f>_xll.BDH("DEWH IN Equity","RETURN_ON_ASSET","FY 2009","FY 2009","Currency=INR","Period=FY","BEST_FPERIOD_OVERRIDE=FY","FILING_STATUS=MR","EQY_CONSOLIDATED=Y","FA_ADJUSTED=GAAP","Sort=A","Dates=H","DateFormat=P","Fill=—","Direction=H","UseDPDF=Y")</f>
        <v>1.6371</v>
      </c>
      <c r="I8" s="18">
        <f>_xll.BDH("DEWH IN Equity","RETURN_ON_ASSET","FY 2010","FY 2010","Currency=INR","Period=FY","BEST_FPERIOD_OVERRIDE=FY","FILING_STATUS=MR","EQY_CONSOLIDATED=Y","FA_ADJUSTED=GAAP","Sort=A","Dates=H","DateFormat=P","Fill=—","Direction=H","UseDPDF=Y")</f>
        <v>1.8005</v>
      </c>
      <c r="J8" s="18">
        <f>_xll.BDH("DEWH IN Equity","RETURN_ON_ASSET","FY 2011","FY 2011","Currency=INR","Period=FY","BEST_FPERIOD_OVERRIDE=FY","FILING_STATUS=MR","EQY_CONSOLIDATED=Y","FA_ADJUSTED=GAAP","Sort=A","Dates=H","DateFormat=P","Fill=—","Direction=H","UseDPDF=Y")</f>
        <v>1.9779</v>
      </c>
      <c r="K8" s="18">
        <f>_xll.BDH("DEWH IN Equity","RETURN_ON_ASSET","FY 2012","FY 2012","Currency=INR","Period=FY","BEST_FPERIOD_OVERRIDE=FY","FILING_STATUS=MR","EQY_CONSOLIDATED=Y","FA_ADJUSTED=GAAP","Sort=A","Dates=H","DateFormat=P","Fill=—","Direction=H","UseDPDF=Y")</f>
        <v>1.2779</v>
      </c>
      <c r="L8" s="18">
        <f>_xll.BDH("DEWH IN Equity","RETURN_ON_ASSET","FY 2013","FY 2013","Currency=INR","Period=FY","BEST_FPERIOD_OVERRIDE=FY","FILING_STATUS=MR","EQY_CONSOLIDATED=Y","FA_ADJUSTED=GAAP","Sort=A","Dates=H","DateFormat=P","Fill=—","Direction=H","UseDPDF=Y")</f>
        <v>1.4218</v>
      </c>
      <c r="M8" s="18">
        <f>_xll.BDH("DEWH IN Equity","RETURN_ON_ASSET","FY 2014","FY 2014","Currency=INR","Period=FY","BEST_FPERIOD_OVERRIDE=FY","FILING_STATUS=MR","EQY_CONSOLIDATED=Y","FA_ADJUSTED=GAAP","Sort=A","Dates=H","DateFormat=P","Fill=—","Direction=H","UseDPDF=Y")</f>
        <v>1.3281000000000001</v>
      </c>
      <c r="N8" s="18">
        <f>_xll.BDH("DEWH IN Equity","RETURN_ON_ASSET","FY 2015","FY 2015","Currency=INR","Period=FY","BEST_FPERIOD_OVERRIDE=FY","FILING_STATUS=MR","EQY_CONSOLIDATED=Y","FA_ADJUSTED=GAAP","Sort=A","Dates=H","DateFormat=P","Fill=—","Direction=H","UseDPDF=Y")</f>
        <v>1.2618</v>
      </c>
      <c r="O8" s="18">
        <f>_xll.BDH("DEWH IN Equity","RETURN_ON_ASSET","FY 2016","FY 2016","Currency=INR","Period=FY","BEST_FPERIOD_OVERRIDE=FY","FILING_STATUS=MR","EQY_CONSOLIDATED=Y","FA_ADJUSTED=GAAP","Sort=A","Dates=H","DateFormat=P","Fill=—","Direction=H","UseDPDF=Y")</f>
        <v>1.2099</v>
      </c>
      <c r="P8" s="18">
        <f>_xll.BDH("DEWH IN Equity","RETURN_ON_ASSET","FY 2017","FY 2017","Currency=INR","Period=FY","BEST_FPERIOD_OVERRIDE=FY","FILING_STATUS=MR","EQY_CONSOLIDATED=Y","FA_ADJUSTED=GAAP","Sort=A","Dates=H","DateFormat=P","Fill=—","Direction=H","UseDPDF=Y")</f>
        <v>3.4744999999999999</v>
      </c>
      <c r="Q8" s="18">
        <f>_xll.BDH("DEWH IN Equity","RETURN_ON_ASSET","FY 2018","FY 2018","Currency=INR","Period=FY","BEST_FPERIOD_OVERRIDE=FY","FILING_STATUS=MR","EQY_CONSOLIDATED=Y","FA_ADJUSTED=GAAP","Sort=A","Dates=H","DateFormat=P","Fill=—","Direction=H","UseDPDF=Y")</f>
        <v>1.272</v>
      </c>
      <c r="R8" s="18">
        <f>_xll.BDH("DEWH IN Equity","RETURN_ON_ASSET","FY 2019","FY 2019","Currency=INR","Period=FY","BEST_FPERIOD_OVERRIDE=FY","FILING_STATUS=MR","EQY_CONSOLIDATED=Y","FA_ADJUSTED=GAAP","Sort=A","Dates=H","DateFormat=P","Fill=—","Direction=H","UseDPDF=Y")</f>
        <v>-0.90720000000000001</v>
      </c>
      <c r="S8" s="18">
        <f>_xll.BDH("DEWH IN Equity","RETURN_ON_ASSET","FY 2020","FY 2020","Currency=INR","Period=FY","BEST_FPERIOD_OVERRIDE=FY","FILING_STATUS=MR","EQY_CONSOLIDATED=Y","FA_ADJUSTED=GAAP","Sort=A","Dates=H","DateFormat=P","Fill=—","Direction=H","UseDPDF=Y")</f>
        <v>-13.9626</v>
      </c>
      <c r="T8" s="18">
        <f>_xll.BDH("DEWH IN Equity","RETURN_ON_ASSET","FY 2021","FY 2021","Currency=INR","Period=FY","BEST_FPERIOD_OVERRIDE=FY","FILING_STATUS=MR","EQY_CONSOLIDATED=Y","FA_ADJUSTED=GAAP","Sort=A","Dates=H","DateFormat=P","Fill=—","Direction=H","UseDPDF=Y")</f>
        <v>-19.234999999999999</v>
      </c>
      <c r="U8" s="18">
        <f>_xll.BDH("DEWH IN Equity","RETURN_ON_ASSET","FY 2022","FY 2022","Currency=INR","Period=FY","BEST_FPERIOD_OVERRIDE=FY","FILING_STATUS=MR","EQY_CONSOLIDATED=Y","FA_ADJUSTED=GAAP","Sort=A","Dates=H","DateFormat=P","Fill=—","Direction=H","UseDPDF=Y")</f>
        <v>0.72019999999999995</v>
      </c>
    </row>
    <row r="9" spans="1:21" x14ac:dyDescent="0.25">
      <c r="A9" s="3" t="s">
        <v>33</v>
      </c>
      <c r="B9" s="3" t="s">
        <v>34</v>
      </c>
      <c r="C9" s="18" t="str">
        <f>_xll.BDH("DEWH IN Equity","RETURN_ON_CAP","FY 2004","FY 2004","Currency=INR","Period=FY","BEST_FPERIOD_OVERRIDE=FY","FILING_STATUS=MR","EQY_CONSOLIDATED=Y","FA_ADJUSTED=GAAP","Sort=A","Dates=H","DateFormat=P","Fill=—","Direction=H","UseDPDF=Y")</f>
        <v>—</v>
      </c>
      <c r="D9" s="18">
        <f>_xll.BDH("DEWH IN Equity","RETURN_ON_CAP","FY 2005","FY 2005","Currency=INR","Period=FY","BEST_FPERIOD_OVERRIDE=FY","FILING_STATUS=MR","EQY_CONSOLIDATED=Y","FA_ADJUSTED=GAAP","Sort=A","Dates=H","DateFormat=P","Fill=—","Direction=H","UseDPDF=Y")</f>
        <v>1.9140999999999999</v>
      </c>
      <c r="E9" s="18">
        <f>_xll.BDH("DEWH IN Equity","RETURN_ON_CAP","FY 2006","FY 2006","Currency=INR","Period=FY","BEST_FPERIOD_OVERRIDE=FY","FILING_STATUS=MR","EQY_CONSOLIDATED=Y","FA_ADJUSTED=GAAP","Sort=A","Dates=H","DateFormat=P","Fill=—","Direction=H","UseDPDF=Y")</f>
        <v>1.9710000000000001</v>
      </c>
      <c r="F9" s="18">
        <f>_xll.BDH("DEWH IN Equity","RETURN_ON_CAP","FY 2007","FY 2007","Currency=INR","Period=FY","BEST_FPERIOD_OVERRIDE=FY","FILING_STATUS=MR","EQY_CONSOLIDATED=Y","FA_ADJUSTED=GAAP","Sort=A","Dates=H","DateFormat=P","Fill=—","Direction=H","UseDPDF=Y")</f>
        <v>1.6548</v>
      </c>
      <c r="G9" s="18">
        <f>_xll.BDH("DEWH IN Equity","RETURN_ON_CAP","FY 2008","FY 2008","Currency=INR","Period=FY","BEST_FPERIOD_OVERRIDE=FY","FILING_STATUS=MR","EQY_CONSOLIDATED=Y","FA_ADJUSTED=GAAP","Sort=A","Dates=H","DateFormat=P","Fill=—","Direction=H","UseDPDF=Y")</f>
        <v>2.0407000000000002</v>
      </c>
      <c r="H9" s="18">
        <f>_xll.BDH("DEWH IN Equity","RETURN_ON_CAP","FY 2009","FY 2009","Currency=INR","Period=FY","BEST_FPERIOD_OVERRIDE=FY","FILING_STATUS=MR","EQY_CONSOLIDATED=Y","FA_ADJUSTED=GAAP","Sort=A","Dates=H","DateFormat=P","Fill=—","Direction=H","UseDPDF=Y")</f>
        <v>1.6949000000000001</v>
      </c>
      <c r="I9" s="18">
        <f>_xll.BDH("DEWH IN Equity","RETURN_ON_CAP","FY 2010","FY 2010","Currency=INR","Period=FY","BEST_FPERIOD_OVERRIDE=FY","FILING_STATUS=MR","EQY_CONSOLIDATED=Y","FA_ADJUSTED=GAAP","Sort=A","Dates=H","DateFormat=P","Fill=—","Direction=H","UseDPDF=Y")</f>
        <v>1.87</v>
      </c>
      <c r="J9" s="18">
        <f>_xll.BDH("DEWH IN Equity","RETURN_ON_CAP","FY 2011","FY 2011","Currency=INR","Period=FY","BEST_FPERIOD_OVERRIDE=FY","FILING_STATUS=MR","EQY_CONSOLIDATED=Y","FA_ADJUSTED=GAAP","Sort=A","Dates=H","DateFormat=P","Fill=—","Direction=H","UseDPDF=Y")</f>
        <v>2.3917000000000002</v>
      </c>
      <c r="K9" s="18">
        <f>_xll.BDH("DEWH IN Equity","RETURN_ON_CAP","FY 2012","FY 2012","Currency=INR","Period=FY","BEST_FPERIOD_OVERRIDE=FY","FILING_STATUS=MR","EQY_CONSOLIDATED=Y","FA_ADJUSTED=GAAP","Sort=A","Dates=H","DateFormat=P","Fill=—","Direction=H","UseDPDF=Y")</f>
        <v>1.6342000000000001</v>
      </c>
      <c r="L9" s="18">
        <f>_xll.BDH("DEWH IN Equity","RETURN_ON_CAP","FY 2013","FY 2013","Currency=INR","Period=FY","BEST_FPERIOD_OVERRIDE=FY","FILING_STATUS=MR","EQY_CONSOLIDATED=Y","FA_ADJUSTED=GAAP","Sort=A","Dates=H","DateFormat=P","Fill=—","Direction=H","UseDPDF=Y")</f>
        <v>1.6536</v>
      </c>
      <c r="M9" s="18">
        <f>_xll.BDH("DEWH IN Equity","RETURN_ON_CAP","FY 2014","FY 2014","Currency=INR","Period=FY","BEST_FPERIOD_OVERRIDE=FY","FILING_STATUS=MR","EQY_CONSOLIDATED=Y","FA_ADJUSTED=GAAP","Sort=A","Dates=H","DateFormat=P","Fill=—","Direction=H","UseDPDF=Y")</f>
        <v>1.5526</v>
      </c>
      <c r="N9" s="18">
        <f>_xll.BDH("DEWH IN Equity","RETURN_ON_CAP","FY 2015","FY 2015","Currency=INR","Period=FY","BEST_FPERIOD_OVERRIDE=FY","FILING_STATUS=MR","EQY_CONSOLIDATED=Y","FA_ADJUSTED=GAAP","Sort=A","Dates=H","DateFormat=P","Fill=—","Direction=H","UseDPDF=Y")</f>
        <v>1.5042</v>
      </c>
      <c r="O9" s="18">
        <f>_xll.BDH("DEWH IN Equity","RETURN_ON_CAP","FY 2016","FY 2016","Currency=INR","Period=FY","BEST_FPERIOD_OVERRIDE=FY","FILING_STATUS=MR","EQY_CONSOLIDATED=Y","FA_ADJUSTED=GAAP","Sort=A","Dates=H","DateFormat=P","Fill=—","Direction=H","UseDPDF=Y")</f>
        <v>1.343</v>
      </c>
      <c r="P9" s="18">
        <f>_xll.BDH("DEWH IN Equity","RETURN_ON_CAP","FY 2017","FY 2017","Currency=INR","Period=FY","BEST_FPERIOD_OVERRIDE=FY","FILING_STATUS=MR","EQY_CONSOLIDATED=Y","FA_ADJUSTED=GAAP","Sort=A","Dates=H","DateFormat=P","Fill=—","Direction=H","UseDPDF=Y")</f>
        <v>3.8591000000000002</v>
      </c>
      <c r="Q9" s="18">
        <f>_xll.BDH("DEWH IN Equity","RETURN_ON_CAP","FY 2018","FY 2018","Currency=INR","Period=FY","BEST_FPERIOD_OVERRIDE=FY","FILING_STATUS=MR","EQY_CONSOLIDATED=Y","FA_ADJUSTED=GAAP","Sort=A","Dates=H","DateFormat=P","Fill=—","Direction=H","UseDPDF=Y")</f>
        <v>1.4933000000000001</v>
      </c>
      <c r="R9" s="18">
        <f>_xll.BDH("DEWH IN Equity","RETURN_ON_CAP","FY 2019","FY 2019","Currency=INR","Period=FY","BEST_FPERIOD_OVERRIDE=FY","FILING_STATUS=MR","EQY_CONSOLIDATED=Y","FA_ADJUSTED=GAAP","Sort=A","Dates=H","DateFormat=P","Fill=—","Direction=H","UseDPDF=Y")</f>
        <v>-1.0336000000000001</v>
      </c>
      <c r="S9" s="18">
        <f>_xll.BDH("DEWH IN Equity","RETURN_ON_CAP","FY 2020","FY 2020","Currency=INR","Period=FY","BEST_FPERIOD_OVERRIDE=FY","FILING_STATUS=MR","EQY_CONSOLIDATED=Y","FA_ADJUSTED=GAAP","Sort=A","Dates=H","DateFormat=P","Fill=—","Direction=H","UseDPDF=Y")</f>
        <v>-15.368499999999999</v>
      </c>
      <c r="T9" s="18">
        <f>_xll.BDH("DEWH IN Equity","RETURN_ON_CAP","FY 2021","FY 2021","Currency=INR","Period=FY","BEST_FPERIOD_OVERRIDE=FY","FILING_STATUS=MR","EQY_CONSOLIDATED=Y","FA_ADJUSTED=GAAP","Sort=A","Dates=H","DateFormat=P","Fill=—","Direction=H","UseDPDF=Y")</f>
        <v>-21.3323</v>
      </c>
      <c r="U9" s="18">
        <f>_xll.BDH("DEWH IN Equity","RETURN_ON_CAP","FY 2022","FY 2022","Currency=INR","Period=FY","BEST_FPERIOD_OVERRIDE=FY","FILING_STATUS=MR","EQY_CONSOLIDATED=Y","FA_ADJUSTED=GAAP","Sort=A","Dates=H","DateFormat=P","Fill=—","Direction=H","UseDPDF=Y")</f>
        <v>1.081</v>
      </c>
    </row>
    <row r="10" spans="1:21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2" t="s">
        <v>37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x14ac:dyDescent="0.25">
      <c r="A12" s="3" t="s">
        <v>40</v>
      </c>
      <c r="B12" s="3" t="s">
        <v>41</v>
      </c>
      <c r="C12" s="18">
        <f>_xll.BDH("DEWH IN Equity","EBITDA_TO_REVENUE","FY 2004","FY 2004","Currency=INR","Period=FY","BEST_FPERIOD_OVERRIDE=FY","FILING_STATUS=MR","EQY_CONSOLIDATED=Y","FA_ADJUSTED=GAAP","Sort=A","Dates=H","DateFormat=P","Fill=—","Direction=H","UseDPDF=Y")</f>
        <v>85.024799999999999</v>
      </c>
      <c r="D12" s="18">
        <f>_xll.BDH("DEWH IN Equity","EBITDA_TO_REVENUE","FY 2005","FY 2005","Currency=INR","Period=FY","BEST_FPERIOD_OVERRIDE=FY","FILING_STATUS=MR","EQY_CONSOLIDATED=Y","FA_ADJUSTED=GAAP","Sort=A","Dates=H","DateFormat=P","Fill=—","Direction=H","UseDPDF=Y")</f>
        <v>85.752300000000005</v>
      </c>
      <c r="E12" s="18">
        <f>_xll.BDH("DEWH IN Equity","EBITDA_TO_REVENUE","FY 2006","FY 2006","Currency=INR","Period=FY","BEST_FPERIOD_OVERRIDE=FY","FILING_STATUS=MR","EQY_CONSOLIDATED=Y","FA_ADJUSTED=GAAP","Sort=A","Dates=H","DateFormat=P","Fill=—","Direction=H","UseDPDF=Y")</f>
        <v>85.796499999999995</v>
      </c>
      <c r="F12" s="18">
        <f>_xll.BDH("DEWH IN Equity","EBITDA_TO_REVENUE","FY 2007","FY 2007","Currency=INR","Period=FY","BEST_FPERIOD_OVERRIDE=FY","FILING_STATUS=MR","EQY_CONSOLIDATED=Y","FA_ADJUSTED=GAAP","Sort=A","Dates=H","DateFormat=P","Fill=—","Direction=H","UseDPDF=Y")</f>
        <v>88.816900000000004</v>
      </c>
      <c r="G12" s="18">
        <f>_xll.BDH("DEWH IN Equity","EBITDA_TO_REVENUE","FY 2008","FY 2008","Currency=INR","Period=FY","BEST_FPERIOD_OVERRIDE=FY","FILING_STATUS=MR","EQY_CONSOLIDATED=Y","FA_ADJUSTED=GAAP","Sort=A","Dates=H","DateFormat=P","Fill=—","Direction=H","UseDPDF=Y")</f>
        <v>90.640199999999993</v>
      </c>
      <c r="H12" s="18">
        <f>_xll.BDH("DEWH IN Equity","EBITDA_TO_REVENUE","FY 2009","FY 2009","Currency=INR","Period=FY","BEST_FPERIOD_OVERRIDE=FY","FILING_STATUS=MR","EQY_CONSOLIDATED=Y","FA_ADJUSTED=GAAP","Sort=A","Dates=H","DateFormat=P","Fill=—","Direction=H","UseDPDF=Y")</f>
        <v>89.375399999999999</v>
      </c>
      <c r="I12" s="18">
        <f>_xll.BDH("DEWH IN Equity","EBITDA_TO_REVENUE","FY 2010","FY 2010","Currency=INR","Period=FY","BEST_FPERIOD_OVERRIDE=FY","FILING_STATUS=MR","EQY_CONSOLIDATED=Y","FA_ADJUSTED=GAAP","Sort=A","Dates=H","DateFormat=P","Fill=—","Direction=H","UseDPDF=Y")</f>
        <v>87.875900000000001</v>
      </c>
      <c r="J12" s="18">
        <f>_xll.BDH("DEWH IN Equity","EBITDA_TO_REVENUE","FY 2011","FY 2011","Currency=INR","Period=FY","BEST_FPERIOD_OVERRIDE=FY","FILING_STATUS=MR","EQY_CONSOLIDATED=Y","FA_ADJUSTED=GAAP","Sort=A","Dates=H","DateFormat=P","Fill=—","Direction=H","UseDPDF=Y")</f>
        <v>87.127200000000002</v>
      </c>
      <c r="K12" s="18">
        <f>_xll.BDH("DEWH IN Equity","EBITDA_TO_REVENUE","FY 2012","FY 2012","Currency=INR","Period=FY","BEST_FPERIOD_OVERRIDE=FY","FILING_STATUS=MR","EQY_CONSOLIDATED=Y","FA_ADJUSTED=GAAP","Sort=A","Dates=H","DateFormat=P","Fill=—","Direction=H","UseDPDF=Y")</f>
        <v>88.38</v>
      </c>
      <c r="L12" s="18">
        <f>_xll.BDH("DEWH IN Equity","EBITDA_TO_REVENUE","FY 2013","FY 2013","Currency=INR","Period=FY","BEST_FPERIOD_OVERRIDE=FY","FILING_STATUS=MR","EQY_CONSOLIDATED=Y","FA_ADJUSTED=GAAP","Sort=A","Dates=H","DateFormat=P","Fill=—","Direction=H","UseDPDF=Y")</f>
        <v>91.653700000000001</v>
      </c>
      <c r="M12" s="18">
        <f>_xll.BDH("DEWH IN Equity","EBITDA_TO_REVENUE","FY 2014","FY 2014","Currency=INR","Period=FY","BEST_FPERIOD_OVERRIDE=FY","FILING_STATUS=MR","EQY_CONSOLIDATED=Y","FA_ADJUSTED=GAAP","Sort=A","Dates=H","DateFormat=P","Fill=—","Direction=H","UseDPDF=Y")</f>
        <v>91.161299999999997</v>
      </c>
      <c r="N12" s="18">
        <f>_xll.BDH("DEWH IN Equity","EBITDA_TO_REVENUE","FY 2015","FY 2015","Currency=INR","Period=FY","BEST_FPERIOD_OVERRIDE=FY","FILING_STATUS=MR","EQY_CONSOLIDATED=Y","FA_ADJUSTED=GAAP","Sort=A","Dates=H","DateFormat=P","Fill=—","Direction=H","UseDPDF=Y")</f>
        <v>90.742699999999999</v>
      </c>
      <c r="O12" s="18">
        <f>_xll.BDH("DEWH IN Equity","EBITDA_TO_REVENUE","FY 2016","FY 2016","Currency=INR","Period=FY","BEST_FPERIOD_OVERRIDE=FY","FILING_STATUS=MR","EQY_CONSOLIDATED=Y","FA_ADJUSTED=GAAP","Sort=A","Dates=H","DateFormat=P","Fill=—","Direction=H","UseDPDF=Y")</f>
        <v>81.802599999999998</v>
      </c>
      <c r="P12" s="18">
        <f>_xll.BDH("DEWH IN Equity","EBITDA_TO_REVENUE","FY 2017","FY 2017","Currency=INR","Period=FY","BEST_FPERIOD_OVERRIDE=FY","FILING_STATUS=MR","EQY_CONSOLIDATED=Y","FA_ADJUSTED=GAAP","Sort=A","Dates=H","DateFormat=P","Fill=—","Direction=H","UseDPDF=Y")</f>
        <v>82.574299999999994</v>
      </c>
      <c r="Q12" s="18">
        <f>_xll.BDH("DEWH IN Equity","EBITDA_TO_REVENUE","FY 2018","FY 2018","Currency=INR","Period=FY","BEST_FPERIOD_OVERRIDE=FY","FILING_STATUS=MR","EQY_CONSOLIDATED=Y","FA_ADJUSTED=GAAP","Sort=A","Dates=H","DateFormat=P","Fill=—","Direction=H","UseDPDF=Y")</f>
        <v>86.968000000000004</v>
      </c>
      <c r="R12" s="18">
        <f>_xll.BDH("DEWH IN Equity","EBITDA_TO_REVENUE","FY 2019","FY 2019","Currency=INR","Period=FY","BEST_FPERIOD_OVERRIDE=FY","FILING_STATUS=MR","EQY_CONSOLIDATED=Y","FA_ADJUSTED=GAAP","Sort=A","Dates=H","DateFormat=P","Fill=—","Direction=H","UseDPDF=Y")</f>
        <v>64.698300000000003</v>
      </c>
      <c r="S12" s="18">
        <f>_xll.BDH("DEWH IN Equity","EBITDA_TO_REVENUE","FY 2020","FY 2020","Currency=INR","Period=FY","BEST_FPERIOD_OVERRIDE=FY","FILING_STATUS=MR","EQY_CONSOLIDATED=Y","FA_ADJUSTED=GAAP","Sort=A","Dates=H","DateFormat=P","Fill=—","Direction=H","UseDPDF=Y")</f>
        <v>-128.35159999999999</v>
      </c>
      <c r="T12" s="18">
        <f>_xll.BDH("DEWH IN Equity","EBITDA_TO_REVENUE","FY 2021","FY 2021","Currency=INR","Period=FY","BEST_FPERIOD_OVERRIDE=FY","FILING_STATUS=MR","EQY_CONSOLIDATED=Y","FA_ADJUSTED=GAAP","Sort=A","Dates=H","DateFormat=P","Fill=—","Direction=H","UseDPDF=Y")</f>
        <v>-226.32210000000001</v>
      </c>
      <c r="U12" s="18">
        <f>_xll.BDH("DEWH IN Equity","EBITDA_TO_REVENUE","FY 2022","FY 2022","Currency=INR","Period=FY","BEST_FPERIOD_OVERRIDE=FY","FILING_STATUS=MR","EQY_CONSOLIDATED=Y","FA_ADJUSTED=GAAP","Sort=A","Dates=H","DateFormat=P","Fill=—","Direction=H","UseDPDF=Y")</f>
        <v>68.537999999999997</v>
      </c>
    </row>
    <row r="13" spans="1:21" x14ac:dyDescent="0.25">
      <c r="A13" s="3" t="s">
        <v>42</v>
      </c>
      <c r="B13" s="3" t="s">
        <v>43</v>
      </c>
      <c r="C13" s="18">
        <f>_xll.BDH("DEWH IN Equity","OPER_MARGIN","FY 2004","FY 2004","Currency=INR","Period=FY","BEST_FPERIOD_OVERRIDE=FY","FILING_STATUS=MR","EQY_CONSOLIDATED=Y","FA_ADJUSTED=GAAP","Sort=A","Dates=H","DateFormat=P","Fill=—","Direction=H","UseDPDF=Y")</f>
        <v>55.383000000000003</v>
      </c>
      <c r="D13" s="18">
        <f>_xll.BDH("DEWH IN Equity","OPER_MARGIN","FY 2005","FY 2005","Currency=INR","Period=FY","BEST_FPERIOD_OVERRIDE=FY","FILING_STATUS=MR","EQY_CONSOLIDATED=Y","FA_ADJUSTED=GAAP","Sort=A","Dates=H","DateFormat=P","Fill=—","Direction=H","UseDPDF=Y")</f>
        <v>59.264299999999999</v>
      </c>
      <c r="E13" s="18">
        <f>_xll.BDH("DEWH IN Equity","OPER_MARGIN","FY 2006","FY 2006","Currency=INR","Period=FY","BEST_FPERIOD_OVERRIDE=FY","FILING_STATUS=MR","EQY_CONSOLIDATED=Y","FA_ADJUSTED=GAAP","Sort=A","Dates=H","DateFormat=P","Fill=—","Direction=H","UseDPDF=Y")</f>
        <v>57.898800000000001</v>
      </c>
      <c r="F13" s="18">
        <f>_xll.BDH("DEWH IN Equity","OPER_MARGIN","FY 2007","FY 2007","Currency=INR","Period=FY","BEST_FPERIOD_OVERRIDE=FY","FILING_STATUS=MR","EQY_CONSOLIDATED=Y","FA_ADJUSTED=GAAP","Sort=A","Dates=H","DateFormat=P","Fill=—","Direction=H","UseDPDF=Y")</f>
        <v>61.911499999999997</v>
      </c>
      <c r="G13" s="18">
        <f>_xll.BDH("DEWH IN Equity","OPER_MARGIN","FY 2008","FY 2008","Currency=INR","Period=FY","BEST_FPERIOD_OVERRIDE=FY","FILING_STATUS=MR","EQY_CONSOLIDATED=Y","FA_ADJUSTED=GAAP","Sort=A","Dates=H","DateFormat=P","Fill=—","Direction=H","UseDPDF=Y")</f>
        <v>67.688299999999998</v>
      </c>
      <c r="H13" s="18">
        <f>_xll.BDH("DEWH IN Equity","OPER_MARGIN","FY 2009","FY 2009","Currency=INR","Period=FY","BEST_FPERIOD_OVERRIDE=FY","FILING_STATUS=MR","EQY_CONSOLIDATED=Y","FA_ADJUSTED=GAAP","Sort=A","Dates=H","DateFormat=P","Fill=—","Direction=H","UseDPDF=Y")</f>
        <v>62.054499999999997</v>
      </c>
      <c r="I13" s="18">
        <f>_xll.BDH("DEWH IN Equity","OPER_MARGIN","FY 2010","FY 2010","Currency=INR","Period=FY","BEST_FPERIOD_OVERRIDE=FY","FILING_STATUS=MR","EQY_CONSOLIDATED=Y","FA_ADJUSTED=GAAP","Sort=A","Dates=H","DateFormat=P","Fill=—","Direction=H","UseDPDF=Y")</f>
        <v>62.215800000000002</v>
      </c>
      <c r="J13" s="18">
        <f>_xll.BDH("DEWH IN Equity","OPER_MARGIN","FY 2011","FY 2011","Currency=INR","Period=FY","BEST_FPERIOD_OVERRIDE=FY","FILING_STATUS=MR","EQY_CONSOLIDATED=Y","FA_ADJUSTED=GAAP","Sort=A","Dates=H","DateFormat=P","Fill=—","Direction=H","UseDPDF=Y")</f>
        <v>61.045499999999997</v>
      </c>
      <c r="K13" s="18">
        <f>_xll.BDH("DEWH IN Equity","OPER_MARGIN","FY 2012","FY 2012","Currency=INR","Period=FY","BEST_FPERIOD_OVERRIDE=FY","FILING_STATUS=MR","EQY_CONSOLIDATED=Y","FA_ADJUSTED=GAAP","Sort=A","Dates=H","DateFormat=P","Fill=—","Direction=H","UseDPDF=Y")</f>
        <v>56.030200000000001</v>
      </c>
      <c r="L13" s="18">
        <f>_xll.BDH("DEWH IN Equity","OPER_MARGIN","FY 2013","FY 2013","Currency=INR","Period=FY","BEST_FPERIOD_OVERRIDE=FY","FILING_STATUS=MR","EQY_CONSOLIDATED=Y","FA_ADJUSTED=GAAP","Sort=A","Dates=H","DateFormat=P","Fill=—","Direction=H","UseDPDF=Y")</f>
        <v>63.640300000000003</v>
      </c>
      <c r="M13" s="18">
        <f>_xll.BDH("DEWH IN Equity","OPER_MARGIN","FY 2014","FY 2014","Currency=INR","Period=FY","BEST_FPERIOD_OVERRIDE=FY","FILING_STATUS=MR","EQY_CONSOLIDATED=Y","FA_ADJUSTED=GAAP","Sort=A","Dates=H","DateFormat=P","Fill=—","Direction=H","UseDPDF=Y")</f>
        <v>62.029400000000003</v>
      </c>
      <c r="N13" s="18">
        <f>_xll.BDH("DEWH IN Equity","OPER_MARGIN","FY 2015","FY 2015","Currency=INR","Period=FY","BEST_FPERIOD_OVERRIDE=FY","FILING_STATUS=MR","EQY_CONSOLIDATED=Y","FA_ADJUSTED=GAAP","Sort=A","Dates=H","DateFormat=P","Fill=—","Direction=H","UseDPDF=Y")</f>
        <v>61.891399999999997</v>
      </c>
      <c r="O13" s="18">
        <f>_xll.BDH("DEWH IN Equity","OPER_MARGIN","FY 2016","FY 2016","Currency=INR","Period=FY","BEST_FPERIOD_OVERRIDE=FY","FILING_STATUS=MR","EQY_CONSOLIDATED=Y","FA_ADJUSTED=GAAP","Sort=A","Dates=H","DateFormat=P","Fill=—","Direction=H","UseDPDF=Y")</f>
        <v>43.394100000000002</v>
      </c>
      <c r="P13" s="18">
        <f>_xll.BDH("DEWH IN Equity","OPER_MARGIN","FY 2017","FY 2017","Currency=INR","Period=FY","BEST_FPERIOD_OVERRIDE=FY","FILING_STATUS=MR","EQY_CONSOLIDATED=Y","FA_ADJUSTED=GAAP","Sort=A","Dates=H","DateFormat=P","Fill=—","Direction=H","UseDPDF=Y")</f>
        <v>45.164700000000003</v>
      </c>
      <c r="Q13" s="18">
        <f>_xll.BDH("DEWH IN Equity","OPER_MARGIN","FY 2018","FY 2018","Currency=INR","Period=FY","BEST_FPERIOD_OVERRIDE=FY","FILING_STATUS=MR","EQY_CONSOLIDATED=Y","FA_ADJUSTED=GAAP","Sort=A","Dates=H","DateFormat=P","Fill=—","Direction=H","UseDPDF=Y")</f>
        <v>53.579900000000002</v>
      </c>
      <c r="R13" s="18">
        <f>_xll.BDH("DEWH IN Equity","OPER_MARGIN","FY 2019","FY 2019","Currency=INR","Period=FY","BEST_FPERIOD_OVERRIDE=FY","FILING_STATUS=MR","EQY_CONSOLIDATED=Y","FA_ADJUSTED=GAAP","Sort=A","Dates=H","DateFormat=P","Fill=—","Direction=H","UseDPDF=Y")</f>
        <v>-32.711500000000001</v>
      </c>
      <c r="S13" s="18">
        <f>_xll.BDH("DEWH IN Equity","OPER_MARGIN","FY 2020","FY 2020","Currency=INR","Period=FY","BEST_FPERIOD_OVERRIDE=FY","FILING_STATUS=MR","EQY_CONSOLIDATED=Y","FA_ADJUSTED=GAAP","Sort=A","Dates=H","DateFormat=P","Fill=—","Direction=H","UseDPDF=Y")</f>
        <v>-473.17090000000002</v>
      </c>
      <c r="T13" s="18">
        <f>_xll.BDH("DEWH IN Equity","OPER_MARGIN","FY 2021","FY 2021","Currency=INR","Period=FY","BEST_FPERIOD_OVERRIDE=FY","FILING_STATUS=MR","EQY_CONSOLIDATED=Y","FA_ADJUSTED=GAAP","Sort=A","Dates=H","DateFormat=P","Fill=—","Direction=H","UseDPDF=Y")</f>
        <v>-235.60409999999999</v>
      </c>
      <c r="U13" s="18">
        <f>_xll.BDH("DEWH IN Equity","OPER_MARGIN","FY 2022","FY 2022","Currency=INR","Period=FY","BEST_FPERIOD_OVERRIDE=FY","FILING_STATUS=MR","EQY_CONSOLIDATED=Y","FA_ADJUSTED=GAAP","Sort=A","Dates=H","DateFormat=P","Fill=—","Direction=H","UseDPDF=Y")</f>
        <v>28.625599999999999</v>
      </c>
    </row>
    <row r="14" spans="1:21" x14ac:dyDescent="0.25">
      <c r="A14" s="3" t="s">
        <v>44</v>
      </c>
      <c r="B14" s="3" t="s">
        <v>45</v>
      </c>
      <c r="C14" s="18" t="str">
        <f>_xll.BDH("DEWH IN Equity","INCREMENTAL_OPERATING_MARGIN","FY 2004","FY 2004","Currency=INR","Period=FY","BEST_FPERIOD_OVERRIDE=FY","FILING_STATUS=MR","EQY_CONSOLIDATED=Y","FA_ADJUSTED=GAAP","Sort=A","Dates=H","DateFormat=P","Fill=—","Direction=H","UseDPDF=Y")</f>
        <v>—</v>
      </c>
      <c r="D14" s="18">
        <f>_xll.BDH("DEWH IN Equity","INCREMENTAL_OPERATING_MARGIN","FY 2005","FY 2005","Currency=INR","Period=FY","BEST_FPERIOD_OVERRIDE=FY","FILING_STATUS=MR","EQY_CONSOLIDATED=Y","FA_ADJUSTED=GAAP","Sort=A","Dates=H","DateFormat=P","Fill=—","Direction=H","UseDPDF=Y")</f>
        <v>88.502499999999998</v>
      </c>
      <c r="E14" s="18">
        <f>_xll.BDH("DEWH IN Equity","INCREMENTAL_OPERATING_MARGIN","FY 2006","FY 2006","Currency=INR","Period=FY","BEST_FPERIOD_OVERRIDE=FY","FILING_STATUS=MR","EQY_CONSOLIDATED=Y","FA_ADJUSTED=GAAP","Sort=A","Dates=H","DateFormat=P","Fill=—","Direction=H","UseDPDF=Y")</f>
        <v>53.403100000000002</v>
      </c>
      <c r="F14" s="18">
        <f>_xll.BDH("DEWH IN Equity","INCREMENTAL_OPERATING_MARGIN","FY 2007","FY 2007","Currency=INR","Period=FY","BEST_FPERIOD_OVERRIDE=FY","FILING_STATUS=MR","EQY_CONSOLIDATED=Y","FA_ADJUSTED=GAAP","Sort=A","Dates=H","DateFormat=P","Fill=—","Direction=H","UseDPDF=Y")</f>
        <v>76.353800000000007</v>
      </c>
      <c r="G14" s="18">
        <f>_xll.BDH("DEWH IN Equity","INCREMENTAL_OPERATING_MARGIN","FY 2008","FY 2008","Currency=INR","Period=FY","BEST_FPERIOD_OVERRIDE=FY","FILING_STATUS=MR","EQY_CONSOLIDATED=Y","FA_ADJUSTED=GAAP","Sort=A","Dates=H","DateFormat=P","Fill=—","Direction=H","UseDPDF=Y")</f>
        <v>78.6845</v>
      </c>
      <c r="H14" s="18">
        <f>_xll.BDH("DEWH IN Equity","INCREMENTAL_OPERATING_MARGIN","FY 2009","FY 2009","Currency=INR","Period=FY","BEST_FPERIOD_OVERRIDE=FY","FILING_STATUS=MR","EQY_CONSOLIDATED=Y","FA_ADJUSTED=GAAP","Sort=A","Dates=H","DateFormat=P","Fill=—","Direction=H","UseDPDF=Y")</f>
        <v>40.495699999999999</v>
      </c>
      <c r="I14" s="18">
        <f>_xll.BDH("DEWH IN Equity","INCREMENTAL_OPERATING_MARGIN","FY 2010","FY 2010","Currency=INR","Period=FY","BEST_FPERIOD_OVERRIDE=FY","FILING_STATUS=MR","EQY_CONSOLIDATED=Y","FA_ADJUSTED=GAAP","Sort=A","Dates=H","DateFormat=P","Fill=—","Direction=H","UseDPDF=Y")</f>
        <v>62.479100000000003</v>
      </c>
      <c r="J14" s="18">
        <f>_xll.BDH("DEWH IN Equity","INCREMENTAL_OPERATING_MARGIN","FY 2011","FY 2011","Currency=INR","Period=FY","BEST_FPERIOD_OVERRIDE=FY","FILING_STATUS=MR","EQY_CONSOLIDATED=Y","FA_ADJUSTED=GAAP","Sort=A","Dates=H","DateFormat=P","Fill=—","Direction=H","UseDPDF=Y")</f>
        <v>59.9602</v>
      </c>
      <c r="K14" s="18">
        <f>_xll.BDH("DEWH IN Equity","INCREMENTAL_OPERATING_MARGIN","FY 2012","FY 2012","Currency=INR","Period=FY","BEST_FPERIOD_OVERRIDE=FY","FILING_STATUS=MR","EQY_CONSOLIDATED=Y","FA_ADJUSTED=GAAP","Sort=A","Dates=H","DateFormat=P","Fill=—","Direction=H","UseDPDF=Y")</f>
        <v>32.853400000000001</v>
      </c>
      <c r="L14" s="18">
        <f>_xll.BDH("DEWH IN Equity","INCREMENTAL_OPERATING_MARGIN","FY 2013","FY 2013","Currency=INR","Period=FY","BEST_FPERIOD_OVERRIDE=FY","FILING_STATUS=MR","EQY_CONSOLIDATED=Y","FA_ADJUSTED=GAAP","Sort=A","Dates=H","DateFormat=P","Fill=—","Direction=H","UseDPDF=Y")</f>
        <v>134.7381</v>
      </c>
      <c r="M14" s="18">
        <f>_xll.BDH("DEWH IN Equity","INCREMENTAL_OPERATING_MARGIN","FY 2014","FY 2014","Currency=INR","Period=FY","BEST_FPERIOD_OVERRIDE=FY","FILING_STATUS=MR","EQY_CONSOLIDATED=Y","FA_ADJUSTED=GAAP","Sort=A","Dates=H","DateFormat=P","Fill=—","Direction=H","UseDPDF=Y")</f>
        <v>55.174700000000001</v>
      </c>
      <c r="N14" s="18">
        <f>_xll.BDH("DEWH IN Equity","INCREMENTAL_OPERATING_MARGIN","FY 2015","FY 2015","Currency=INR","Period=FY","BEST_FPERIOD_OVERRIDE=FY","FILING_STATUS=MR","EQY_CONSOLIDATED=Y","FA_ADJUSTED=GAAP","Sort=A","Dates=H","DateFormat=P","Fill=—","Direction=H","UseDPDF=Y")</f>
        <v>61.402500000000003</v>
      </c>
      <c r="O14" s="18">
        <f>_xll.BDH("DEWH IN Equity","INCREMENTAL_OPERATING_MARGIN","FY 2016","FY 2016","Currency=INR","Period=FY","BEST_FPERIOD_OVERRIDE=FY","FILING_STATUS=MR","EQY_CONSOLIDATED=Y","FA_ADJUSTED=GAAP","Sort=A","Dates=H","DateFormat=P","Fill=—","Direction=H","UseDPDF=Y")</f>
        <v>16.680599999999998</v>
      </c>
      <c r="P14" s="18">
        <f>_xll.BDH("DEWH IN Equity","INCREMENTAL_OPERATING_MARGIN","FY 2017","FY 2017","Currency=INR","Period=FY","BEST_FPERIOD_OVERRIDE=FY","FILING_STATUS=MR","EQY_CONSOLIDATED=Y","FA_ADJUSTED=GAAP","Sort=A","Dates=H","DateFormat=P","Fill=—","Direction=H","UseDPDF=Y")</f>
        <v>53.270499999999998</v>
      </c>
      <c r="Q14" s="18" t="str">
        <f>_xll.BDH("DEWH IN Equity","INCREMENTAL_OPERATING_MARGIN","FY 2018","FY 2018","Currency=INR","Period=FY","BEST_FPERIOD_OVERRIDE=FY","FILING_STATUS=MR","EQY_CONSOLIDATED=Y","FA_ADJUSTED=GAAP","Sort=A","Dates=H","DateFormat=P","Fill=—","Direction=H","UseDPDF=Y")</f>
        <v>—</v>
      </c>
      <c r="R14" s="18" t="str">
        <f>_xll.BDH("DEWH IN Equity","INCREMENTAL_OPERATING_MARGIN","FY 2019","FY 2019","Currency=INR","Period=FY","BEST_FPERIOD_OVERRIDE=FY","FILING_STATUS=MR","EQY_CONSOLIDATED=Y","FA_ADJUSTED=GAAP","Sort=A","Dates=H","DateFormat=P","Fill=—","Direction=H","UseDPDF=Y")</f>
        <v>—</v>
      </c>
      <c r="S14" s="18" t="str">
        <f>_xll.BDH("DEWH IN Equity","INCREMENTAL_OPERATING_MARGIN","FY 2020","FY 2020","Currency=INR","Period=FY","BEST_FPERIOD_OVERRIDE=FY","FILING_STATUS=MR","EQY_CONSOLIDATED=Y","FA_ADJUSTED=GAAP","Sort=A","Dates=H","DateFormat=P","Fill=—","Direction=H","UseDPDF=Y")</f>
        <v>—</v>
      </c>
      <c r="T14" s="18" t="str">
        <f>_xll.BDH("DEWH IN Equity","INCREMENTAL_OPERATING_MARGIN","FY 2021","FY 2021","Currency=INR","Period=FY","BEST_FPERIOD_OVERRIDE=FY","FILING_STATUS=MR","EQY_CONSOLIDATED=Y","FA_ADJUSTED=GAAP","Sort=A","Dates=H","DateFormat=P","Fill=—","Direction=H","UseDPDF=Y")</f>
        <v>—</v>
      </c>
      <c r="U14" s="18" t="str">
        <f>_xll.BDH("DEWH IN Equity","INCREMENTAL_OPERATING_MARGIN","FY 2022","FY 2022","Currency=INR","Period=FY","BEST_FPERIOD_OVERRIDE=FY","FILING_STATUS=MR","EQY_CONSOLIDATED=Y","FA_ADJUSTED=GAAP","Sort=A","Dates=H","DateFormat=P","Fill=—","Direction=H","UseDPDF=Y")</f>
        <v>—</v>
      </c>
    </row>
    <row r="15" spans="1:21" x14ac:dyDescent="0.25">
      <c r="A15" s="3" t="s">
        <v>46</v>
      </c>
      <c r="B15" s="3" t="s">
        <v>114</v>
      </c>
      <c r="C15" s="18">
        <f>_xll.BDH("DEWH IN Equity","PRETAX_MARGIN","FY 2004","FY 2004","Currency=INR","Period=FY","BEST_FPERIOD_OVERRIDE=FY","FILING_STATUS=MR","EQY_CONSOLIDATED=Y","FA_ADJUSTED=GAAP","Sort=A","Dates=H","DateFormat=P","Fill=—","Direction=H","UseDPDF=Y")</f>
        <v>52.757300000000001</v>
      </c>
      <c r="D15" s="18">
        <f>_xll.BDH("DEWH IN Equity","PRETAX_MARGIN","FY 2005","FY 2005","Currency=INR","Period=FY","BEST_FPERIOD_OVERRIDE=FY","FILING_STATUS=MR","EQY_CONSOLIDATED=Y","FA_ADJUSTED=GAAP","Sort=A","Dates=H","DateFormat=P","Fill=—","Direction=H","UseDPDF=Y")</f>
        <v>59.208399999999997</v>
      </c>
      <c r="E15" s="18">
        <f>_xll.BDH("DEWH IN Equity","PRETAX_MARGIN","FY 2006","FY 2006","Currency=INR","Period=FY","BEST_FPERIOD_OVERRIDE=FY","FILING_STATUS=MR","EQY_CONSOLIDATED=Y","FA_ADJUSTED=GAAP","Sort=A","Dates=H","DateFormat=P","Fill=—","Direction=H","UseDPDF=Y")</f>
        <v>63.651600000000002</v>
      </c>
      <c r="F15" s="18">
        <f>_xll.BDH("DEWH IN Equity","PRETAX_MARGIN","FY 2007","FY 2007","Currency=INR","Period=FY","BEST_FPERIOD_OVERRIDE=FY","FILING_STATUS=MR","EQY_CONSOLIDATED=Y","FA_ADJUSTED=GAAP","Sort=A","Dates=H","DateFormat=P","Fill=—","Direction=H","UseDPDF=Y")</f>
        <v>59.877600000000001</v>
      </c>
      <c r="G15" s="18">
        <f>_xll.BDH("DEWH IN Equity","PRETAX_MARGIN","FY 2008","FY 2008","Currency=INR","Period=FY","BEST_FPERIOD_OVERRIDE=FY","FILING_STATUS=MR","EQY_CONSOLIDATED=Y","FA_ADJUSTED=GAAP","Sort=A","Dates=H","DateFormat=P","Fill=—","Direction=H","UseDPDF=Y")</f>
        <v>66.210300000000004</v>
      </c>
      <c r="H15" s="18">
        <f>_xll.BDH("DEWH IN Equity","PRETAX_MARGIN","FY 2009","FY 2009","Currency=INR","Period=FY","BEST_FPERIOD_OVERRIDE=FY","FILING_STATUS=MR","EQY_CONSOLIDATED=Y","FA_ADJUSTED=GAAP","Sort=A","Dates=H","DateFormat=P","Fill=—","Direction=H","UseDPDF=Y")</f>
        <v>62.054499999999997</v>
      </c>
      <c r="I15" s="18">
        <f>_xll.BDH("DEWH IN Equity","PRETAX_MARGIN","FY 2010","FY 2010","Currency=INR","Period=FY","BEST_FPERIOD_OVERRIDE=FY","FILING_STATUS=MR","EQY_CONSOLIDATED=Y","FA_ADJUSTED=GAAP","Sort=A","Dates=H","DateFormat=P","Fill=—","Direction=H","UseDPDF=Y")</f>
        <v>62.215800000000002</v>
      </c>
      <c r="J15" s="18">
        <f>_xll.BDH("DEWH IN Equity","PRETAX_MARGIN","FY 2011","FY 2011","Currency=INR","Period=FY","BEST_FPERIOD_OVERRIDE=FY","FILING_STATUS=MR","EQY_CONSOLIDATED=Y","FA_ADJUSTED=GAAP","Sort=A","Dates=H","DateFormat=P","Fill=—","Direction=H","UseDPDF=Y")</f>
        <v>66.017399999999995</v>
      </c>
      <c r="K15" s="18">
        <f>_xll.BDH("DEWH IN Equity","PRETAX_MARGIN","FY 2012","FY 2012","Currency=INR","Period=FY","BEST_FPERIOD_OVERRIDE=FY","FILING_STATUS=MR","EQY_CONSOLIDATED=Y","FA_ADJUSTED=GAAP","Sort=A","Dates=H","DateFormat=P","Fill=—","Direction=H","UseDPDF=Y")</f>
        <v>56.030200000000001</v>
      </c>
      <c r="L15" s="18">
        <f>_xll.BDH("DEWH IN Equity","PRETAX_MARGIN","FY 2013","FY 2013","Currency=INR","Period=FY","BEST_FPERIOD_OVERRIDE=FY","FILING_STATUS=MR","EQY_CONSOLIDATED=Y","FA_ADJUSTED=GAAP","Sort=A","Dates=H","DateFormat=P","Fill=—","Direction=H","UseDPDF=Y")</f>
        <v>63.640300000000003</v>
      </c>
      <c r="M15" s="18">
        <f>_xll.BDH("DEWH IN Equity","PRETAX_MARGIN","FY 2014","FY 2014","Currency=INR","Period=FY","BEST_FPERIOD_OVERRIDE=FY","FILING_STATUS=MR","EQY_CONSOLIDATED=Y","FA_ADJUSTED=GAAP","Sort=A","Dates=H","DateFormat=P","Fill=—","Direction=H","UseDPDF=Y")</f>
        <v>62.029400000000003</v>
      </c>
      <c r="N15" s="18">
        <f>_xll.BDH("DEWH IN Equity","PRETAX_MARGIN","FY 2015","FY 2015","Currency=INR","Period=FY","BEST_FPERIOD_OVERRIDE=FY","FILING_STATUS=MR","EQY_CONSOLIDATED=Y","FA_ADJUSTED=GAAP","Sort=A","Dates=H","DateFormat=P","Fill=—","Direction=H","UseDPDF=Y")</f>
        <v>62.067799999999998</v>
      </c>
      <c r="O15" s="18">
        <f>_xll.BDH("DEWH IN Equity","PRETAX_MARGIN","FY 2016","FY 2016","Currency=INR","Period=FY","BEST_FPERIOD_OVERRIDE=FY","FILING_STATUS=MR","EQY_CONSOLIDATED=Y","FA_ADJUSTED=GAAP","Sort=A","Dates=H","DateFormat=P","Fill=—","Direction=H","UseDPDF=Y")</f>
        <v>43.590499999999999</v>
      </c>
      <c r="P15" s="18">
        <f>_xll.BDH("DEWH IN Equity","PRETAX_MARGIN","FY 2017","FY 2017","Currency=INR","Period=FY","BEST_FPERIOD_OVERRIDE=FY","FILING_STATUS=MR","EQY_CONSOLIDATED=Y","FA_ADJUSTED=GAAP","Sort=A","Dates=H","DateFormat=P","Fill=—","Direction=H","UseDPDF=Y")</f>
        <v>104.5686</v>
      </c>
      <c r="Q15" s="18">
        <f>_xll.BDH("DEWH IN Equity","PRETAX_MARGIN","FY 2018","FY 2018","Currency=INR","Period=FY","BEST_FPERIOD_OVERRIDE=FY","FILING_STATUS=MR","EQY_CONSOLIDATED=Y","FA_ADJUSTED=GAAP","Sort=A","Dates=H","DateFormat=P","Fill=—","Direction=H","UseDPDF=Y")</f>
        <v>54.923699999999997</v>
      </c>
      <c r="R15" s="18">
        <f>_xll.BDH("DEWH IN Equity","PRETAX_MARGIN","FY 2019","FY 2019","Currency=INR","Period=FY","BEST_FPERIOD_OVERRIDE=FY","FILING_STATUS=MR","EQY_CONSOLIDATED=Y","FA_ADJUSTED=GAAP","Sort=A","Dates=H","DateFormat=P","Fill=—","Direction=H","UseDPDF=Y")</f>
        <v>-31.8596</v>
      </c>
      <c r="S15" s="18">
        <f>_xll.BDH("DEWH IN Equity","PRETAX_MARGIN","FY 2020","FY 2020","Currency=INR","Period=FY","BEST_FPERIOD_OVERRIDE=FY","FILING_STATUS=MR","EQY_CONSOLIDATED=Y","FA_ADJUSTED=GAAP","Sort=A","Dates=H","DateFormat=P","Fill=—","Direction=H","UseDPDF=Y")</f>
        <v>-472.62430000000001</v>
      </c>
      <c r="T15" s="18">
        <f>_xll.BDH("DEWH IN Equity","PRETAX_MARGIN","FY 2021","FY 2021","Currency=INR","Period=FY","BEST_FPERIOD_OVERRIDE=FY","FILING_STATUS=MR","EQY_CONSOLIDATED=Y","FA_ADJUSTED=GAAP","Sort=A","Dates=H","DateFormat=P","Fill=—","Direction=H","UseDPDF=Y")</f>
        <v>-235.22829999999999</v>
      </c>
      <c r="U15" s="18">
        <f>_xll.BDH("DEWH IN Equity","PRETAX_MARGIN","FY 2022","FY 2022","Currency=INR","Period=FY","BEST_FPERIOD_OVERRIDE=FY","FILING_STATUS=MR","EQY_CONSOLIDATED=Y","FA_ADJUSTED=GAAP","Sort=A","Dates=H","DateFormat=P","Fill=—","Direction=H","UseDPDF=Y")</f>
        <v>26.374400000000001</v>
      </c>
    </row>
    <row r="16" spans="1:21" x14ac:dyDescent="0.25">
      <c r="A16" s="3" t="s">
        <v>48</v>
      </c>
      <c r="B16" s="3" t="s">
        <v>49</v>
      </c>
      <c r="C16" s="18">
        <f>_xll.BDH("DEWH IN Equity","INC_BEF_XO_ITEMS_TO_NET_SALES","FY 2004","FY 2004","Currency=INR","Period=FY","BEST_FPERIOD_OVERRIDE=FY","FILING_STATUS=MR","EQY_CONSOLIDATED=Y","FA_ADJUSTED=GAAP","Sort=A","Dates=H","DateFormat=P","Fill=—","Direction=H","UseDPDF=Y")</f>
        <v>42.719900000000003</v>
      </c>
      <c r="D16" s="18">
        <f>_xll.BDH("DEWH IN Equity","INC_BEF_XO_ITEMS_TO_NET_SALES","FY 2005","FY 2005","Currency=INR","Period=FY","BEST_FPERIOD_OVERRIDE=FY","FILING_STATUS=MR","EQY_CONSOLIDATED=Y","FA_ADJUSTED=GAAP","Sort=A","Dates=H","DateFormat=P","Fill=—","Direction=H","UseDPDF=Y")</f>
        <v>47.178899999999999</v>
      </c>
      <c r="E16" s="18">
        <f>_xll.BDH("DEWH IN Equity","INC_BEF_XO_ITEMS_TO_NET_SALES","FY 2006","FY 2006","Currency=INR","Period=FY","BEST_FPERIOD_OVERRIDE=FY","FILING_STATUS=MR","EQY_CONSOLIDATED=Y","FA_ADJUSTED=GAAP","Sort=A","Dates=H","DateFormat=P","Fill=—","Direction=H","UseDPDF=Y")</f>
        <v>52.670699999999997</v>
      </c>
      <c r="F16" s="18">
        <f>_xll.BDH("DEWH IN Equity","INC_BEF_XO_ITEMS_TO_NET_SALES","FY 2007","FY 2007","Currency=INR","Period=FY","BEST_FPERIOD_OVERRIDE=FY","FILING_STATUS=MR","EQY_CONSOLIDATED=Y","FA_ADJUSTED=GAAP","Sort=A","Dates=H","DateFormat=P","Fill=—","Direction=H","UseDPDF=Y")</f>
        <v>48.595799999999997</v>
      </c>
      <c r="G16" s="18">
        <f>_xll.BDH("DEWH IN Equity","INC_BEF_XO_ITEMS_TO_NET_SALES","FY 2008","FY 2008","Currency=INR","Period=FY","BEST_FPERIOD_OVERRIDE=FY","FILING_STATUS=MR","EQY_CONSOLIDATED=Y","FA_ADJUSTED=GAAP","Sort=A","Dates=H","DateFormat=P","Fill=—","Direction=H","UseDPDF=Y")</f>
        <v>51.403100000000002</v>
      </c>
      <c r="H16" s="18">
        <f>_xll.BDH("DEWH IN Equity","INC_BEF_XO_ITEMS_TO_NET_SALES","FY 2009","FY 2009","Currency=INR","Period=FY","BEST_FPERIOD_OVERRIDE=FY","FILING_STATUS=MR","EQY_CONSOLIDATED=Y","FA_ADJUSTED=GAAP","Sort=A","Dates=H","DateFormat=P","Fill=—","Direction=H","UseDPDF=Y")</f>
        <v>45.640500000000003</v>
      </c>
      <c r="I16" s="18">
        <f>_xll.BDH("DEWH IN Equity","INC_BEF_XO_ITEMS_TO_NET_SALES","FY 2010","FY 2010","Currency=INR","Period=FY","BEST_FPERIOD_OVERRIDE=FY","FILING_STATUS=MR","EQY_CONSOLIDATED=Y","FA_ADJUSTED=GAAP","Sort=A","Dates=H","DateFormat=P","Fill=—","Direction=H","UseDPDF=Y")</f>
        <v>46.199100000000001</v>
      </c>
      <c r="J16" s="18">
        <f>_xll.BDH("DEWH IN Equity","INC_BEF_XO_ITEMS_TO_NET_SALES","FY 2011","FY 2011","Currency=INR","Period=FY","BEST_FPERIOD_OVERRIDE=FY","FILING_STATUS=MR","EQY_CONSOLIDATED=Y","FA_ADJUSTED=GAAP","Sort=A","Dates=H","DateFormat=P","Fill=—","Direction=H","UseDPDF=Y")</f>
        <v>50.151600000000002</v>
      </c>
      <c r="K16" s="18">
        <f>_xll.BDH("DEWH IN Equity","INC_BEF_XO_ITEMS_TO_NET_SALES","FY 2012","FY 2012","Currency=INR","Period=FY","BEST_FPERIOD_OVERRIDE=FY","FILING_STATUS=MR","EQY_CONSOLIDATED=Y","FA_ADJUSTED=GAAP","Sort=A","Dates=H","DateFormat=P","Fill=—","Direction=H","UseDPDF=Y")</f>
        <v>41.135199999999998</v>
      </c>
      <c r="L16" s="18">
        <f>_xll.BDH("DEWH IN Equity","INC_BEF_XO_ITEMS_TO_NET_SALES","FY 2013","FY 2013","Currency=INR","Period=FY","BEST_FPERIOD_OVERRIDE=FY","FILING_STATUS=MR","EQY_CONSOLIDATED=Y","FA_ADJUSTED=GAAP","Sort=A","Dates=H","DateFormat=P","Fill=—","Direction=H","UseDPDF=Y")</f>
        <v>47.088299999999997</v>
      </c>
      <c r="M16" s="18">
        <f>_xll.BDH("DEWH IN Equity","INC_BEF_XO_ITEMS_TO_NET_SALES","FY 2014","FY 2014","Currency=INR","Period=FY","BEST_FPERIOD_OVERRIDE=FY","FILING_STATUS=MR","EQY_CONSOLIDATED=Y","FA_ADJUSTED=GAAP","Sort=A","Dates=H","DateFormat=P","Fill=—","Direction=H","UseDPDF=Y")</f>
        <v>44.637599999999999</v>
      </c>
      <c r="N16" s="18">
        <f>_xll.BDH("DEWH IN Equity","INC_BEF_XO_ITEMS_TO_NET_SALES","FY 2015","FY 2015","Currency=INR","Period=FY","BEST_FPERIOD_OVERRIDE=FY","FILING_STATUS=MR","EQY_CONSOLIDATED=Y","FA_ADJUSTED=GAAP","Sort=A","Dates=H","DateFormat=P","Fill=—","Direction=H","UseDPDF=Y")</f>
        <v>40.891300000000001</v>
      </c>
      <c r="O16" s="18">
        <f>_xll.BDH("DEWH IN Equity","INC_BEF_XO_ITEMS_TO_NET_SALES","FY 2016","FY 2016","Currency=INR","Period=FY","BEST_FPERIOD_OVERRIDE=FY","FILING_STATUS=MR","EQY_CONSOLIDATED=Y","FA_ADJUSTED=GAAP","Sort=A","Dates=H","DateFormat=P","Fill=—","Direction=H","UseDPDF=Y")</f>
        <v>29.139399999999998</v>
      </c>
      <c r="P16" s="18">
        <f>_xll.BDH("DEWH IN Equity","INC_BEF_XO_ITEMS_TO_NET_SALES","FY 2017","FY 2017","Currency=INR","Period=FY","BEST_FPERIOD_OVERRIDE=FY","FILING_STATUS=MR","EQY_CONSOLIDATED=Y","FA_ADJUSTED=GAAP","Sort=A","Dates=H","DateFormat=P","Fill=—","Direction=H","UseDPDF=Y")</f>
        <v>89.569199999999995</v>
      </c>
      <c r="Q16" s="18">
        <f>_xll.BDH("DEWH IN Equity","INC_BEF_XO_ITEMS_TO_NET_SALES","FY 2018","FY 2018","Currency=INR","Period=FY","BEST_FPERIOD_OVERRIDE=FY","FILING_STATUS=MR","EQY_CONSOLIDATED=Y","FA_ADJUSTED=GAAP","Sort=A","Dates=H","DateFormat=P","Fill=—","Direction=H","UseDPDF=Y")</f>
        <v>40.681699999999999</v>
      </c>
      <c r="R16" s="18">
        <f>_xll.BDH("DEWH IN Equity","INC_BEF_XO_ITEMS_TO_NET_SALES","FY 2019","FY 2019","Currency=INR","Period=FY","BEST_FPERIOD_OVERRIDE=FY","FILING_STATUS=MR","EQY_CONSOLIDATED=Y","FA_ADJUSTED=GAAP","Sort=A","Dates=H","DateFormat=P","Fill=—","Direction=H","UseDPDF=Y")</f>
        <v>-27.874300000000002</v>
      </c>
      <c r="S16" s="18">
        <f>_xll.BDH("DEWH IN Equity","INC_BEF_XO_ITEMS_TO_NET_SALES","FY 2020","FY 2020","Currency=INR","Period=FY","BEST_FPERIOD_OVERRIDE=FY","FILING_STATUS=MR","EQY_CONSOLIDATED=Y","FA_ADJUSTED=GAAP","Sort=A","Dates=H","DateFormat=P","Fill=—","Direction=H","UseDPDF=Y")</f>
        <v>-352.08499999999998</v>
      </c>
      <c r="T16" s="18">
        <f>_xll.BDH("DEWH IN Equity","INC_BEF_XO_ITEMS_TO_NET_SALES","FY 2021","FY 2021","Currency=INR","Period=FY","BEST_FPERIOD_OVERRIDE=FY","FILING_STATUS=MR","EQY_CONSOLIDATED=Y","FA_ADJUSTED=GAAP","Sort=A","Dates=H","DateFormat=P","Fill=—","Direction=H","UseDPDF=Y")</f>
        <v>-175.99260000000001</v>
      </c>
      <c r="U16" s="18">
        <f>_xll.BDH("DEWH IN Equity","INC_BEF_XO_ITEMS_TO_NET_SALES","FY 2022","FY 2022","Currency=INR","Period=FY","BEST_FPERIOD_OVERRIDE=FY","FILING_STATUS=MR","EQY_CONSOLIDATED=Y","FA_ADJUSTED=GAAP","Sort=A","Dates=H","DateFormat=P","Fill=—","Direction=H","UseDPDF=Y")</f>
        <v>19.558700000000002</v>
      </c>
    </row>
    <row r="17" spans="1:21" x14ac:dyDescent="0.25">
      <c r="A17" s="3" t="s">
        <v>50</v>
      </c>
      <c r="B17" s="3" t="s">
        <v>51</v>
      </c>
      <c r="C17" s="18">
        <f>_xll.BDH("DEWH IN Equity","PROF_MARGIN","FY 2004","FY 2004","Currency=INR","Period=FY","BEST_FPERIOD_OVERRIDE=FY","FILING_STATUS=MR","EQY_CONSOLIDATED=Y","FA_ADJUSTED=GAAP","Sort=A","Dates=H","DateFormat=P","Fill=—","Direction=H","UseDPDF=Y")</f>
        <v>14.087199999999999</v>
      </c>
      <c r="D17" s="18">
        <f>_xll.BDH("DEWH IN Equity","PROF_MARGIN","FY 2005","FY 2005","Currency=INR","Period=FY","BEST_FPERIOD_OVERRIDE=FY","FILING_STATUS=MR","EQY_CONSOLIDATED=Y","FA_ADJUSTED=GAAP","Sort=A","Dates=H","DateFormat=P","Fill=—","Direction=H","UseDPDF=Y")</f>
        <v>17.2879</v>
      </c>
      <c r="E17" s="18">
        <f>_xll.BDH("DEWH IN Equity","PROF_MARGIN","FY 2006","FY 2006","Currency=INR","Period=FY","BEST_FPERIOD_OVERRIDE=FY","FILING_STATUS=MR","EQY_CONSOLIDATED=Y","FA_ADJUSTED=GAAP","Sort=A","Dates=H","DateFormat=P","Fill=—","Direction=H","UseDPDF=Y")</f>
        <v>17.784700000000001</v>
      </c>
      <c r="F17" s="18">
        <f>_xll.BDH("DEWH IN Equity","PROF_MARGIN","FY 2007","FY 2007","Currency=INR","Period=FY","BEST_FPERIOD_OVERRIDE=FY","FILING_STATUS=MR","EQY_CONSOLIDATED=Y","FA_ADJUSTED=GAAP","Sort=A","Dates=H","DateFormat=P","Fill=—","Direction=H","UseDPDF=Y")</f>
        <v>14.3925</v>
      </c>
      <c r="G17" s="18">
        <f>_xll.BDH("DEWH IN Equity","PROF_MARGIN","FY 2008","FY 2008","Currency=INR","Period=FY","BEST_FPERIOD_OVERRIDE=FY","FILING_STATUS=MR","EQY_CONSOLIDATED=Y","FA_ADJUSTED=GAAP","Sort=A","Dates=H","DateFormat=P","Fill=—","Direction=H","UseDPDF=Y")</f>
        <v>15.3714</v>
      </c>
      <c r="H17" s="18">
        <f>_xll.BDH("DEWH IN Equity","PROF_MARGIN","FY 2009","FY 2009","Currency=INR","Period=FY","BEST_FPERIOD_OVERRIDE=FY","FILING_STATUS=MR","EQY_CONSOLIDATED=Y","FA_ADJUSTED=GAAP","Sort=A","Dates=H","DateFormat=P","Fill=—","Direction=H","UseDPDF=Y")</f>
        <v>12.9884</v>
      </c>
      <c r="I17" s="18">
        <f>_xll.BDH("DEWH IN Equity","PROF_MARGIN","FY 2010","FY 2010","Currency=INR","Period=FY","BEST_FPERIOD_OVERRIDE=FY","FILING_STATUS=MR","EQY_CONSOLIDATED=Y","FA_ADJUSTED=GAAP","Sort=A","Dates=H","DateFormat=P","Fill=—","Direction=H","UseDPDF=Y")</f>
        <v>14.855700000000001</v>
      </c>
      <c r="J17" s="18">
        <f>_xll.BDH("DEWH IN Equity","PROF_MARGIN","FY 2011","FY 2011","Currency=INR","Period=FY","BEST_FPERIOD_OVERRIDE=FY","FILING_STATUS=MR","EQY_CONSOLIDATED=Y","FA_ADJUSTED=GAAP","Sort=A","Dates=H","DateFormat=P","Fill=—","Direction=H","UseDPDF=Y")</f>
        <v>15.650600000000001</v>
      </c>
      <c r="K17" s="18">
        <f>_xll.BDH("DEWH IN Equity","PROF_MARGIN","FY 2012","FY 2012","Currency=INR","Period=FY","BEST_FPERIOD_OVERRIDE=FY","FILING_STATUS=MR","EQY_CONSOLIDATED=Y","FA_ADJUSTED=GAAP","Sort=A","Dates=H","DateFormat=P","Fill=—","Direction=H","UseDPDF=Y")</f>
        <v>10.0648</v>
      </c>
      <c r="L17" s="18">
        <f>_xll.BDH("DEWH IN Equity","PROF_MARGIN","FY 2013","FY 2013","Currency=INR","Period=FY","BEST_FPERIOD_OVERRIDE=FY","FILING_STATUS=MR","EQY_CONSOLIDATED=Y","FA_ADJUSTED=GAAP","Sort=A","Dates=H","DateFormat=P","Fill=—","Direction=H","UseDPDF=Y")</f>
        <v>11.0776</v>
      </c>
      <c r="M17" s="18">
        <f>_xll.BDH("DEWH IN Equity","PROF_MARGIN","FY 2014","FY 2014","Currency=INR","Period=FY","BEST_FPERIOD_OVERRIDE=FY","FILING_STATUS=MR","EQY_CONSOLIDATED=Y","FA_ADJUSTED=GAAP","Sort=A","Dates=H","DateFormat=P","Fill=—","Direction=H","UseDPDF=Y")</f>
        <v>10.6488</v>
      </c>
      <c r="N17" s="18">
        <f>_xll.BDH("DEWH IN Equity","PROF_MARGIN","FY 2015","FY 2015","Currency=INR","Period=FY","BEST_FPERIOD_OVERRIDE=FY","FILING_STATUS=MR","EQY_CONSOLIDATED=Y","FA_ADJUSTED=GAAP","Sort=A","Dates=H","DateFormat=P","Fill=—","Direction=H","UseDPDF=Y")</f>
        <v>10.391299999999999</v>
      </c>
      <c r="O17" s="18">
        <f>_xll.BDH("DEWH IN Equity","PROF_MARGIN","FY 2016","FY 2016","Currency=INR","Period=FY","BEST_FPERIOD_OVERRIDE=FY","FILING_STATUS=MR","EQY_CONSOLIDATED=Y","FA_ADJUSTED=GAAP","Sort=A","Dates=H","DateFormat=P","Fill=—","Direction=H","UseDPDF=Y")</f>
        <v>9.5637000000000008</v>
      </c>
      <c r="P17" s="18">
        <f>_xll.BDH("DEWH IN Equity","PROF_MARGIN","FY 2017","FY 2017","Currency=INR","Period=FY","BEST_FPERIOD_OVERRIDE=FY","FILING_STATUS=MR","EQY_CONSOLIDATED=Y","FA_ADJUSTED=GAAP","Sort=A","Dates=H","DateFormat=P","Fill=—","Direction=H","UseDPDF=Y")</f>
        <v>29.202200000000001</v>
      </c>
      <c r="Q17" s="18">
        <f>_xll.BDH("DEWH IN Equity","PROF_MARGIN","FY 2018","FY 2018","Currency=INR","Period=FY","BEST_FPERIOD_OVERRIDE=FY","FILING_STATUS=MR","EQY_CONSOLIDATED=Y","FA_ADJUSTED=GAAP","Sort=A","Dates=H","DateFormat=P","Fill=—","Direction=H","UseDPDF=Y")</f>
        <v>11.6441</v>
      </c>
      <c r="R17" s="18">
        <f>_xll.BDH("DEWH IN Equity","PROF_MARGIN","FY 2019","FY 2019","Currency=INR","Period=FY","BEST_FPERIOD_OVERRIDE=FY","FILING_STATUS=MR","EQY_CONSOLIDATED=Y","FA_ADJUSTED=GAAP","Sort=A","Dates=H","DateFormat=P","Fill=—","Direction=H","UseDPDF=Y")</f>
        <v>-7.4981</v>
      </c>
      <c r="S17" s="18">
        <f>_xll.BDH("DEWH IN Equity","PROF_MARGIN","FY 2020","FY 2020","Currency=INR","Period=FY","BEST_FPERIOD_OVERRIDE=FY","FILING_STATUS=MR","EQY_CONSOLIDATED=Y","FA_ADJUSTED=GAAP","Sort=A","Dates=H","DateFormat=P","Fill=—","Direction=H","UseDPDF=Y")</f>
        <v>-140.78120000000001</v>
      </c>
      <c r="T17" s="18">
        <f>_xll.BDH("DEWH IN Equity","PROF_MARGIN","FY 2021","FY 2021","Currency=INR","Period=FY","BEST_FPERIOD_OVERRIDE=FY","FILING_STATUS=MR","EQY_CONSOLIDATED=Y","FA_ADJUSTED=GAAP","Sort=A","Dates=H","DateFormat=P","Fill=—","Direction=H","UseDPDF=Y")</f>
        <v>-171.60839999999999</v>
      </c>
      <c r="U17" s="18">
        <f>_xll.BDH("DEWH IN Equity","PROF_MARGIN","FY 2022","FY 2022","Currency=INR","Period=FY","BEST_FPERIOD_OVERRIDE=FY","FILING_STATUS=MR","EQY_CONSOLIDATED=Y","FA_ADJUSTED=GAAP","Sort=A","Dates=H","DateFormat=P","Fill=—","Direction=H","UseDPDF=Y")</f>
        <v>8.8567</v>
      </c>
    </row>
    <row r="18" spans="1:21" x14ac:dyDescent="0.25">
      <c r="A18" s="3" t="s">
        <v>52</v>
      </c>
      <c r="B18" s="3" t="s">
        <v>53</v>
      </c>
      <c r="C18" s="18">
        <f>_xll.BDH("DEWH IN Equity","NET_INCOME_TO_COMMON_MARGIN","FY 2004","FY 2004","Currency=INR","Period=FY","BEST_FPERIOD_OVERRIDE=FY","FILING_STATUS=MR","EQY_CONSOLIDATED=Y","FA_ADJUSTED=GAAP","Sort=A","Dates=H","DateFormat=P","Fill=—","Direction=H","UseDPDF=Y")</f>
        <v>39.577199999999998</v>
      </c>
      <c r="D18" s="18">
        <f>_xll.BDH("DEWH IN Equity","NET_INCOME_TO_COMMON_MARGIN","FY 2005","FY 2005","Currency=INR","Period=FY","BEST_FPERIOD_OVERRIDE=FY","FILING_STATUS=MR","EQY_CONSOLIDATED=Y","FA_ADJUSTED=GAAP","Sort=A","Dates=H","DateFormat=P","Fill=—","Direction=H","UseDPDF=Y")</f>
        <v>47.178899999999999</v>
      </c>
      <c r="E18" s="18">
        <f>_xll.BDH("DEWH IN Equity","NET_INCOME_TO_COMMON_MARGIN","FY 2006","FY 2006","Currency=INR","Period=FY","BEST_FPERIOD_OVERRIDE=FY","FILING_STATUS=MR","EQY_CONSOLIDATED=Y","FA_ADJUSTED=GAAP","Sort=A","Dates=H","DateFormat=P","Fill=—","Direction=H","UseDPDF=Y")</f>
        <v>50.4056</v>
      </c>
      <c r="F18" s="18">
        <f>_xll.BDH("DEWH IN Equity","NET_INCOME_TO_COMMON_MARGIN","FY 2007","FY 2007","Currency=INR","Period=FY","BEST_FPERIOD_OVERRIDE=FY","FILING_STATUS=MR","EQY_CONSOLIDATED=Y","FA_ADJUSTED=GAAP","Sort=A","Dates=H","DateFormat=P","Fill=—","Direction=H","UseDPDF=Y")</f>
        <v>44.548699999999997</v>
      </c>
      <c r="G18" s="18">
        <f>_xll.BDH("DEWH IN Equity","NET_INCOME_TO_COMMON_MARGIN","FY 2008","FY 2008","Currency=INR","Period=FY","BEST_FPERIOD_OVERRIDE=FY","FILING_STATUS=MR","EQY_CONSOLIDATED=Y","FA_ADJUSTED=GAAP","Sort=A","Dates=H","DateFormat=P","Fill=—","Direction=H","UseDPDF=Y")</f>
        <v>50.769199999999998</v>
      </c>
      <c r="H18" s="18">
        <f>_xll.BDH("DEWH IN Equity","NET_INCOME_TO_COMMON_MARGIN","FY 2009","FY 2009","Currency=INR","Period=FY","BEST_FPERIOD_OVERRIDE=FY","FILING_STATUS=MR","EQY_CONSOLIDATED=Y","FA_ADJUSTED=GAAP","Sort=A","Dates=H","DateFormat=P","Fill=—","Direction=H","UseDPDF=Y")</f>
        <v>44.817700000000002</v>
      </c>
      <c r="I18" s="18">
        <f>_xll.BDH("DEWH IN Equity","NET_INCOME_TO_COMMON_MARGIN","FY 2010","FY 2010","Currency=INR","Period=FY","BEST_FPERIOD_OVERRIDE=FY","FILING_STATUS=MR","EQY_CONSOLIDATED=Y","FA_ADJUSTED=GAAP","Sort=A","Dates=H","DateFormat=P","Fill=—","Direction=H","UseDPDF=Y")</f>
        <v>45.192100000000003</v>
      </c>
      <c r="J18" s="18">
        <f>_xll.BDH("DEWH IN Equity","NET_INCOME_TO_COMMON_MARGIN","FY 2011","FY 2011","Currency=INR","Period=FY","BEST_FPERIOD_OVERRIDE=FY","FILING_STATUS=MR","EQY_CONSOLIDATED=Y","FA_ADJUSTED=GAAP","Sort=A","Dates=H","DateFormat=P","Fill=—","Direction=H","UseDPDF=Y")</f>
        <v>46.178800000000003</v>
      </c>
      <c r="K18" s="18">
        <f>_xll.BDH("DEWH IN Equity","NET_INCOME_TO_COMMON_MARGIN","FY 2012","FY 2012","Currency=INR","Period=FY","BEST_FPERIOD_OVERRIDE=FY","FILING_STATUS=MR","EQY_CONSOLIDATED=Y","FA_ADJUSTED=GAAP","Sort=A","Dates=H","DateFormat=P","Fill=—","Direction=H","UseDPDF=Y")</f>
        <v>37.346600000000002</v>
      </c>
      <c r="L18" s="18">
        <f>_xll.BDH("DEWH IN Equity","NET_INCOME_TO_COMMON_MARGIN","FY 2013","FY 2013","Currency=INR","Period=FY","BEST_FPERIOD_OVERRIDE=FY","FILING_STATUS=MR","EQY_CONSOLIDATED=Y","FA_ADJUSTED=GAAP","Sort=A","Dates=H","DateFormat=P","Fill=—","Direction=H","UseDPDF=Y")</f>
        <v>47.088299999999997</v>
      </c>
      <c r="M18" s="18">
        <f>_xll.BDH("DEWH IN Equity","NET_INCOME_TO_COMMON_MARGIN","FY 2014","FY 2014","Currency=INR","Period=FY","BEST_FPERIOD_OVERRIDE=FY","FILING_STATUS=MR","EQY_CONSOLIDATED=Y","FA_ADJUSTED=GAAP","Sort=A","Dates=H","DateFormat=P","Fill=—","Direction=H","UseDPDF=Y")</f>
        <v>44.637599999999999</v>
      </c>
      <c r="N18" s="18">
        <f>_xll.BDH("DEWH IN Equity","NET_INCOME_TO_COMMON_MARGIN","FY 2015","FY 2015","Currency=INR","Period=FY","BEST_FPERIOD_OVERRIDE=FY","FILING_STATUS=MR","EQY_CONSOLIDATED=Y","FA_ADJUSTED=GAAP","Sort=A","Dates=H","DateFormat=P","Fill=—","Direction=H","UseDPDF=Y")</f>
        <v>40.891300000000001</v>
      </c>
      <c r="O18" s="18">
        <f>_xll.BDH("DEWH IN Equity","NET_INCOME_TO_COMMON_MARGIN","FY 2016","FY 2016","Currency=INR","Period=FY","BEST_FPERIOD_OVERRIDE=FY","FILING_STATUS=MR","EQY_CONSOLIDATED=Y","FA_ADJUSTED=GAAP","Sort=A","Dates=H","DateFormat=P","Fill=—","Direction=H","UseDPDF=Y")</f>
        <v>29.139399999999998</v>
      </c>
      <c r="P18" s="18">
        <f>_xll.BDH("DEWH IN Equity","NET_INCOME_TO_COMMON_MARGIN","FY 2017","FY 2017","Currency=INR","Period=FY","BEST_FPERIOD_OVERRIDE=FY","FILING_STATUS=MR","EQY_CONSOLIDATED=Y","FA_ADJUSTED=GAAP","Sort=A","Dates=H","DateFormat=P","Fill=—","Direction=H","UseDPDF=Y")</f>
        <v>89.569199999999995</v>
      </c>
      <c r="Q18" s="18">
        <f>_xll.BDH("DEWH IN Equity","NET_INCOME_TO_COMMON_MARGIN","FY 2018","FY 2018","Currency=INR","Period=FY","BEST_FPERIOD_OVERRIDE=FY","FILING_STATUS=MR","EQY_CONSOLIDATED=Y","FA_ADJUSTED=GAAP","Sort=A","Dates=H","DateFormat=P","Fill=—","Direction=H","UseDPDF=Y")</f>
        <v>40.681699999999999</v>
      </c>
      <c r="R18" s="18">
        <f>_xll.BDH("DEWH IN Equity","NET_INCOME_TO_COMMON_MARGIN","FY 2019","FY 2019","Currency=INR","Period=FY","BEST_FPERIOD_OVERRIDE=FY","FILING_STATUS=MR","EQY_CONSOLIDATED=Y","FA_ADJUSTED=GAAP","Sort=A","Dates=H","DateFormat=P","Fill=—","Direction=H","UseDPDF=Y")</f>
        <v>-27.874300000000002</v>
      </c>
      <c r="S18" s="18">
        <f>_xll.BDH("DEWH IN Equity","NET_INCOME_TO_COMMON_MARGIN","FY 2020","FY 2020","Currency=INR","Period=FY","BEST_FPERIOD_OVERRIDE=FY","FILING_STATUS=MR","EQY_CONSOLIDATED=Y","FA_ADJUSTED=GAAP","Sort=A","Dates=H","DateFormat=P","Fill=—","Direction=H","UseDPDF=Y")</f>
        <v>-352.08499999999998</v>
      </c>
      <c r="T18" s="18">
        <f>_xll.BDH("DEWH IN Equity","NET_INCOME_TO_COMMON_MARGIN","FY 2021","FY 2021","Currency=INR","Period=FY","BEST_FPERIOD_OVERRIDE=FY","FILING_STATUS=MR","EQY_CONSOLIDATED=Y","FA_ADJUSTED=GAAP","Sort=A","Dates=H","DateFormat=P","Fill=—","Direction=H","UseDPDF=Y")</f>
        <v>-175.99260000000001</v>
      </c>
      <c r="U18" s="18">
        <f>_xll.BDH("DEWH IN Equity","NET_INCOME_TO_COMMON_MARGIN","FY 2022","FY 2022","Currency=INR","Period=FY","BEST_FPERIOD_OVERRIDE=FY","FILING_STATUS=MR","EQY_CONSOLIDATED=Y","FA_ADJUSTED=GAAP","Sort=A","Dates=H","DateFormat=P","Fill=—","Direction=H","UseDPDF=Y")</f>
        <v>19.558700000000002</v>
      </c>
    </row>
    <row r="19" spans="1:21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2" t="s">
        <v>54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25">
      <c r="A21" s="3" t="s">
        <v>55</v>
      </c>
      <c r="B21" s="3" t="s">
        <v>56</v>
      </c>
      <c r="C21" s="18">
        <f>_xll.BDH("DEWH IN Equity","EFF_TAX_RATE","FY 2004","FY 2004","Currency=INR","Period=FY","BEST_FPERIOD_OVERRIDE=FY","FILING_STATUS=MR","EQY_CONSOLIDATED=Y","FA_ADJUSTED=GAAP","Sort=A","Dates=H","DateFormat=P","Fill=—","Direction=H","UseDPDF=Y")</f>
        <v>19.025700000000001</v>
      </c>
      <c r="D21" s="18">
        <f>_xll.BDH("DEWH IN Equity","EFF_TAX_RATE","FY 2005","FY 2005","Currency=INR","Period=FY","BEST_FPERIOD_OVERRIDE=FY","FILING_STATUS=MR","EQY_CONSOLIDATED=Y","FA_ADJUSTED=GAAP","Sort=A","Dates=H","DateFormat=P","Fill=—","Direction=H","UseDPDF=Y")</f>
        <v>20.317299999999999</v>
      </c>
      <c r="E21" s="18">
        <f>_xll.BDH("DEWH IN Equity","EFF_TAX_RATE","FY 2006","FY 2006","Currency=INR","Period=FY","BEST_FPERIOD_OVERRIDE=FY","FILING_STATUS=MR","EQY_CONSOLIDATED=Y","FA_ADJUSTED=GAAP","Sort=A","Dates=H","DateFormat=P","Fill=—","Direction=H","UseDPDF=Y")</f>
        <v>17.2517</v>
      </c>
      <c r="F21" s="18">
        <f>_xll.BDH("DEWH IN Equity","EFF_TAX_RATE","FY 2007","FY 2007","Currency=INR","Period=FY","BEST_FPERIOD_OVERRIDE=FY","FILING_STATUS=MR","EQY_CONSOLIDATED=Y","FA_ADJUSTED=GAAP","Sort=A","Dates=H","DateFormat=P","Fill=—","Direction=H","UseDPDF=Y")</f>
        <v>18.8414</v>
      </c>
      <c r="G21" s="18">
        <f>_xll.BDH("DEWH IN Equity","EFF_TAX_RATE","FY 2008","FY 2008","Currency=INR","Period=FY","BEST_FPERIOD_OVERRIDE=FY","FILING_STATUS=MR","EQY_CONSOLIDATED=Y","FA_ADJUSTED=GAAP","Sort=A","Dates=H","DateFormat=P","Fill=—","Direction=H","UseDPDF=Y")</f>
        <v>22.363900000000001</v>
      </c>
      <c r="H21" s="18">
        <f>_xll.BDH("DEWH IN Equity","EFF_TAX_RATE","FY 2009","FY 2009","Currency=INR","Period=FY","BEST_FPERIOD_OVERRIDE=FY","FILING_STATUS=MR","EQY_CONSOLIDATED=Y","FA_ADJUSTED=GAAP","Sort=A","Dates=H","DateFormat=P","Fill=—","Direction=H","UseDPDF=Y")</f>
        <v>26.451000000000001</v>
      </c>
      <c r="I21" s="18">
        <f>_xll.BDH("DEWH IN Equity","EFF_TAX_RATE","FY 2010","FY 2010","Currency=INR","Period=FY","BEST_FPERIOD_OVERRIDE=FY","FILING_STATUS=MR","EQY_CONSOLIDATED=Y","FA_ADJUSTED=GAAP","Sort=A","Dates=H","DateFormat=P","Fill=—","Direction=H","UseDPDF=Y")</f>
        <v>25.7437</v>
      </c>
      <c r="J21" s="18">
        <f>_xll.BDH("DEWH IN Equity","EFF_TAX_RATE","FY 2011","FY 2011","Currency=INR","Period=FY","BEST_FPERIOD_OVERRIDE=FY","FILING_STATUS=MR","EQY_CONSOLIDATED=Y","FA_ADJUSTED=GAAP","Sort=A","Dates=H","DateFormat=P","Fill=—","Direction=H","UseDPDF=Y")</f>
        <v>24.032800000000002</v>
      </c>
      <c r="K21" s="18">
        <f>_xll.BDH("DEWH IN Equity","EFF_TAX_RATE","FY 2012","FY 2012","Currency=INR","Period=FY","BEST_FPERIOD_OVERRIDE=FY","FILING_STATUS=MR","EQY_CONSOLIDATED=Y","FA_ADJUSTED=GAAP","Sort=A","Dates=H","DateFormat=P","Fill=—","Direction=H","UseDPDF=Y")</f>
        <v>26.851600000000001</v>
      </c>
      <c r="L21" s="18">
        <f>_xll.BDH("DEWH IN Equity","EFF_TAX_RATE","FY 2013","FY 2013","Currency=INR","Period=FY","BEST_FPERIOD_OVERRIDE=FY","FILING_STATUS=MR","EQY_CONSOLIDATED=Y","FA_ADJUSTED=GAAP","Sort=A","Dates=H","DateFormat=P","Fill=—","Direction=H","UseDPDF=Y")</f>
        <v>26.008700000000001</v>
      </c>
      <c r="M21" s="18">
        <f>_xll.BDH("DEWH IN Equity","EFF_TAX_RATE","FY 2014","FY 2014","Currency=INR","Period=FY","BEST_FPERIOD_OVERRIDE=FY","FILING_STATUS=MR","EQY_CONSOLIDATED=Y","FA_ADJUSTED=GAAP","Sort=A","Dates=H","DateFormat=P","Fill=—","Direction=H","UseDPDF=Y")</f>
        <v>28.038</v>
      </c>
      <c r="N21" s="18">
        <f>_xll.BDH("DEWH IN Equity","EFF_TAX_RATE","FY 2015","FY 2015","Currency=INR","Period=FY","BEST_FPERIOD_OVERRIDE=FY","FILING_STATUS=MR","EQY_CONSOLIDATED=Y","FA_ADJUSTED=GAAP","Sort=A","Dates=H","DateFormat=P","Fill=—","Direction=H","UseDPDF=Y")</f>
        <v>34.118400000000001</v>
      </c>
      <c r="O21" s="18">
        <f>_xll.BDH("DEWH IN Equity","EFF_TAX_RATE","FY 2016","FY 2016","Currency=INR","Period=FY","BEST_FPERIOD_OVERRIDE=FY","FILING_STATUS=MR","EQY_CONSOLIDATED=Y","FA_ADJUSTED=GAAP","Sort=A","Dates=H","DateFormat=P","Fill=—","Direction=H","UseDPDF=Y")</f>
        <v>33.611400000000003</v>
      </c>
      <c r="P21" s="18">
        <f>_xll.BDH("DEWH IN Equity","EFF_TAX_RATE","FY 2017","FY 2017","Currency=INR","Period=FY","BEST_FPERIOD_OVERRIDE=FY","FILING_STATUS=MR","EQY_CONSOLIDATED=Y","FA_ADJUSTED=GAAP","Sort=A","Dates=H","DateFormat=P","Fill=—","Direction=H","UseDPDF=Y")</f>
        <v>14.6478</v>
      </c>
      <c r="Q21" s="18">
        <f>_xll.BDH("DEWH IN Equity","EFF_TAX_RATE","FY 2018","FY 2018","Currency=INR","Period=FY","BEST_FPERIOD_OVERRIDE=FY","FILING_STATUS=MR","EQY_CONSOLIDATED=Y","FA_ADJUSTED=GAAP","Sort=A","Dates=H","DateFormat=P","Fill=—","Direction=H","UseDPDF=Y")</f>
        <v>27.0305</v>
      </c>
      <c r="R21" s="18" t="str">
        <f>_xll.BDH("DEWH IN Equity","EFF_TAX_RATE","FY 2019","FY 2019","Currency=INR","Period=FY","BEST_FPERIOD_OVERRIDE=FY","FILING_STATUS=MR","EQY_CONSOLIDATED=Y","FA_ADJUSTED=GAAP","Sort=A","Dates=H","DateFormat=P","Fill=—","Direction=H","UseDPDF=Y")</f>
        <v>—</v>
      </c>
      <c r="S21" s="18" t="str">
        <f>_xll.BDH("DEWH IN Equity","EFF_TAX_RATE","FY 2020","FY 2020","Currency=INR","Period=FY","BEST_FPERIOD_OVERRIDE=FY","FILING_STATUS=MR","EQY_CONSOLIDATED=Y","FA_ADJUSTED=GAAP","Sort=A","Dates=H","DateFormat=P","Fill=—","Direction=H","UseDPDF=Y")</f>
        <v>—</v>
      </c>
      <c r="T21" s="18" t="str">
        <f>_xll.BDH("DEWH IN Equity","EFF_TAX_RATE","FY 2021","FY 2021","Currency=INR","Period=FY","BEST_FPERIOD_OVERRIDE=FY","FILING_STATUS=MR","EQY_CONSOLIDATED=Y","FA_ADJUSTED=GAAP","Sort=A","Dates=H","DateFormat=P","Fill=—","Direction=H","UseDPDF=Y")</f>
        <v>—</v>
      </c>
      <c r="U21" s="18">
        <f>_xll.BDH("DEWH IN Equity","EFF_TAX_RATE","FY 2022","FY 2022","Currency=INR","Period=FY","BEST_FPERIOD_OVERRIDE=FY","FILING_STATUS=MR","EQY_CONSOLIDATED=Y","FA_ADJUSTED=GAAP","Sort=A","Dates=H","DateFormat=P","Fill=—","Direction=H","UseDPDF=Y")</f>
        <v>25.842300000000002</v>
      </c>
    </row>
    <row r="22" spans="1:21" x14ac:dyDescent="0.25">
      <c r="A22" s="3" t="s">
        <v>57</v>
      </c>
      <c r="B22" s="3" t="s">
        <v>58</v>
      </c>
      <c r="C22" s="18">
        <f>_xll.BDH("DEWH IN Equity","DVD_PAYOUT_RATIO","FY 2004","FY 2004","Currency=INR","Period=FY","BEST_FPERIOD_OVERRIDE=FY","FILING_STATUS=MR","EQY_CONSOLIDATED=Y","FA_ADJUSTED=GAAP","Sort=A","Dates=H","DateFormat=P","Fill=—","Direction=H","UseDPDF=Y")</f>
        <v>38.606499999999997</v>
      </c>
      <c r="D22" s="18">
        <f>_xll.BDH("DEWH IN Equity","DVD_PAYOUT_RATIO","FY 2005","FY 2005","Currency=INR","Period=FY","BEST_FPERIOD_OVERRIDE=FY","FILING_STATUS=MR","EQY_CONSOLIDATED=Y","FA_ADJUSTED=GAAP","Sort=A","Dates=H","DateFormat=P","Fill=—","Direction=H","UseDPDF=Y")</f>
        <v>36.664900000000003</v>
      </c>
      <c r="E22" s="18">
        <f>_xll.BDH("DEWH IN Equity","DVD_PAYOUT_RATIO","FY 2006","FY 2006","Currency=INR","Period=FY","BEST_FPERIOD_OVERRIDE=FY","FILING_STATUS=MR","EQY_CONSOLIDATED=Y","FA_ADJUSTED=GAAP","Sort=A","Dates=H","DateFormat=P","Fill=—","Direction=H","UseDPDF=Y")</f>
        <v>30.906099999999999</v>
      </c>
      <c r="F22" s="18">
        <f>_xll.BDH("DEWH IN Equity","DVD_PAYOUT_RATIO","FY 2007","FY 2007","Currency=INR","Period=FY","BEST_FPERIOD_OVERRIDE=FY","FILING_STATUS=MR","EQY_CONSOLIDATED=Y","FA_ADJUSTED=GAAP","Sort=A","Dates=H","DateFormat=P","Fill=—","Direction=H","UseDPDF=Y")</f>
        <v>26.952000000000002</v>
      </c>
      <c r="G22" s="18">
        <f>_xll.BDH("DEWH IN Equity","DVD_PAYOUT_RATIO","FY 2008","FY 2008","Currency=INR","Period=FY","BEST_FPERIOD_OVERRIDE=FY","FILING_STATUS=MR","EQY_CONSOLIDATED=Y","FA_ADJUSTED=GAAP","Sort=A","Dates=H","DateFormat=P","Fill=—","Direction=H","UseDPDF=Y")</f>
        <v>19.270700000000001</v>
      </c>
      <c r="H22" s="18">
        <f>_xll.BDH("DEWH IN Equity","DVD_PAYOUT_RATIO","FY 2009","FY 2009","Currency=INR","Period=FY","BEST_FPERIOD_OVERRIDE=FY","FILING_STATUS=MR","EQY_CONSOLIDATED=Y","FA_ADJUSTED=GAAP","Sort=A","Dates=H","DateFormat=P","Fill=—","Direction=H","UseDPDF=Y")</f>
        <v>16.0578</v>
      </c>
      <c r="I22" s="18">
        <f>_xll.BDH("DEWH IN Equity","DVD_PAYOUT_RATIO","FY 2010","FY 2010","Currency=INR","Period=FY","BEST_FPERIOD_OVERRIDE=FY","FILING_STATUS=MR","EQY_CONSOLIDATED=Y","FA_ADJUSTED=GAAP","Sort=A","Dates=H","DateFormat=P","Fill=—","Direction=H","UseDPDF=Y")</f>
        <v>16.3308</v>
      </c>
      <c r="J22" s="18">
        <f>_xll.BDH("DEWH IN Equity","DVD_PAYOUT_RATIO","FY 2011","FY 2011","Currency=INR","Period=FY","BEST_FPERIOD_OVERRIDE=FY","FILING_STATUS=MR","EQY_CONSOLIDATED=Y","FA_ADJUSTED=GAAP","Sort=A","Dates=H","DateFormat=P","Fill=—","Direction=H","UseDPDF=Y")</f>
        <v>11.113099999999999</v>
      </c>
      <c r="K22" s="18">
        <f>_xll.BDH("DEWH IN Equity","DVD_PAYOUT_RATIO","FY 2012","FY 2012","Currency=INR","Period=FY","BEST_FPERIOD_OVERRIDE=FY","FILING_STATUS=MR","EQY_CONSOLIDATED=Y","FA_ADJUSTED=GAAP","Sort=A","Dates=H","DateFormat=P","Fill=—","Direction=H","UseDPDF=Y")</f>
        <v>12.6313</v>
      </c>
      <c r="L22" s="18">
        <f>_xll.BDH("DEWH IN Equity","DVD_PAYOUT_RATIO","FY 2013","FY 2013","Currency=INR","Period=FY","BEST_FPERIOD_OVERRIDE=FY","FILING_STATUS=MR","EQY_CONSOLIDATED=Y","FA_ADJUSTED=GAAP","Sort=A","Dates=H","DateFormat=P","Fill=—","Direction=H","UseDPDF=Y")</f>
        <v>8.5138999999999996</v>
      </c>
      <c r="M22" s="18">
        <f>_xll.BDH("DEWH IN Equity","DVD_PAYOUT_RATIO","FY 2014","FY 2014","Currency=INR","Period=FY","BEST_FPERIOD_OVERRIDE=FY","FILING_STATUS=MR","EQY_CONSOLIDATED=Y","FA_ADJUSTED=GAAP","Sort=A","Dates=H","DateFormat=P","Fill=—","Direction=H","UseDPDF=Y")</f>
        <v>12.138</v>
      </c>
      <c r="N22" s="18">
        <f>_xll.BDH("DEWH IN Equity","DVD_PAYOUT_RATIO","FY 2015","FY 2015","Currency=INR","Period=FY","BEST_FPERIOD_OVERRIDE=FY","FILING_STATUS=MR","EQY_CONSOLIDATED=Y","FA_ADJUSTED=GAAP","Sort=A","Dates=H","DateFormat=P","Fill=—","Direction=H","UseDPDF=Y")</f>
        <v>14.0685</v>
      </c>
      <c r="O22" s="18">
        <f>_xll.BDH("DEWH IN Equity","DVD_PAYOUT_RATIO","FY 2016","FY 2016","Currency=INR","Period=FY","BEST_FPERIOD_OVERRIDE=FY","FILING_STATUS=MR","EQY_CONSOLIDATED=Y","FA_ADJUSTED=GAAP","Sort=A","Dates=H","DateFormat=P","Fill=—","Direction=H","UseDPDF=Y")</f>
        <v>31.153099999999998</v>
      </c>
      <c r="P22" s="18">
        <f>_xll.BDH("DEWH IN Equity","DVD_PAYOUT_RATIO","FY 2017","FY 2017","Currency=INR","Period=FY","BEST_FPERIOD_OVERRIDE=FY","FILING_STATUS=MR","EQY_CONSOLIDATED=Y","FA_ADJUSTED=GAAP","Sort=A","Dates=H","DateFormat=P","Fill=—","Direction=H","UseDPDF=Y")</f>
        <v>4.4635999999999996</v>
      </c>
      <c r="Q22" s="18">
        <f>_xll.BDH("DEWH IN Equity","DVD_PAYOUT_RATIO","FY 2018","FY 2018","Currency=INR","Period=FY","BEST_FPERIOD_OVERRIDE=FY","FILING_STATUS=MR","EQY_CONSOLIDATED=Y","FA_ADJUSTED=GAAP","Sort=A","Dates=H","DateFormat=P","Fill=—","Direction=H","UseDPDF=Y")</f>
        <v>13.6625</v>
      </c>
      <c r="R22" s="18" t="str">
        <f>_xll.BDH("DEWH IN Equity","DVD_PAYOUT_RATIO","FY 2019","FY 2019","Currency=INR","Period=FY","BEST_FPERIOD_OVERRIDE=FY","FILING_STATUS=MR","EQY_CONSOLIDATED=Y","FA_ADJUSTED=GAAP","Sort=A","Dates=H","DateFormat=P","Fill=—","Direction=H","UseDPDF=Y")</f>
        <v>—</v>
      </c>
      <c r="S22" s="18" t="str">
        <f>_xll.BDH("DEWH IN Equity","DVD_PAYOUT_RATIO","FY 2020","FY 2020","Currency=INR","Period=FY","BEST_FPERIOD_OVERRIDE=FY","FILING_STATUS=MR","EQY_CONSOLIDATED=Y","FA_ADJUSTED=GAAP","Sort=A","Dates=H","DateFormat=P","Fill=—","Direction=H","UseDPDF=Y")</f>
        <v>—</v>
      </c>
      <c r="T22" s="18" t="str">
        <f>_xll.BDH("DEWH IN Equity","DVD_PAYOUT_RATIO","FY 2021","FY 2021","Currency=INR","Period=FY","BEST_FPERIOD_OVERRIDE=FY","FILING_STATUS=MR","EQY_CONSOLIDATED=Y","FA_ADJUSTED=GAAP","Sort=A","Dates=H","DateFormat=P","Fill=—","Direction=H","UseDPDF=Y")</f>
        <v>—</v>
      </c>
      <c r="U22" s="18">
        <f>_xll.BDH("DEWH IN Equity","DVD_PAYOUT_RATIO","FY 2022","FY 2022","Currency=INR","Period=FY","BEST_FPERIOD_OVERRIDE=FY","FILING_STATUS=MR","EQY_CONSOLIDATED=Y","FA_ADJUSTED=GAAP","Sort=A","Dates=H","DateFormat=P","Fill=—","Direction=H","UseDPDF=Y")</f>
        <v>0</v>
      </c>
    </row>
    <row r="23" spans="1:21" x14ac:dyDescent="0.25">
      <c r="A23" s="3" t="s">
        <v>59</v>
      </c>
      <c r="B23" s="3" t="s">
        <v>60</v>
      </c>
      <c r="C23" s="18" t="str">
        <f>_xll.BDH("DEWH IN Equity","SUSTAIN_GROWTH_RT","FY 2004","FY 2004","Currency=INR","Period=FY","BEST_FPERIOD_OVERRIDE=FY","FILING_STATUS=MR","EQY_CONSOLIDATED=Y","FA_ADJUSTED=GAAP","Sort=A","Dates=H","DateFormat=P","Fill=—","Direction=H","UseDPDF=Y")</f>
        <v>—</v>
      </c>
      <c r="D23" s="18">
        <f>_xll.BDH("DEWH IN Equity","SUSTAIN_GROWTH_RT","FY 2005","FY 2005","Currency=INR","Period=FY","BEST_FPERIOD_OVERRIDE=FY","FILING_STATUS=MR","EQY_CONSOLIDATED=Y","FA_ADJUSTED=GAAP","Sort=A","Dates=H","DateFormat=P","Fill=—","Direction=H","UseDPDF=Y")</f>
        <v>11.648400000000001</v>
      </c>
      <c r="E23" s="18">
        <f>_xll.BDH("DEWH IN Equity","SUSTAIN_GROWTH_RT","FY 2006","FY 2006","Currency=INR","Period=FY","BEST_FPERIOD_OVERRIDE=FY","FILING_STATUS=MR","EQY_CONSOLIDATED=Y","FA_ADJUSTED=GAAP","Sort=A","Dates=H","DateFormat=P","Fill=—","Direction=H","UseDPDF=Y")</f>
        <v>12.7921</v>
      </c>
      <c r="F23" s="18">
        <f>_xll.BDH("DEWH IN Equity","SUSTAIN_GROWTH_RT","FY 2007","FY 2007","Currency=INR","Period=FY","BEST_FPERIOD_OVERRIDE=FY","FILING_STATUS=MR","EQY_CONSOLIDATED=Y","FA_ADJUSTED=GAAP","Sort=A","Dates=H","DateFormat=P","Fill=—","Direction=H","UseDPDF=Y")</f>
        <v>12.323499999999999</v>
      </c>
      <c r="G23" s="18">
        <f>_xll.BDH("DEWH IN Equity","SUSTAIN_GROWTH_RT","FY 2008","FY 2008","Currency=INR","Period=FY","BEST_FPERIOD_OVERRIDE=FY","FILING_STATUS=MR","EQY_CONSOLIDATED=Y","FA_ADJUSTED=GAAP","Sort=A","Dates=H","DateFormat=P","Fill=—","Direction=H","UseDPDF=Y")</f>
        <v>17.897099999999998</v>
      </c>
      <c r="H23" s="18">
        <f>_xll.BDH("DEWH IN Equity","SUSTAIN_GROWTH_RT","FY 2009","FY 2009","Currency=INR","Period=FY","BEST_FPERIOD_OVERRIDE=FY","FILING_STATUS=MR","EQY_CONSOLIDATED=Y","FA_ADJUSTED=GAAP","Sort=A","Dates=H","DateFormat=P","Fill=—","Direction=H","UseDPDF=Y")</f>
        <v>16.502500000000001</v>
      </c>
      <c r="I23" s="18">
        <f>_xll.BDH("DEWH IN Equity","SUSTAIN_GROWTH_RT","FY 2010","FY 2010","Currency=INR","Period=FY","BEST_FPERIOD_OVERRIDE=FY","FILING_STATUS=MR","EQY_CONSOLIDATED=Y","FA_ADJUSTED=GAAP","Sort=A","Dates=H","DateFormat=P","Fill=—","Direction=H","UseDPDF=Y")</f>
        <v>18.4404</v>
      </c>
      <c r="J23" s="18">
        <f>_xll.BDH("DEWH IN Equity","SUSTAIN_GROWTH_RT","FY 2011","FY 2011","Currency=INR","Period=FY","BEST_FPERIOD_OVERRIDE=FY","FILING_STATUS=MR","EQY_CONSOLIDATED=Y","FA_ADJUSTED=GAAP","Sort=A","Dates=H","DateFormat=P","Fill=—","Direction=H","UseDPDF=Y")</f>
        <v>23.9802</v>
      </c>
      <c r="K23" s="18">
        <f>_xll.BDH("DEWH IN Equity","SUSTAIN_GROWTH_RT","FY 2012","FY 2012","Currency=INR","Period=FY","BEST_FPERIOD_OVERRIDE=FY","FILING_STATUS=MR","EQY_CONSOLIDATED=Y","FA_ADJUSTED=GAAP","Sort=A","Dates=H","DateFormat=P","Fill=—","Direction=H","UseDPDF=Y")</f>
        <v>15.813499999999999</v>
      </c>
      <c r="L23" s="18">
        <f>_xll.BDH("DEWH IN Equity","SUSTAIN_GROWTH_RT","FY 2013","FY 2013","Currency=INR","Period=FY","BEST_FPERIOD_OVERRIDE=FY","FILING_STATUS=MR","EQY_CONSOLIDATED=Y","FA_ADJUSTED=GAAP","Sort=A","Dates=H","DateFormat=P","Fill=—","Direction=H","UseDPDF=Y")</f>
        <v>15.722099999999999</v>
      </c>
      <c r="M23" s="18">
        <f>_xll.BDH("DEWH IN Equity","SUSTAIN_GROWTH_RT","FY 2014","FY 2014","Currency=INR","Period=FY","BEST_FPERIOD_OVERRIDE=FY","FILING_STATUS=MR","EQY_CONSOLIDATED=Y","FA_ADJUSTED=GAAP","Sort=A","Dates=H","DateFormat=P","Fill=—","Direction=H","UseDPDF=Y")</f>
        <v>13.646100000000001</v>
      </c>
      <c r="N23" s="18">
        <f>_xll.BDH("DEWH IN Equity","SUSTAIN_GROWTH_RT","FY 2015","FY 2015","Currency=INR","Period=FY","BEST_FPERIOD_OVERRIDE=FY","FILING_STATUS=MR","EQY_CONSOLIDATED=Y","FA_ADJUSTED=GAAP","Sort=A","Dates=H","DateFormat=P","Fill=—","Direction=H","UseDPDF=Y")</f>
        <v>13.0045</v>
      </c>
      <c r="O23" s="18">
        <f>_xll.BDH("DEWH IN Equity","SUSTAIN_GROWTH_RT","FY 2016","FY 2016","Currency=INR","Period=FY","BEST_FPERIOD_OVERRIDE=FY","FILING_STATUS=MR","EQY_CONSOLIDATED=Y","FA_ADJUSTED=GAAP","Sort=A","Dates=H","DateFormat=P","Fill=—","Direction=H","UseDPDF=Y")</f>
        <v>10.2911</v>
      </c>
      <c r="P23" s="18">
        <f>_xll.BDH("DEWH IN Equity","SUSTAIN_GROWTH_RT","FY 2017","FY 2017","Currency=INR","Period=FY","BEST_FPERIOD_OVERRIDE=FY","FILING_STATUS=MR","EQY_CONSOLIDATED=Y","FA_ADJUSTED=GAAP","Sort=A","Dates=H","DateFormat=P","Fill=—","Direction=H","UseDPDF=Y")</f>
        <v>40.868299999999998</v>
      </c>
      <c r="Q23" s="18">
        <f>_xll.BDH("DEWH IN Equity","SUSTAIN_GROWTH_RT","FY 2018","FY 2018","Currency=INR","Period=FY","BEST_FPERIOD_OVERRIDE=FY","FILING_STATUS=MR","EQY_CONSOLIDATED=Y","FA_ADJUSTED=GAAP","Sort=A","Dates=H","DateFormat=P","Fill=—","Direction=H","UseDPDF=Y")</f>
        <v>13.0402</v>
      </c>
      <c r="R23" s="18" t="str">
        <f>_xll.BDH("DEWH IN Equity","SUSTAIN_GROWTH_RT","FY 2019","FY 2019","Currency=INR","Period=FY","BEST_FPERIOD_OVERRIDE=FY","FILING_STATUS=MR","EQY_CONSOLIDATED=Y","FA_ADJUSTED=GAAP","Sort=A","Dates=H","DateFormat=P","Fill=—","Direction=H","UseDPDF=Y")</f>
        <v>—</v>
      </c>
      <c r="S23" s="18" t="str">
        <f>_xll.BDH("DEWH IN Equity","SUSTAIN_GROWTH_RT","FY 2020","FY 2020","Currency=INR","Period=FY","BEST_FPERIOD_OVERRIDE=FY","FILING_STATUS=MR","EQY_CONSOLIDATED=Y","FA_ADJUSTED=GAAP","Sort=A","Dates=H","DateFormat=P","Fill=—","Direction=H","UseDPDF=Y")</f>
        <v>—</v>
      </c>
      <c r="T23" s="18" t="str">
        <f>_xll.BDH("DEWH IN Equity","SUSTAIN_GROWTH_RT","FY 2021","FY 2021","Currency=INR","Period=FY","BEST_FPERIOD_OVERRIDE=FY","FILING_STATUS=MR","EQY_CONSOLIDATED=Y","FA_ADJUSTED=GAAP","Sort=A","Dates=H","DateFormat=P","Fill=—","Direction=H","UseDPDF=Y")</f>
        <v>—</v>
      </c>
      <c r="U23" s="18" t="str">
        <f>_xll.BDH("DEWH IN Equity","SUSTAIN_GROWTH_RT","FY 2022","FY 2022","Currency=INR","Period=FY","BEST_FPERIOD_OVERRIDE=FY","FILING_STATUS=MR","EQY_CONSOLIDATED=Y","FA_ADJUSTED=GAAP","Sort=A","Dates=H","DateFormat=P","Fill=—","Direction=H","UseDPDF=Y")</f>
        <v>—</v>
      </c>
    </row>
    <row r="24" spans="1:21" x14ac:dyDescent="0.25">
      <c r="A24" s="13" t="s">
        <v>61</v>
      </c>
      <c r="B24" s="13"/>
      <c r="C24" s="13" t="s"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A891-E06B-45F1-A2BC-49B2987C3126}">
  <dimension ref="A1:Q23"/>
  <sheetViews>
    <sheetView workbookViewId="0">
      <selection activeCell="E27" sqref="E27"/>
    </sheetView>
  </sheetViews>
  <sheetFormatPr defaultRowHeight="15" x14ac:dyDescent="0.25"/>
  <cols>
    <col min="1" max="1" width="35.140625" customWidth="1"/>
    <col min="2" max="2" width="0" hidden="1" customWidth="1"/>
    <col min="3" max="17" width="11.85546875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0.25" x14ac:dyDescent="0.25">
      <c r="A2" s="14" t="s">
        <v>116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6" t="s">
        <v>3</v>
      </c>
      <c r="B4" s="6"/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92</v>
      </c>
      <c r="I4" s="5" t="s">
        <v>93</v>
      </c>
      <c r="J4" s="5" t="s">
        <v>94</v>
      </c>
      <c r="K4" s="5" t="s">
        <v>95</v>
      </c>
      <c r="L4" s="5" t="s">
        <v>96</v>
      </c>
      <c r="M4" s="5" t="s">
        <v>97</v>
      </c>
      <c r="N4" s="5" t="s">
        <v>98</v>
      </c>
      <c r="O4" s="5" t="s">
        <v>99</v>
      </c>
      <c r="P4" s="5" t="s">
        <v>112</v>
      </c>
      <c r="Q4" s="5" t="s">
        <v>117</v>
      </c>
    </row>
    <row r="5" spans="1:17" x14ac:dyDescent="0.25">
      <c r="A5" s="15" t="s">
        <v>15</v>
      </c>
      <c r="B5" s="15"/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100</v>
      </c>
      <c r="I5" s="4" t="s">
        <v>101</v>
      </c>
      <c r="J5" s="4" t="s">
        <v>102</v>
      </c>
      <c r="K5" s="4" t="s">
        <v>103</v>
      </c>
      <c r="L5" s="4" t="s">
        <v>104</v>
      </c>
      <c r="M5" s="4" t="s">
        <v>105</v>
      </c>
      <c r="N5" s="4" t="s">
        <v>106</v>
      </c>
      <c r="O5" s="4" t="s">
        <v>107</v>
      </c>
      <c r="P5" s="4" t="s">
        <v>113</v>
      </c>
      <c r="Q5" s="4" t="s">
        <v>118</v>
      </c>
    </row>
    <row r="6" spans="1:17" x14ac:dyDescent="0.25">
      <c r="A6" s="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3" t="s">
        <v>29</v>
      </c>
      <c r="B7" s="3" t="s">
        <v>30</v>
      </c>
      <c r="C7" s="18" t="str">
        <f>_xll.BDH("YES IN Equity","RETURN_COM_EQY","FY 2009","FY 2009","Currency=INR","Period=FY","BEST_FPERIOD_OVERRIDE=FY","FILING_STATUS=MR","EQY_CONSOLIDATED=Y","FA_ADJUSTED=GAAP","Sort=A","Dates=H","DateFormat=P","Fill=—","Direction=H","UseDPDF=Y")</f>
        <v>—</v>
      </c>
      <c r="D7" s="18">
        <f>_xll.BDH("YES IN Equity","RETURN_COM_EQY","FY 2010","FY 2010","Currency=INR","Period=FY","BEST_FPERIOD_OVERRIDE=FY","FILING_STATUS=MR","EQY_CONSOLIDATED=Y","FA_ADJUSTED=GAAP","Sort=A","Dates=H","DateFormat=P","Fill=—","Direction=H","UseDPDF=Y")</f>
        <v>20.27</v>
      </c>
      <c r="E7" s="18">
        <f>_xll.BDH("YES IN Equity","RETURN_COM_EQY","FY 2011","FY 2011","Currency=INR","Period=FY","BEST_FPERIOD_OVERRIDE=FY","FILING_STATUS=MR","EQY_CONSOLIDATED=Y","FA_ADJUSTED=GAAP","Sort=A","Dates=H","DateFormat=P","Fill=—","Direction=H","UseDPDF=Y")</f>
        <v>21.1266</v>
      </c>
      <c r="F7" s="18">
        <f>_xll.BDH("YES IN Equity","RETURN_COM_EQY","FY 2012","FY 2012","Currency=INR","Period=FY","BEST_FPERIOD_OVERRIDE=FY","FILING_STATUS=MR","EQY_CONSOLIDATED=Y","FA_ADJUSTED=GAAP","Sort=A","Dates=H","DateFormat=P","Fill=—","Direction=H","UseDPDF=Y")</f>
        <v>23.067699999999999</v>
      </c>
      <c r="G7" s="18">
        <f>_xll.BDH("YES IN Equity","RETURN_COM_EQY","FY 2013","FY 2013","Currency=INR","Period=FY","BEST_FPERIOD_OVERRIDE=FY","FILING_STATUS=MR","EQY_CONSOLIDATED=Y","FA_ADJUSTED=GAAP","Sort=A","Dates=H","DateFormat=P","Fill=—","Direction=H","UseDPDF=Y")</f>
        <v>24.812000000000001</v>
      </c>
      <c r="H7" s="18">
        <f>_xll.BDH("YES IN Equity","RETURN_COM_EQY","FY 2014","FY 2014","Currency=INR","Period=FY","BEST_FPERIOD_OVERRIDE=FY","FILING_STATUS=MR","EQY_CONSOLIDATED=Y","FA_ADJUSTED=GAAP","Sort=A","Dates=H","DateFormat=P","Fill=—","Direction=H","UseDPDF=Y")</f>
        <v>24.936499999999999</v>
      </c>
      <c r="I7" s="18">
        <f>_xll.BDH("YES IN Equity","RETURN_COM_EQY","FY 2015","FY 2015","Currency=INR","Period=FY","BEST_FPERIOD_OVERRIDE=FY","FILING_STATUS=MR","EQY_CONSOLIDATED=Y","FA_ADJUSTED=GAAP","Sort=A","Dates=H","DateFormat=P","Fill=—","Direction=H","UseDPDF=Y")</f>
        <v>21.271000000000001</v>
      </c>
      <c r="J7" s="18">
        <f>_xll.BDH("YES IN Equity","RETURN_COM_EQY","FY 2016","FY 2016","Currency=INR","Period=FY","BEST_FPERIOD_OVERRIDE=FY","FILING_STATUS=MR","EQY_CONSOLIDATED=Y","FA_ADJUSTED=GAAP","Sort=A","Dates=H","DateFormat=P","Fill=—","Direction=H","UseDPDF=Y")</f>
        <v>19.896999999999998</v>
      </c>
      <c r="K7" s="18">
        <f>_xll.BDH("YES IN Equity","RETURN_COM_EQY","FY 2017","FY 2017","Currency=INR","Period=FY","BEST_FPERIOD_OVERRIDE=FY","FILING_STATUS=MR","EQY_CONSOLIDATED=Y","FA_ADJUSTED=GAAP","Sort=A","Dates=H","DateFormat=P","Fill=—","Direction=H","UseDPDF=Y")</f>
        <v>18.657499999999999</v>
      </c>
      <c r="L7" s="18">
        <f>_xll.BDH("YES IN Equity","RETURN_COM_EQY","FY 2018","FY 2018","Currency=INR","Period=FY","BEST_FPERIOD_OVERRIDE=FY","FILING_STATUS=MR","EQY_CONSOLIDATED=Y","FA_ADJUSTED=GAAP","Sort=A","Dates=H","DateFormat=P","Fill=—","Direction=H","UseDPDF=Y")</f>
        <v>17.7151</v>
      </c>
      <c r="M7" s="18">
        <f>_xll.BDH("YES IN Equity","RETURN_COM_EQY","FY 2019","FY 2019","Currency=INR","Period=FY","BEST_FPERIOD_OVERRIDE=FY","FILING_STATUS=MR","EQY_CONSOLIDATED=Y","FA_ADJUSTED=GAAP","Sort=A","Dates=H","DateFormat=P","Fill=—","Direction=H","UseDPDF=Y")</f>
        <v>6.4942000000000002</v>
      </c>
      <c r="N7" s="18">
        <f>_xll.BDH("YES IN Equity","RETURN_COM_EQY","FY 2020","FY 2020","Currency=INR","Period=FY","BEST_FPERIOD_OVERRIDE=FY","FILING_STATUS=MR","EQY_CONSOLIDATED=Y","FA_ADJUSTED=GAAP","Sort=A","Dates=H","DateFormat=P","Fill=—","Direction=H","UseDPDF=Y")</f>
        <v>-67.648300000000006</v>
      </c>
      <c r="O7" s="18">
        <f>_xll.BDH("YES IN Equity","RETURN_COM_EQY","FY 2021","FY 2021","Currency=INR","Period=FY","BEST_FPERIOD_OVERRIDE=FY","FILING_STATUS=MR","EQY_CONSOLIDATED=Y","FA_ADJUSTED=GAAP","Sort=A","Dates=H","DateFormat=P","Fill=—","Direction=H","UseDPDF=Y")</f>
        <v>-12.7256</v>
      </c>
      <c r="P7" s="18">
        <f>_xll.BDH("YES IN Equity","RETURN_COM_EQY","FY 2022","FY 2022","Currency=INR","Period=FY","BEST_FPERIOD_OVERRIDE=FY","FILING_STATUS=MR","EQY_CONSOLIDATED=Y","FA_ADJUSTED=GAAP","Sort=A","Dates=H","DateFormat=P","Fill=—","Direction=H","UseDPDF=Y")</f>
        <v>3.1840000000000002</v>
      </c>
      <c r="Q7" s="18">
        <f>_xll.BDH("YES IN Equity","RETURN_COM_EQY","FY 2023","FY 2023","Currency=INR","Period=FY","BEST_FPERIOD_OVERRIDE=FY","FILING_STATUS=MR","EQY_CONSOLIDATED=Y","FA_ADJUSTED=GAAP","Sort=A","Dates=H","DateFormat=P","Fill=—","Direction=H","UseDPDF=Y")</f>
        <v>1.9776</v>
      </c>
    </row>
    <row r="8" spans="1:17" x14ac:dyDescent="0.25">
      <c r="A8" s="3" t="s">
        <v>31</v>
      </c>
      <c r="B8" s="3" t="s">
        <v>32</v>
      </c>
      <c r="C8" s="18" t="str">
        <f>_xll.BDH("YES IN Equity","RETURN_ON_ASSET","FY 2009","FY 2009","Currency=INR","Period=FY","BEST_FPERIOD_OVERRIDE=FY","FILING_STATUS=MR","EQY_CONSOLIDATED=Y","FA_ADJUSTED=GAAP","Sort=A","Dates=H","DateFormat=P","Fill=—","Direction=H","UseDPDF=Y")</f>
        <v>—</v>
      </c>
      <c r="D8" s="18">
        <f>_xll.BDH("YES IN Equity","RETURN_ON_ASSET","FY 2010","FY 2010","Currency=INR","Period=FY","BEST_FPERIOD_OVERRIDE=FY","FILING_STATUS=MR","EQY_CONSOLIDATED=Y","FA_ADJUSTED=GAAP","Sort=A","Dates=H","DateFormat=P","Fill=—","Direction=H","UseDPDF=Y")</f>
        <v>1.6116999999999999</v>
      </c>
      <c r="E8" s="18">
        <f>_xll.BDH("YES IN Equity","RETURN_ON_ASSET","FY 2011","FY 2011","Currency=INR","Period=FY","BEST_FPERIOD_OVERRIDE=FY","FILING_STATUS=MR","EQY_CONSOLIDATED=Y","FA_ADJUSTED=GAAP","Sort=A","Dates=H","DateFormat=P","Fill=—","Direction=H","UseDPDF=Y")</f>
        <v>1.5246</v>
      </c>
      <c r="F8" s="18">
        <f>_xll.BDH("YES IN Equity","RETURN_ON_ASSET","FY 2012","FY 2012","Currency=INR","Period=FY","BEST_FPERIOD_OVERRIDE=FY","FILING_STATUS=MR","EQY_CONSOLIDATED=Y","FA_ADJUSTED=GAAP","Sort=A","Dates=H","DateFormat=P","Fill=—","Direction=H","UseDPDF=Y")</f>
        <v>1.4728000000000001</v>
      </c>
      <c r="G8" s="18">
        <f>_xll.BDH("YES IN Equity","RETURN_ON_ASSET","FY 2013","FY 2013","Currency=INR","Period=FY","BEST_FPERIOD_OVERRIDE=FY","FILING_STATUS=MR","EQY_CONSOLIDATED=Y","FA_ADJUSTED=GAAP","Sort=A","Dates=H","DateFormat=P","Fill=—","Direction=H","UseDPDF=Y")</f>
        <v>1.5057</v>
      </c>
      <c r="H8" s="18">
        <f>_xll.BDH("YES IN Equity","RETURN_ON_ASSET","FY 2014","FY 2014","Currency=INR","Period=FY","BEST_FPERIOD_OVERRIDE=FY","FILING_STATUS=MR","EQY_CONSOLIDATED=Y","FA_ADJUSTED=GAAP","Sort=A","Dates=H","DateFormat=P","Fill=—","Direction=H","UseDPDF=Y")</f>
        <v>1.5485</v>
      </c>
      <c r="I8" s="18">
        <f>_xll.BDH("YES IN Equity","RETURN_ON_ASSET","FY 2015","FY 2015","Currency=INR","Period=FY","BEST_FPERIOD_OVERRIDE=FY","FILING_STATUS=MR","EQY_CONSOLIDATED=Y","FA_ADJUSTED=GAAP","Sort=A","Dates=H","DateFormat=P","Fill=—","Direction=H","UseDPDF=Y")</f>
        <v>1.6295999999999999</v>
      </c>
      <c r="J8" s="18">
        <f>_xll.BDH("YES IN Equity","RETURN_ON_ASSET","FY 2016","FY 2016","Currency=INR","Period=FY","BEST_FPERIOD_OVERRIDE=FY","FILING_STATUS=MR","EQY_CONSOLIDATED=Y","FA_ADJUSTED=GAAP","Sort=A","Dates=H","DateFormat=P","Fill=—","Direction=H","UseDPDF=Y")</f>
        <v>1.6787000000000001</v>
      </c>
      <c r="K8" s="18">
        <f>_xll.BDH("YES IN Equity","RETURN_ON_ASSET","FY 2017","FY 2017","Currency=INR","Period=FY","BEST_FPERIOD_OVERRIDE=FY","FILING_STATUS=MR","EQY_CONSOLIDATED=Y","FA_ADJUSTED=GAAP","Sort=A","Dates=H","DateFormat=P","Fill=—","Direction=H","UseDPDF=Y")</f>
        <v>1.7564</v>
      </c>
      <c r="L8" s="18">
        <f>_xll.BDH("YES IN Equity","RETURN_ON_ASSET","FY 2018","FY 2018","Currency=INR","Period=FY","BEST_FPERIOD_OVERRIDE=FY","FILING_STATUS=MR","EQY_CONSOLIDATED=Y","FA_ADJUSTED=GAAP","Sort=A","Dates=H","DateFormat=P","Fill=—","Direction=H","UseDPDF=Y")</f>
        <v>1.605</v>
      </c>
      <c r="M8" s="18">
        <f>_xll.BDH("YES IN Equity","RETURN_ON_ASSET","FY 2019","FY 2019","Currency=INR","Period=FY","BEST_FPERIOD_OVERRIDE=FY","FILING_STATUS=MR","EQY_CONSOLIDATED=Y","FA_ADJUSTED=GAAP","Sort=A","Dates=H","DateFormat=P","Fill=—","Direction=H","UseDPDF=Y")</f>
        <v>0.49309999999999998</v>
      </c>
      <c r="N8" s="18">
        <f>_xll.BDH("YES IN Equity","RETURN_ON_ASSET","FY 2020","FY 2020","Currency=INR","Period=FY","BEST_FPERIOD_OVERRIDE=FY","FILING_STATUS=MR","EQY_CONSOLIDATED=Y","FA_ADJUSTED=GAAP","Sort=A","Dates=H","DateFormat=P","Fill=—","Direction=H","UseDPDF=Y")</f>
        <v>-5.1456999999999997</v>
      </c>
      <c r="O8" s="18">
        <f>_xll.BDH("YES IN Equity","RETURN_ON_ASSET","FY 2021","FY 2021","Currency=INR","Period=FY","BEST_FPERIOD_OVERRIDE=FY","FILING_STATUS=MR","EQY_CONSOLIDATED=Y","FA_ADJUSTED=GAAP","Sort=A","Dates=H","DateFormat=P","Fill=—","Direction=H","UseDPDF=Y")</f>
        <v>-1.3129999999999999</v>
      </c>
      <c r="P8" s="18">
        <f>_xll.BDH("YES IN Equity","RETURN_ON_ASSET","FY 2022","FY 2022","Currency=INR","Period=FY","BEST_FPERIOD_OVERRIDE=FY","FILING_STATUS=MR","EQY_CONSOLIDATED=Y","FA_ADJUSTED=GAAP","Sort=A","Dates=H","DateFormat=P","Fill=—","Direction=H","UseDPDF=Y")</f>
        <v>0.3594</v>
      </c>
      <c r="Q8" s="18">
        <f>_xll.BDH("YES IN Equity","RETURN_ON_ASSET","FY 2023","FY 2023","Currency=INR","Period=FY","BEST_FPERIOD_OVERRIDE=FY","FILING_STATUS=MR","EQY_CONSOLIDATED=Y","FA_ADJUSTED=GAAP","Sort=A","Dates=H","DateFormat=P","Fill=—","Direction=H","UseDPDF=Y")</f>
        <v>0.21840000000000001</v>
      </c>
    </row>
    <row r="9" spans="1:17" x14ac:dyDescent="0.25">
      <c r="A9" s="3" t="s">
        <v>33</v>
      </c>
      <c r="B9" s="3" t="s">
        <v>34</v>
      </c>
      <c r="C9" s="18" t="str">
        <f>_xll.BDH("YES IN Equity","RETURN_ON_CAP","FY 2009","FY 2009","Currency=INR","Period=FY","BEST_FPERIOD_OVERRIDE=FY","FILING_STATUS=MR","EQY_CONSOLIDATED=Y","FA_ADJUSTED=GAAP","Sort=A","Dates=H","DateFormat=P","Fill=—","Direction=H","UseDPDF=Y")</f>
        <v>—</v>
      </c>
      <c r="D9" s="18">
        <f>_xll.BDH("YES IN Equity","RETURN_ON_CAP","FY 2010","FY 2010","Currency=INR","Period=FY","BEST_FPERIOD_OVERRIDE=FY","FILING_STATUS=MR","EQY_CONSOLIDATED=Y","FA_ADJUSTED=GAAP","Sort=A","Dates=H","DateFormat=P","Fill=—","Direction=H","UseDPDF=Y")</f>
        <v>7.8514999999999997</v>
      </c>
      <c r="E9" s="18">
        <f>_xll.BDH("YES IN Equity","RETURN_ON_CAP","FY 2011","FY 2011","Currency=INR","Period=FY","BEST_FPERIOD_OVERRIDE=FY","FILING_STATUS=MR","EQY_CONSOLIDATED=Y","FA_ADJUSTED=GAAP","Sort=A","Dates=H","DateFormat=P","Fill=—","Direction=H","UseDPDF=Y")</f>
        <v>7.8506999999999998</v>
      </c>
      <c r="F9" s="18">
        <f>_xll.BDH("YES IN Equity","RETURN_ON_CAP","FY 2012","FY 2012","Currency=INR","Period=FY","BEST_FPERIOD_OVERRIDE=FY","FILING_STATUS=MR","EQY_CONSOLIDATED=Y","FA_ADJUSTED=GAAP","Sort=A","Dates=H","DateFormat=P","Fill=—","Direction=H","UseDPDF=Y")</f>
        <v>6.6036999999999999</v>
      </c>
      <c r="G9" s="18">
        <f>_xll.BDH("YES IN Equity","RETURN_ON_CAP","FY 2013","FY 2013","Currency=INR","Period=FY","BEST_FPERIOD_OVERRIDE=FY","FILING_STATUS=MR","EQY_CONSOLIDATED=Y","FA_ADJUSTED=GAAP","Sort=A","Dates=H","DateFormat=P","Fill=—","Direction=H","UseDPDF=Y")</f>
        <v>5.6685999999999996</v>
      </c>
      <c r="H9" s="18">
        <f>_xll.BDH("YES IN Equity","RETURN_ON_CAP","FY 2014","FY 2014","Currency=INR","Period=FY","BEST_FPERIOD_OVERRIDE=FY","FILING_STATUS=MR","EQY_CONSOLIDATED=Y","FA_ADJUSTED=GAAP","Sort=A","Dates=H","DateFormat=P","Fill=—","Direction=H","UseDPDF=Y")</f>
        <v>5.8067000000000002</v>
      </c>
      <c r="I9" s="18">
        <f>_xll.BDH("YES IN Equity","RETURN_ON_CAP","FY 2015","FY 2015","Currency=INR","Period=FY","BEST_FPERIOD_OVERRIDE=FY","FILING_STATUS=MR","EQY_CONSOLIDATED=Y","FA_ADJUSTED=GAAP","Sort=A","Dates=H","DateFormat=P","Fill=—","Direction=H","UseDPDF=Y")</f>
        <v>5.9748000000000001</v>
      </c>
      <c r="J9" s="18">
        <f>_xll.BDH("YES IN Equity","RETURN_ON_CAP","FY 2016","FY 2016","Currency=INR","Period=FY","BEST_FPERIOD_OVERRIDE=FY","FILING_STATUS=MR","EQY_CONSOLIDATED=Y","FA_ADJUSTED=GAAP","Sort=A","Dates=H","DateFormat=P","Fill=—","Direction=H","UseDPDF=Y")</f>
        <v>6.0255999999999998</v>
      </c>
      <c r="K9" s="18">
        <f>_xll.BDH("YES IN Equity","RETURN_ON_CAP","FY 2017","FY 2017","Currency=INR","Period=FY","BEST_FPERIOD_OVERRIDE=FY","FILING_STATUS=MR","EQY_CONSOLIDATED=Y","FA_ADJUSTED=GAAP","Sort=A","Dates=H","DateFormat=P","Fill=—","Direction=H","UseDPDF=Y")</f>
        <v>6.2441000000000004</v>
      </c>
      <c r="L9" s="18">
        <f>_xll.BDH("YES IN Equity","RETURN_ON_CAP","FY 2018","FY 2018","Currency=INR","Period=FY","BEST_FPERIOD_OVERRIDE=FY","FILING_STATUS=MR","EQY_CONSOLIDATED=Y","FA_ADJUSTED=GAAP","Sort=A","Dates=H","DateFormat=P","Fill=—","Direction=H","UseDPDF=Y")</f>
        <v>5.2004999999999999</v>
      </c>
      <c r="M9" s="18">
        <f>_xll.BDH("YES IN Equity","RETURN_ON_CAP","FY 2019","FY 2019","Currency=INR","Period=FY","BEST_FPERIOD_OVERRIDE=FY","FILING_STATUS=MR","EQY_CONSOLIDATED=Y","FA_ADJUSTED=GAAP","Sort=A","Dates=H","DateFormat=P","Fill=—","Direction=H","UseDPDF=Y")</f>
        <v>1.4408000000000001</v>
      </c>
      <c r="N9" s="18">
        <f>_xll.BDH("YES IN Equity","RETURN_ON_CAP","FY 2020","FY 2020","Currency=INR","Period=FY","BEST_FPERIOD_OVERRIDE=FY","FILING_STATUS=MR","EQY_CONSOLIDATED=Y","FA_ADJUSTED=GAAP","Sort=A","Dates=H","DateFormat=P","Fill=—","Direction=H","UseDPDF=Y")</f>
        <v>-12.1061</v>
      </c>
      <c r="O9" s="18">
        <f>_xll.BDH("YES IN Equity","RETURN_ON_CAP","FY 2021","FY 2021","Currency=INR","Period=FY","BEST_FPERIOD_OVERRIDE=FY","FILING_STATUS=MR","EQY_CONSOLIDATED=Y","FA_ADJUSTED=GAAP","Sort=A","Dates=H","DateFormat=P","Fill=—","Direction=H","UseDPDF=Y")</f>
        <v>-2.9893000000000001</v>
      </c>
      <c r="P9" s="18">
        <f>_xll.BDH("YES IN Equity","RETURN_ON_CAP","FY 2022","FY 2022","Currency=INR","Period=FY","BEST_FPERIOD_OVERRIDE=FY","FILING_STATUS=MR","EQY_CONSOLIDATED=Y","FA_ADJUSTED=GAAP","Sort=A","Dates=H","DateFormat=P","Fill=—","Direction=H","UseDPDF=Y")</f>
        <v>1.0409999999999999</v>
      </c>
      <c r="Q9" s="18">
        <f>_xll.BDH("YES IN Equity","RETURN_ON_CAP","FY 2023","FY 2023","Currency=INR","Period=FY","BEST_FPERIOD_OVERRIDE=FY","FILING_STATUS=MR","EQY_CONSOLIDATED=Y","FA_ADJUSTED=GAAP","Sort=A","Dates=H","DateFormat=P","Fill=—","Direction=H","UseDPDF=Y")</f>
        <v>0.6512</v>
      </c>
    </row>
    <row r="10" spans="1:17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25">
      <c r="A11" s="2" t="s">
        <v>37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3" t="s">
        <v>42</v>
      </c>
      <c r="B12" s="3" t="s">
        <v>43</v>
      </c>
      <c r="C12" s="18">
        <f>_xll.BDH("YES IN Equity","OPER_MARGIN","FY 2009","FY 2009","Currency=INR","Period=FY","BEST_FPERIOD_OVERRIDE=FY","FILING_STATUS=MR","EQY_CONSOLIDATED=Y","FA_ADJUSTED=GAAP","Sort=A","Dates=H","DateFormat=P","Fill=—","Direction=H","UseDPDF=Y")</f>
        <v>48.224499999999999</v>
      </c>
      <c r="D12" s="18">
        <f>_xll.BDH("YES IN Equity","OPER_MARGIN","FY 2010","FY 2010","Currency=INR","Period=FY","BEST_FPERIOD_OVERRIDE=FY","FILING_STATUS=MR","EQY_CONSOLIDATED=Y","FA_ADJUSTED=GAAP","Sort=A","Dates=H","DateFormat=P","Fill=—","Direction=H","UseDPDF=Y")</f>
        <v>53.890599999999999</v>
      </c>
      <c r="E12" s="18">
        <f>_xll.BDH("YES IN Equity","OPER_MARGIN","FY 2011","FY 2011","Currency=INR","Period=FY","BEST_FPERIOD_OVERRIDE=FY","FILING_STATUS=MR","EQY_CONSOLIDATED=Y","FA_ADJUSTED=GAAP","Sort=A","Dates=H","DateFormat=P","Fill=—","Direction=H","UseDPDF=Y")</f>
        <v>58.175400000000003</v>
      </c>
      <c r="F12" s="18">
        <f>_xll.BDH("YES IN Equity","OPER_MARGIN","FY 2012","FY 2012","Currency=INR","Period=FY","BEST_FPERIOD_OVERRIDE=FY","FILING_STATUS=MR","EQY_CONSOLIDATED=Y","FA_ADJUSTED=GAAP","Sort=A","Dates=H","DateFormat=P","Fill=—","Direction=H","UseDPDF=Y")</f>
        <v>59.021900000000002</v>
      </c>
      <c r="G12" s="18">
        <f>_xll.BDH("YES IN Equity","OPER_MARGIN","FY 2013","FY 2013","Currency=INR","Period=FY","BEST_FPERIOD_OVERRIDE=FY","FILING_STATUS=MR","EQY_CONSOLIDATED=Y","FA_ADJUSTED=GAAP","Sort=A","Dates=H","DateFormat=P","Fill=—","Direction=H","UseDPDF=Y")</f>
        <v>55.349600000000002</v>
      </c>
      <c r="H12" s="18">
        <f>_xll.BDH("YES IN Equity","OPER_MARGIN","FY 2014","FY 2014","Currency=INR","Period=FY","BEST_FPERIOD_OVERRIDE=FY","FILING_STATUS=MR","EQY_CONSOLIDATED=Y","FA_ADJUSTED=GAAP","Sort=A","Dates=H","DateFormat=P","Fill=—","Direction=H","UseDPDF=Y")</f>
        <v>53.300199999999997</v>
      </c>
      <c r="I12" s="18">
        <f>_xll.BDH("YES IN Equity","OPER_MARGIN","FY 2015","FY 2015","Currency=INR","Period=FY","BEST_FPERIOD_OVERRIDE=FY","FILING_STATUS=MR","EQY_CONSOLIDATED=Y","FA_ADJUSTED=GAAP","Sort=A","Dates=H","DateFormat=P","Fill=—","Direction=H","UseDPDF=Y")</f>
        <v>52.4191</v>
      </c>
      <c r="J12" s="18">
        <f>_xll.BDH("YES IN Equity","OPER_MARGIN","FY 2016","FY 2016","Currency=INR","Period=FY","BEST_FPERIOD_OVERRIDE=FY","FILING_STATUS=MR","EQY_CONSOLIDATED=Y","FA_ADJUSTED=GAAP","Sort=A","Dates=H","DateFormat=P","Fill=—","Direction=H","UseDPDF=Y")</f>
        <v>51.4895</v>
      </c>
      <c r="K12" s="18">
        <f>_xll.BDH("YES IN Equity","OPER_MARGIN","FY 2017","FY 2017","Currency=INR","Period=FY","BEST_FPERIOD_OVERRIDE=FY","FILING_STATUS=MR","EQY_CONSOLIDATED=Y","FA_ADJUSTED=GAAP","Sort=A","Dates=H","DateFormat=P","Fill=—","Direction=H","UseDPDF=Y")</f>
        <v>51.029299999999999</v>
      </c>
      <c r="L12" s="18">
        <f>_xll.BDH("YES IN Equity","OPER_MARGIN","FY 2018","FY 2018","Currency=INR","Period=FY","BEST_FPERIOD_OVERRIDE=FY","FILING_STATUS=MR","EQY_CONSOLIDATED=Y","FA_ADJUSTED=GAAP","Sort=A","Dates=H","DateFormat=P","Fill=—","Direction=H","UseDPDF=Y")</f>
        <v>47.608899999999998</v>
      </c>
      <c r="M12" s="18">
        <f>_xll.BDH("YES IN Equity","OPER_MARGIN","FY 2019","FY 2019","Currency=INR","Period=FY","BEST_FPERIOD_OVERRIDE=FY","FILING_STATUS=MR","EQY_CONSOLIDATED=Y","FA_ADJUSTED=GAAP","Sort=A","Dates=H","DateFormat=P","Fill=—","Direction=H","UseDPDF=Y")</f>
        <v>16.2135</v>
      </c>
      <c r="N12" s="18">
        <f>_xll.BDH("YES IN Equity","OPER_MARGIN","FY 2020","FY 2020","Currency=INR","Period=FY","BEST_FPERIOD_OVERRIDE=FY","FILING_STATUS=MR","EQY_CONSOLIDATED=Y","FA_ADJUSTED=GAAP","Sort=A","Dates=H","DateFormat=P","Fill=—","Direction=H","UseDPDF=Y")</f>
        <v>-111.1367</v>
      </c>
      <c r="O12" s="18">
        <f>_xll.BDH("YES IN Equity","OPER_MARGIN","FY 2021","FY 2021","Currency=INR","Period=FY","BEST_FPERIOD_OVERRIDE=FY","FILING_STATUS=MR","EQY_CONSOLIDATED=Y","FA_ADJUSTED=GAAP","Sort=A","Dates=H","DateFormat=P","Fill=—","Direction=H","UseDPDF=Y")</f>
        <v>-44.8949</v>
      </c>
      <c r="P12" s="18">
        <f>_xll.BDH("YES IN Equity","OPER_MARGIN","FY 2022","FY 2022","Currency=INR","Period=FY","BEST_FPERIOD_OVERRIDE=FY","FILING_STATUS=MR","EQY_CONSOLIDATED=Y","FA_ADJUSTED=GAAP","Sort=A","Dates=H","DateFormat=P","Fill=—","Direction=H","UseDPDF=Y")</f>
        <v>14.488899999999999</v>
      </c>
      <c r="Q12" s="18">
        <f>_xll.BDH("YES IN Equity","OPER_MARGIN","FY 2023","FY 2023","Currency=INR","Period=FY","BEST_FPERIOD_OVERRIDE=FY","FILING_STATUS=MR","EQY_CONSOLIDATED=Y","FA_ADJUSTED=GAAP","Sort=A","Dates=H","DateFormat=P","Fill=—","Direction=H","UseDPDF=Y")</f>
        <v>8.1593999999999998</v>
      </c>
    </row>
    <row r="13" spans="1:17" x14ac:dyDescent="0.25">
      <c r="A13" s="3" t="s">
        <v>44</v>
      </c>
      <c r="B13" s="3" t="s">
        <v>45</v>
      </c>
      <c r="C13" s="18" t="str">
        <f>_xll.BDH("YES IN Equity","INCREMENTAL_OPERATING_MARGIN","FY 2009","FY 2009","Currency=INR","Period=FY","BEST_FPERIOD_OVERRIDE=FY","FILING_STATUS=MR","EQY_CONSOLIDATED=Y","FA_ADJUSTED=GAAP","Sort=A","Dates=H","DateFormat=P","Fill=—","Direction=H","UseDPDF=Y")</f>
        <v>—</v>
      </c>
      <c r="D13" s="18">
        <f>_xll.BDH("YES IN Equity","INCREMENTAL_OPERATING_MARGIN","FY 2010","FY 2010","Currency=INR","Period=FY","BEST_FPERIOD_OVERRIDE=FY","FILING_STATUS=MR","EQY_CONSOLIDATED=Y","FA_ADJUSTED=GAAP","Sort=A","Dates=H","DateFormat=P","Fill=—","Direction=H","UseDPDF=Y")</f>
        <v>68.223699999999994</v>
      </c>
      <c r="E13" s="18">
        <f>_xll.BDH("YES IN Equity","INCREMENTAL_OPERATING_MARGIN","FY 2011","FY 2011","Currency=INR","Period=FY","BEST_FPERIOD_OVERRIDE=FY","FILING_STATUS=MR","EQY_CONSOLIDATED=Y","FA_ADJUSTED=GAAP","Sort=A","Dates=H","DateFormat=P","Fill=—","Direction=H","UseDPDF=Y")</f>
        <v>69.087900000000005</v>
      </c>
      <c r="F13" s="18">
        <f>_xll.BDH("YES IN Equity","INCREMENTAL_OPERATING_MARGIN","FY 2012","FY 2012","Currency=INR","Period=FY","BEST_FPERIOD_OVERRIDE=FY","FILING_STATUS=MR","EQY_CONSOLIDATED=Y","FA_ADJUSTED=GAAP","Sort=A","Dates=H","DateFormat=P","Fill=—","Direction=H","UseDPDF=Y")</f>
        <v>61.765000000000001</v>
      </c>
      <c r="G13" s="18">
        <f>_xll.BDH("YES IN Equity","INCREMENTAL_OPERATING_MARGIN","FY 2013","FY 2013","Currency=INR","Period=FY","BEST_FPERIOD_OVERRIDE=FY","FILING_STATUS=MR","EQY_CONSOLIDATED=Y","FA_ADJUSTED=GAAP","Sort=A","Dates=H","DateFormat=P","Fill=—","Direction=H","UseDPDF=Y")</f>
        <v>46.526200000000003</v>
      </c>
      <c r="H13" s="18">
        <f>_xll.BDH("YES IN Equity","INCREMENTAL_OPERATING_MARGIN","FY 2014","FY 2014","Currency=INR","Period=FY","BEST_FPERIOD_OVERRIDE=FY","FILING_STATUS=MR","EQY_CONSOLIDATED=Y","FA_ADJUSTED=GAAP","Sort=A","Dates=H","DateFormat=P","Fill=—","Direction=H","UseDPDF=Y")</f>
        <v>45.133899999999997</v>
      </c>
      <c r="I13" s="18">
        <f>_xll.BDH("YES IN Equity","INCREMENTAL_OPERATING_MARGIN","FY 2015","FY 2015","Currency=INR","Period=FY","BEST_FPERIOD_OVERRIDE=FY","FILING_STATUS=MR","EQY_CONSOLIDATED=Y","FA_ADJUSTED=GAAP","Sort=A","Dates=H","DateFormat=P","Fill=—","Direction=H","UseDPDF=Y")</f>
        <v>49.180799999999998</v>
      </c>
      <c r="J13" s="18">
        <f>_xll.BDH("YES IN Equity","INCREMENTAL_OPERATING_MARGIN","FY 2016","FY 2016","Currency=INR","Period=FY","BEST_FPERIOD_OVERRIDE=FY","FILING_STATUS=MR","EQY_CONSOLIDATED=Y","FA_ADJUSTED=GAAP","Sort=A","Dates=H","DateFormat=P","Fill=—","Direction=H","UseDPDF=Y")</f>
        <v>48.5625</v>
      </c>
      <c r="K13" s="18">
        <f>_xll.BDH("YES IN Equity","INCREMENTAL_OPERATING_MARGIN","FY 2017","FY 2017","Currency=INR","Period=FY","BEST_FPERIOD_OVERRIDE=FY","FILING_STATUS=MR","EQY_CONSOLIDATED=Y","FA_ADJUSTED=GAAP","Sort=A","Dates=H","DateFormat=P","Fill=—","Direction=H","UseDPDF=Y")</f>
        <v>49.742199999999997</v>
      </c>
      <c r="L13" s="18">
        <f>_xll.BDH("YES IN Equity","INCREMENTAL_OPERATING_MARGIN","FY 2018","FY 2018","Currency=INR","Period=FY","BEST_FPERIOD_OVERRIDE=FY","FILING_STATUS=MR","EQY_CONSOLIDATED=Y","FA_ADJUSTED=GAAP","Sort=A","Dates=H","DateFormat=P","Fill=—","Direction=H","UseDPDF=Y")</f>
        <v>36.784100000000002</v>
      </c>
      <c r="M13" s="18" t="str">
        <f>_xll.BDH("YES IN Equity","INCREMENTAL_OPERATING_MARGIN","FY 2019","FY 2019","Currency=INR","Period=FY","BEST_FPERIOD_OVERRIDE=FY","FILING_STATUS=MR","EQY_CONSOLIDATED=Y","FA_ADJUSTED=GAAP","Sort=A","Dates=H","DateFormat=P","Fill=—","Direction=H","UseDPDF=Y")</f>
        <v>—</v>
      </c>
      <c r="N13" s="18" t="str">
        <f>_xll.BDH("YES IN Equity","INCREMENTAL_OPERATING_MARGIN","FY 2020","FY 2020","Currency=INR","Period=FY","BEST_FPERIOD_OVERRIDE=FY","FILING_STATUS=MR","EQY_CONSOLIDATED=Y","FA_ADJUSTED=GAAP","Sort=A","Dates=H","DateFormat=P","Fill=—","Direction=H","UseDPDF=Y")</f>
        <v>—</v>
      </c>
      <c r="O13" s="18" t="str">
        <f>_xll.BDH("YES IN Equity","INCREMENTAL_OPERATING_MARGIN","FY 2021","FY 2021","Currency=INR","Period=FY","BEST_FPERIOD_OVERRIDE=FY","FILING_STATUS=MR","EQY_CONSOLIDATED=Y","FA_ADJUSTED=GAAP","Sort=A","Dates=H","DateFormat=P","Fill=—","Direction=H","UseDPDF=Y")</f>
        <v>—</v>
      </c>
      <c r="P13" s="18" t="str">
        <f>_xll.BDH("YES IN Equity","INCREMENTAL_OPERATING_MARGIN","FY 2022","FY 2022","Currency=INR","Period=FY","BEST_FPERIOD_OVERRIDE=FY","FILING_STATUS=MR","EQY_CONSOLIDATED=Y","FA_ADJUSTED=GAAP","Sort=A","Dates=H","DateFormat=P","Fill=—","Direction=H","UseDPDF=Y")</f>
        <v>—</v>
      </c>
      <c r="Q13" s="18" t="str">
        <f>_xll.BDH("YES IN Equity","INCREMENTAL_OPERATING_MARGIN","FY 2023","FY 2023","Currency=INR","Period=FY","BEST_FPERIOD_OVERRIDE=FY","FILING_STATUS=MR","EQY_CONSOLIDATED=Y","FA_ADJUSTED=GAAP","Sort=A","Dates=H","DateFormat=P","Fill=—","Direction=H","UseDPDF=Y")</f>
        <v>—</v>
      </c>
    </row>
    <row r="14" spans="1:17" x14ac:dyDescent="0.25">
      <c r="A14" s="3" t="s">
        <v>46</v>
      </c>
      <c r="B14" s="3" t="s">
        <v>114</v>
      </c>
      <c r="C14" s="18">
        <f>_xll.BDH("YES IN Equity","PRETAX_MARGIN","FY 2009","FY 2009","Currency=INR","Period=FY","BEST_FPERIOD_OVERRIDE=FY","FILING_STATUS=MR","EQY_CONSOLIDATED=Y","FA_ADJUSTED=GAAP","Sort=A","Dates=H","DateFormat=P","Fill=—","Direction=H","UseDPDF=Y")</f>
        <v>48.224499999999999</v>
      </c>
      <c r="D14" s="18">
        <f>_xll.BDH("YES IN Equity","PRETAX_MARGIN","FY 2010","FY 2010","Currency=INR","Period=FY","BEST_FPERIOD_OVERRIDE=FY","FILING_STATUS=MR","EQY_CONSOLIDATED=Y","FA_ADJUSTED=GAAP","Sort=A","Dates=H","DateFormat=P","Fill=—","Direction=H","UseDPDF=Y")</f>
        <v>53.890599999999999</v>
      </c>
      <c r="E14" s="18">
        <f>_xll.BDH("YES IN Equity","PRETAX_MARGIN","FY 2011","FY 2011","Currency=INR","Period=FY","BEST_FPERIOD_OVERRIDE=FY","FILING_STATUS=MR","EQY_CONSOLIDATED=Y","FA_ADJUSTED=GAAP","Sort=A","Dates=H","DateFormat=P","Fill=—","Direction=H","UseDPDF=Y")</f>
        <v>58.175400000000003</v>
      </c>
      <c r="F14" s="18">
        <f>_xll.BDH("YES IN Equity","PRETAX_MARGIN","FY 2012","FY 2012","Currency=INR","Period=FY","BEST_FPERIOD_OVERRIDE=FY","FILING_STATUS=MR","EQY_CONSOLIDATED=Y","FA_ADJUSTED=GAAP","Sort=A","Dates=H","DateFormat=P","Fill=—","Direction=H","UseDPDF=Y")</f>
        <v>59.021900000000002</v>
      </c>
      <c r="G14" s="18">
        <f>_xll.BDH("YES IN Equity","PRETAX_MARGIN","FY 2013","FY 2013","Currency=INR","Period=FY","BEST_FPERIOD_OVERRIDE=FY","FILING_STATUS=MR","EQY_CONSOLIDATED=Y","FA_ADJUSTED=GAAP","Sort=A","Dates=H","DateFormat=P","Fill=—","Direction=H","UseDPDF=Y")</f>
        <v>55.349600000000002</v>
      </c>
      <c r="H14" s="18">
        <f>_xll.BDH("YES IN Equity","PRETAX_MARGIN","FY 2014","FY 2014","Currency=INR","Period=FY","BEST_FPERIOD_OVERRIDE=FY","FILING_STATUS=MR","EQY_CONSOLIDATED=Y","FA_ADJUSTED=GAAP","Sort=A","Dates=H","DateFormat=P","Fill=—","Direction=H","UseDPDF=Y")</f>
        <v>53.300199999999997</v>
      </c>
      <c r="I14" s="18">
        <f>_xll.BDH("YES IN Equity","PRETAX_MARGIN","FY 2015","FY 2015","Currency=INR","Period=FY","BEST_FPERIOD_OVERRIDE=FY","FILING_STATUS=MR","EQY_CONSOLIDATED=Y","FA_ADJUSTED=GAAP","Sort=A","Dates=H","DateFormat=P","Fill=—","Direction=H","UseDPDF=Y")</f>
        <v>52.4191</v>
      </c>
      <c r="J14" s="18">
        <f>_xll.BDH("YES IN Equity","PRETAX_MARGIN","FY 2016","FY 2016","Currency=INR","Period=FY","BEST_FPERIOD_OVERRIDE=FY","FILING_STATUS=MR","EQY_CONSOLIDATED=Y","FA_ADJUSTED=GAAP","Sort=A","Dates=H","DateFormat=P","Fill=—","Direction=H","UseDPDF=Y")</f>
        <v>51.4895</v>
      </c>
      <c r="K14" s="18">
        <f>_xll.BDH("YES IN Equity","PRETAX_MARGIN","FY 2017","FY 2017","Currency=INR","Period=FY","BEST_FPERIOD_OVERRIDE=FY","FILING_STATUS=MR","EQY_CONSOLIDATED=Y","FA_ADJUSTED=GAAP","Sort=A","Dates=H","DateFormat=P","Fill=—","Direction=H","UseDPDF=Y")</f>
        <v>51.029299999999999</v>
      </c>
      <c r="L14" s="18">
        <f>_xll.BDH("YES IN Equity","PRETAX_MARGIN","FY 2018","FY 2018","Currency=INR","Period=FY","BEST_FPERIOD_OVERRIDE=FY","FILING_STATUS=MR","EQY_CONSOLIDATED=Y","FA_ADJUSTED=GAAP","Sort=A","Dates=H","DateFormat=P","Fill=—","Direction=H","UseDPDF=Y")</f>
        <v>47.608899999999998</v>
      </c>
      <c r="M14" s="18">
        <f>_xll.BDH("YES IN Equity","PRETAX_MARGIN","FY 2019","FY 2019","Currency=INR","Period=FY","BEST_FPERIOD_OVERRIDE=FY","FILING_STATUS=MR","EQY_CONSOLIDATED=Y","FA_ADJUSTED=GAAP","Sort=A","Dates=H","DateFormat=P","Fill=—","Direction=H","UseDPDF=Y")</f>
        <v>16.2135</v>
      </c>
      <c r="N14" s="18">
        <f>_xll.BDH("YES IN Equity","PRETAX_MARGIN","FY 2020","FY 2020","Currency=INR","Period=FY","BEST_FPERIOD_OVERRIDE=FY","FILING_STATUS=MR","EQY_CONSOLIDATED=Y","FA_ADJUSTED=GAAP","Sort=A","Dates=H","DateFormat=P","Fill=—","Direction=H","UseDPDF=Y")</f>
        <v>-111.1367</v>
      </c>
      <c r="O14" s="18">
        <f>_xll.BDH("YES IN Equity","PRETAX_MARGIN","FY 2021","FY 2021","Currency=INR","Period=FY","BEST_FPERIOD_OVERRIDE=FY","FILING_STATUS=MR","EQY_CONSOLIDATED=Y","FA_ADJUSTED=GAAP","Sort=A","Dates=H","DateFormat=P","Fill=—","Direction=H","UseDPDF=Y")</f>
        <v>-44.8949</v>
      </c>
      <c r="P14" s="18">
        <f>_xll.BDH("YES IN Equity","PRETAX_MARGIN","FY 2022","FY 2022","Currency=INR","Period=FY","BEST_FPERIOD_OVERRIDE=FY","FILING_STATUS=MR","EQY_CONSOLIDATED=Y","FA_ADJUSTED=GAAP","Sort=A","Dates=H","DateFormat=P","Fill=—","Direction=H","UseDPDF=Y")</f>
        <v>14.488899999999999</v>
      </c>
      <c r="Q14" s="18">
        <f>_xll.BDH("YES IN Equity","PRETAX_MARGIN","FY 2023","FY 2023","Currency=INR","Period=FY","BEST_FPERIOD_OVERRIDE=FY","FILING_STATUS=MR","EQY_CONSOLIDATED=Y","FA_ADJUSTED=GAAP","Sort=A","Dates=H","DateFormat=P","Fill=—","Direction=H","UseDPDF=Y")</f>
        <v>8.1593999999999998</v>
      </c>
    </row>
    <row r="15" spans="1:17" x14ac:dyDescent="0.25">
      <c r="A15" s="3" t="s">
        <v>48</v>
      </c>
      <c r="B15" s="3" t="s">
        <v>49</v>
      </c>
      <c r="C15" s="18">
        <f>_xll.BDH("YES IN Equity","INC_BEF_XO_ITEMS_TO_NET_SALES","FY 2009","FY 2009","Currency=INR","Period=FY","BEST_FPERIOD_OVERRIDE=FY","FILING_STATUS=MR","EQY_CONSOLIDATED=Y","FA_ADJUSTED=GAAP","Sort=A","Dates=H","DateFormat=P","Fill=—","Direction=H","UseDPDF=Y")</f>
        <v>31.449000000000002</v>
      </c>
      <c r="D15" s="18">
        <f>_xll.BDH("YES IN Equity","INC_BEF_XO_ITEMS_TO_NET_SALES","FY 2010","FY 2010","Currency=INR","Period=FY","BEST_FPERIOD_OVERRIDE=FY","FILING_STATUS=MR","EQY_CONSOLIDATED=Y","FA_ADJUSTED=GAAP","Sort=A","Dates=H","DateFormat=P","Fill=—","Direction=H","UseDPDF=Y")</f>
        <v>35.438600000000001</v>
      </c>
      <c r="E15" s="18">
        <f>_xll.BDH("YES IN Equity","INC_BEF_XO_ITEMS_TO_NET_SALES","FY 2011","FY 2011","Currency=INR","Period=FY","BEST_FPERIOD_OVERRIDE=FY","FILING_STATUS=MR","EQY_CONSOLIDATED=Y","FA_ADJUSTED=GAAP","Sort=A","Dates=H","DateFormat=P","Fill=—","Direction=H","UseDPDF=Y")</f>
        <v>38.731299999999997</v>
      </c>
      <c r="F15" s="18">
        <f>_xll.BDH("YES IN Equity","INC_BEF_XO_ITEMS_TO_NET_SALES","FY 2012","FY 2012","Currency=INR","Period=FY","BEST_FPERIOD_OVERRIDE=FY","FILING_STATUS=MR","EQY_CONSOLIDATED=Y","FA_ADJUSTED=GAAP","Sort=A","Dates=H","DateFormat=P","Fill=—","Direction=H","UseDPDF=Y")</f>
        <v>39.768000000000001</v>
      </c>
      <c r="G15" s="18">
        <f>_xll.BDH("YES IN Equity","INC_BEF_XO_ITEMS_TO_NET_SALES","FY 2013","FY 2013","Currency=INR","Period=FY","BEST_FPERIOD_OVERRIDE=FY","FILING_STATUS=MR","EQY_CONSOLIDATED=Y","FA_ADJUSTED=GAAP","Sort=A","Dates=H","DateFormat=P","Fill=—","Direction=H","UseDPDF=Y")</f>
        <v>37.384300000000003</v>
      </c>
      <c r="H15" s="18">
        <f>_xll.BDH("YES IN Equity","INC_BEF_XO_ITEMS_TO_NET_SALES","FY 2014","FY 2014","Currency=INR","Period=FY","BEST_FPERIOD_OVERRIDE=FY","FILING_STATUS=MR","EQY_CONSOLIDATED=Y","FA_ADJUSTED=GAAP","Sort=A","Dates=H","DateFormat=P","Fill=—","Direction=H","UseDPDF=Y")</f>
        <v>37.020200000000003</v>
      </c>
      <c r="I15" s="18">
        <f>_xll.BDH("YES IN Equity","INC_BEF_XO_ITEMS_TO_NET_SALES","FY 2015","FY 2015","Currency=INR","Period=FY","BEST_FPERIOD_OVERRIDE=FY","FILING_STATUS=MR","EQY_CONSOLIDATED=Y","FA_ADJUSTED=GAAP","Sort=A","Dates=H","DateFormat=P","Fill=—","Direction=H","UseDPDF=Y")</f>
        <v>36.077100000000002</v>
      </c>
      <c r="J15" s="18">
        <f>_xll.BDH("YES IN Equity","INC_BEF_XO_ITEMS_TO_NET_SALES","FY 2016","FY 2016","Currency=INR","Period=FY","BEST_FPERIOD_OVERRIDE=FY","FILING_STATUS=MR","EQY_CONSOLIDATED=Y","FA_ADJUSTED=GAAP","Sort=A","Dates=H","DateFormat=P","Fill=—","Direction=H","UseDPDF=Y")</f>
        <v>34.677399999999999</v>
      </c>
      <c r="K15" s="18">
        <f>_xll.BDH("YES IN Equity","INC_BEF_XO_ITEMS_TO_NET_SALES","FY 2017","FY 2017","Currency=INR","Period=FY","BEST_FPERIOD_OVERRIDE=FY","FILING_STATUS=MR","EQY_CONSOLIDATED=Y","FA_ADJUSTED=GAAP","Sort=A","Dates=H","DateFormat=P","Fill=—","Direction=H","UseDPDF=Y")</f>
        <v>33.7258</v>
      </c>
      <c r="L15" s="18">
        <f>_xll.BDH("YES IN Equity","INC_BEF_XO_ITEMS_TO_NET_SALES","FY 2018","FY 2018","Currency=INR","Period=FY","BEST_FPERIOD_OVERRIDE=FY","FILING_STATUS=MR","EQY_CONSOLIDATED=Y","FA_ADJUSTED=GAAP","Sort=A","Dates=H","DateFormat=P","Fill=—","Direction=H","UseDPDF=Y")</f>
        <v>32.482500000000002</v>
      </c>
      <c r="M15" s="18">
        <f>_xll.BDH("YES IN Equity","INC_BEF_XO_ITEMS_TO_NET_SALES","FY 2019","FY 2019","Currency=INR","Period=FY","BEST_FPERIOD_OVERRIDE=FY","FILING_STATUS=MR","EQY_CONSOLIDATED=Y","FA_ADJUSTED=GAAP","Sort=A","Dates=H","DateFormat=P","Fill=—","Direction=H","UseDPDF=Y")</f>
        <v>11.797800000000001</v>
      </c>
      <c r="N15" s="18">
        <f>_xll.BDH("YES IN Equity","INC_BEF_XO_ITEMS_TO_NET_SALES","FY 2020","FY 2020","Currency=INR","Period=FY","BEST_FPERIOD_OVERRIDE=FY","FILING_STATUS=MR","EQY_CONSOLIDATED=Y","FA_ADJUSTED=GAAP","Sort=A","Dates=H","DateFormat=P","Fill=—","Direction=H","UseDPDF=Y")</f>
        <v>-87.640199999999993</v>
      </c>
      <c r="O15" s="18">
        <f>_xll.BDH("YES IN Equity","INC_BEF_XO_ITEMS_TO_NET_SALES","FY 2021","FY 2021","Currency=INR","Period=FY","BEST_FPERIOD_OVERRIDE=FY","FILING_STATUS=MR","EQY_CONSOLIDATED=Y","FA_ADJUSTED=GAAP","Sort=A","Dates=H","DateFormat=P","Fill=—","Direction=H","UseDPDF=Y")</f>
        <v>-32.894300000000001</v>
      </c>
      <c r="P15" s="18">
        <f>_xll.BDH("YES IN Equity","INC_BEF_XO_ITEMS_TO_NET_SALES","FY 2022","FY 2022","Currency=INR","Period=FY","BEST_FPERIOD_OVERRIDE=FY","FILING_STATUS=MR","EQY_CONSOLIDATED=Y","FA_ADJUSTED=GAAP","Sort=A","Dates=H","DateFormat=P","Fill=—","Direction=H","UseDPDF=Y")</f>
        <v>10.753399999999999</v>
      </c>
      <c r="Q15" s="18">
        <f>_xll.BDH("YES IN Equity","INC_BEF_XO_ITEMS_TO_NET_SALES","FY 2023","FY 2023","Currency=INR","Period=FY","BEST_FPERIOD_OVERRIDE=FY","FILING_STATUS=MR","EQY_CONSOLIDATED=Y","FA_ADJUSTED=GAAP","Sort=A","Dates=H","DateFormat=P","Fill=—","Direction=H","UseDPDF=Y")</f>
        <v>6.1181000000000001</v>
      </c>
    </row>
    <row r="16" spans="1:17" x14ac:dyDescent="0.25">
      <c r="A16" s="3" t="s">
        <v>50</v>
      </c>
      <c r="B16" s="3" t="s">
        <v>51</v>
      </c>
      <c r="C16" s="18">
        <f>_xll.BDH("YES IN Equity","PROF_MARGIN","FY 2009","FY 2009","Currency=INR","Period=FY","BEST_FPERIOD_OVERRIDE=FY","FILING_STATUS=MR","EQY_CONSOLIDATED=Y","FA_ADJUSTED=GAAP","Sort=A","Dates=H","DateFormat=P","Fill=—","Direction=H","UseDPDF=Y")</f>
        <v>31.449000000000002</v>
      </c>
      <c r="D16" s="18">
        <f>_xll.BDH("YES IN Equity","PROF_MARGIN","FY 2010","FY 2010","Currency=INR","Period=FY","BEST_FPERIOD_OVERRIDE=FY","FILING_STATUS=MR","EQY_CONSOLIDATED=Y","FA_ADJUSTED=GAAP","Sort=A","Dates=H","DateFormat=P","Fill=—","Direction=H","UseDPDF=Y")</f>
        <v>35.438600000000001</v>
      </c>
      <c r="E16" s="18">
        <f>_xll.BDH("YES IN Equity","PROF_MARGIN","FY 2011","FY 2011","Currency=INR","Period=FY","BEST_FPERIOD_OVERRIDE=FY","FILING_STATUS=MR","EQY_CONSOLIDATED=Y","FA_ADJUSTED=GAAP","Sort=A","Dates=H","DateFormat=P","Fill=—","Direction=H","UseDPDF=Y")</f>
        <v>38.731299999999997</v>
      </c>
      <c r="F16" s="18">
        <f>_xll.BDH("YES IN Equity","PROF_MARGIN","FY 2012","FY 2012","Currency=INR","Period=FY","BEST_FPERIOD_OVERRIDE=FY","FILING_STATUS=MR","EQY_CONSOLIDATED=Y","FA_ADJUSTED=GAAP","Sort=A","Dates=H","DateFormat=P","Fill=—","Direction=H","UseDPDF=Y")</f>
        <v>39.768000000000001</v>
      </c>
      <c r="G16" s="18">
        <f>_xll.BDH("YES IN Equity","PROF_MARGIN","FY 2013","FY 2013","Currency=INR","Period=FY","BEST_FPERIOD_OVERRIDE=FY","FILING_STATUS=MR","EQY_CONSOLIDATED=Y","FA_ADJUSTED=GAAP","Sort=A","Dates=H","DateFormat=P","Fill=—","Direction=H","UseDPDF=Y")</f>
        <v>37.384300000000003</v>
      </c>
      <c r="H16" s="18">
        <f>_xll.BDH("YES IN Equity","PROF_MARGIN","FY 2014","FY 2014","Currency=INR","Period=FY","BEST_FPERIOD_OVERRIDE=FY","FILING_STATUS=MR","EQY_CONSOLIDATED=Y","FA_ADJUSTED=GAAP","Sort=A","Dates=H","DateFormat=P","Fill=—","Direction=H","UseDPDF=Y")</f>
        <v>37.020200000000003</v>
      </c>
      <c r="I16" s="18">
        <f>_xll.BDH("YES IN Equity","PROF_MARGIN","FY 2015","FY 2015","Currency=INR","Period=FY","BEST_FPERIOD_OVERRIDE=FY","FILING_STATUS=MR","EQY_CONSOLIDATED=Y","FA_ADJUSTED=GAAP","Sort=A","Dates=H","DateFormat=P","Fill=—","Direction=H","UseDPDF=Y")</f>
        <v>36.077100000000002</v>
      </c>
      <c r="J16" s="18">
        <f>_xll.BDH("YES IN Equity","PROF_MARGIN","FY 2016","FY 2016","Currency=INR","Period=FY","BEST_FPERIOD_OVERRIDE=FY","FILING_STATUS=MR","EQY_CONSOLIDATED=Y","FA_ADJUSTED=GAAP","Sort=A","Dates=H","DateFormat=P","Fill=—","Direction=H","UseDPDF=Y")</f>
        <v>34.677399999999999</v>
      </c>
      <c r="K16" s="18">
        <f>_xll.BDH("YES IN Equity","PROF_MARGIN","FY 2017","FY 2017","Currency=INR","Period=FY","BEST_FPERIOD_OVERRIDE=FY","FILING_STATUS=MR","EQY_CONSOLIDATED=Y","FA_ADJUSTED=GAAP","Sort=A","Dates=H","DateFormat=P","Fill=—","Direction=H","UseDPDF=Y")</f>
        <v>33.7258</v>
      </c>
      <c r="L16" s="18">
        <f>_xll.BDH("YES IN Equity","PROF_MARGIN","FY 2018","FY 2018","Currency=INR","Period=FY","BEST_FPERIOD_OVERRIDE=FY","FILING_STATUS=MR","EQY_CONSOLIDATED=Y","FA_ADJUSTED=GAAP","Sort=A","Dates=H","DateFormat=P","Fill=—","Direction=H","UseDPDF=Y")</f>
        <v>32.482500000000002</v>
      </c>
      <c r="M16" s="18">
        <f>_xll.BDH("YES IN Equity","PROF_MARGIN","FY 2019","FY 2019","Currency=INR","Period=FY","BEST_FPERIOD_OVERRIDE=FY","FILING_STATUS=MR","EQY_CONSOLIDATED=Y","FA_ADJUSTED=GAAP","Sort=A","Dates=H","DateFormat=P","Fill=—","Direction=H","UseDPDF=Y")</f>
        <v>11.797800000000001</v>
      </c>
      <c r="N16" s="18">
        <f>_xll.BDH("YES IN Equity","PROF_MARGIN","FY 2020","FY 2020","Currency=INR","Period=FY","BEST_FPERIOD_OVERRIDE=FY","FILING_STATUS=MR","EQY_CONSOLIDATED=Y","FA_ADJUSTED=GAAP","Sort=A","Dates=H","DateFormat=P","Fill=—","Direction=H","UseDPDF=Y")</f>
        <v>-87.640199999999993</v>
      </c>
      <c r="O16" s="18">
        <f>_xll.BDH("YES IN Equity","PROF_MARGIN","FY 2021","FY 2021","Currency=INR","Period=FY","BEST_FPERIOD_OVERRIDE=FY","FILING_STATUS=MR","EQY_CONSOLIDATED=Y","FA_ADJUSTED=GAAP","Sort=A","Dates=H","DateFormat=P","Fill=—","Direction=H","UseDPDF=Y")</f>
        <v>-32.894300000000001</v>
      </c>
      <c r="P16" s="18">
        <f>_xll.BDH("YES IN Equity","PROF_MARGIN","FY 2022","FY 2022","Currency=INR","Period=FY","BEST_FPERIOD_OVERRIDE=FY","FILING_STATUS=MR","EQY_CONSOLIDATED=Y","FA_ADJUSTED=GAAP","Sort=A","Dates=H","DateFormat=P","Fill=—","Direction=H","UseDPDF=Y")</f>
        <v>10.753399999999999</v>
      </c>
      <c r="Q16" s="18">
        <f>_xll.BDH("YES IN Equity","PROF_MARGIN","FY 2023","FY 2023","Currency=INR","Period=FY","BEST_FPERIOD_OVERRIDE=FY","FILING_STATUS=MR","EQY_CONSOLIDATED=Y","FA_ADJUSTED=GAAP","Sort=A","Dates=H","DateFormat=P","Fill=—","Direction=H","UseDPDF=Y")</f>
        <v>6.1181000000000001</v>
      </c>
    </row>
    <row r="17" spans="1:17" x14ac:dyDescent="0.25">
      <c r="A17" s="3" t="s">
        <v>52</v>
      </c>
      <c r="B17" s="3" t="s">
        <v>53</v>
      </c>
      <c r="C17" s="18">
        <f>_xll.BDH("YES IN Equity","NET_INCOME_TO_COMMON_MARGIN","FY 2009","FY 2009","Currency=INR","Period=FY","BEST_FPERIOD_OVERRIDE=FY","FILING_STATUS=MR","EQY_CONSOLIDATED=Y","FA_ADJUSTED=GAAP","Sort=A","Dates=H","DateFormat=P","Fill=—","Direction=H","UseDPDF=Y")</f>
        <v>31.449000000000002</v>
      </c>
      <c r="D17" s="18">
        <f>_xll.BDH("YES IN Equity","NET_INCOME_TO_COMMON_MARGIN","FY 2010","FY 2010","Currency=INR","Period=FY","BEST_FPERIOD_OVERRIDE=FY","FILING_STATUS=MR","EQY_CONSOLIDATED=Y","FA_ADJUSTED=GAAP","Sort=A","Dates=H","DateFormat=P","Fill=—","Direction=H","UseDPDF=Y")</f>
        <v>35.438600000000001</v>
      </c>
      <c r="E17" s="18">
        <f>_xll.BDH("YES IN Equity","NET_INCOME_TO_COMMON_MARGIN","FY 2011","FY 2011","Currency=INR","Period=FY","BEST_FPERIOD_OVERRIDE=FY","FILING_STATUS=MR","EQY_CONSOLIDATED=Y","FA_ADJUSTED=GAAP","Sort=A","Dates=H","DateFormat=P","Fill=—","Direction=H","UseDPDF=Y")</f>
        <v>38.731299999999997</v>
      </c>
      <c r="F17" s="18">
        <f>_xll.BDH("YES IN Equity","NET_INCOME_TO_COMMON_MARGIN","FY 2012","FY 2012","Currency=INR","Period=FY","BEST_FPERIOD_OVERRIDE=FY","FILING_STATUS=MR","EQY_CONSOLIDATED=Y","FA_ADJUSTED=GAAP","Sort=A","Dates=H","DateFormat=P","Fill=—","Direction=H","UseDPDF=Y")</f>
        <v>39.768000000000001</v>
      </c>
      <c r="G17" s="18">
        <f>_xll.BDH("YES IN Equity","NET_INCOME_TO_COMMON_MARGIN","FY 2013","FY 2013","Currency=INR","Period=FY","BEST_FPERIOD_OVERRIDE=FY","FILING_STATUS=MR","EQY_CONSOLIDATED=Y","FA_ADJUSTED=GAAP","Sort=A","Dates=H","DateFormat=P","Fill=—","Direction=H","UseDPDF=Y")</f>
        <v>37.384300000000003</v>
      </c>
      <c r="H17" s="18">
        <f>_xll.BDH("YES IN Equity","NET_INCOME_TO_COMMON_MARGIN","FY 2014","FY 2014","Currency=INR","Period=FY","BEST_FPERIOD_OVERRIDE=FY","FILING_STATUS=MR","EQY_CONSOLIDATED=Y","FA_ADJUSTED=GAAP","Sort=A","Dates=H","DateFormat=P","Fill=—","Direction=H","UseDPDF=Y")</f>
        <v>37.020200000000003</v>
      </c>
      <c r="I17" s="18">
        <f>_xll.BDH("YES IN Equity","NET_INCOME_TO_COMMON_MARGIN","FY 2015","FY 2015","Currency=INR","Period=FY","BEST_FPERIOD_OVERRIDE=FY","FILING_STATUS=MR","EQY_CONSOLIDATED=Y","FA_ADJUSTED=GAAP","Sort=A","Dates=H","DateFormat=P","Fill=—","Direction=H","UseDPDF=Y")</f>
        <v>36.077100000000002</v>
      </c>
      <c r="J17" s="18">
        <f>_xll.BDH("YES IN Equity","NET_INCOME_TO_COMMON_MARGIN","FY 2016","FY 2016","Currency=INR","Period=FY","BEST_FPERIOD_OVERRIDE=FY","FILING_STATUS=MR","EQY_CONSOLIDATED=Y","FA_ADJUSTED=GAAP","Sort=A","Dates=H","DateFormat=P","Fill=—","Direction=H","UseDPDF=Y")</f>
        <v>34.677399999999999</v>
      </c>
      <c r="K17" s="18">
        <f>_xll.BDH("YES IN Equity","NET_INCOME_TO_COMMON_MARGIN","FY 2017","FY 2017","Currency=INR","Period=FY","BEST_FPERIOD_OVERRIDE=FY","FILING_STATUS=MR","EQY_CONSOLIDATED=Y","FA_ADJUSTED=GAAP","Sort=A","Dates=H","DateFormat=P","Fill=—","Direction=H","UseDPDF=Y")</f>
        <v>33.7258</v>
      </c>
      <c r="L17" s="18">
        <f>_xll.BDH("YES IN Equity","NET_INCOME_TO_COMMON_MARGIN","FY 2018","FY 2018","Currency=INR","Period=FY","BEST_FPERIOD_OVERRIDE=FY","FILING_STATUS=MR","EQY_CONSOLIDATED=Y","FA_ADJUSTED=GAAP","Sort=A","Dates=H","DateFormat=P","Fill=—","Direction=H","UseDPDF=Y")</f>
        <v>32.482500000000002</v>
      </c>
      <c r="M17" s="18">
        <f>_xll.BDH("YES IN Equity","NET_INCOME_TO_COMMON_MARGIN","FY 2019","FY 2019","Currency=INR","Period=FY","BEST_FPERIOD_OVERRIDE=FY","FILING_STATUS=MR","EQY_CONSOLIDATED=Y","FA_ADJUSTED=GAAP","Sort=A","Dates=H","DateFormat=P","Fill=—","Direction=H","UseDPDF=Y")</f>
        <v>11.797800000000001</v>
      </c>
      <c r="N17" s="18">
        <f>_xll.BDH("YES IN Equity","NET_INCOME_TO_COMMON_MARGIN","FY 2020","FY 2020","Currency=INR","Period=FY","BEST_FPERIOD_OVERRIDE=FY","FILING_STATUS=MR","EQY_CONSOLIDATED=Y","FA_ADJUSTED=GAAP","Sort=A","Dates=H","DateFormat=P","Fill=—","Direction=H","UseDPDF=Y")</f>
        <v>-87.640199999999993</v>
      </c>
      <c r="O17" s="18">
        <f>_xll.BDH("YES IN Equity","NET_INCOME_TO_COMMON_MARGIN","FY 2021","FY 2021","Currency=INR","Period=FY","BEST_FPERIOD_OVERRIDE=FY","FILING_STATUS=MR","EQY_CONSOLIDATED=Y","FA_ADJUSTED=GAAP","Sort=A","Dates=H","DateFormat=P","Fill=—","Direction=H","UseDPDF=Y")</f>
        <v>-32.894300000000001</v>
      </c>
      <c r="P17" s="18">
        <f>_xll.BDH("YES IN Equity","NET_INCOME_TO_COMMON_MARGIN","FY 2022","FY 2022","Currency=INR","Period=FY","BEST_FPERIOD_OVERRIDE=FY","FILING_STATUS=MR","EQY_CONSOLIDATED=Y","FA_ADJUSTED=GAAP","Sort=A","Dates=H","DateFormat=P","Fill=—","Direction=H","UseDPDF=Y")</f>
        <v>10.753399999999999</v>
      </c>
      <c r="Q17" s="18">
        <f>_xll.BDH("YES IN Equity","NET_INCOME_TO_COMMON_MARGIN","FY 2023","FY 2023","Currency=INR","Period=FY","BEST_FPERIOD_OVERRIDE=FY","FILING_STATUS=MR","EQY_CONSOLIDATED=Y","FA_ADJUSTED=GAAP","Sort=A","Dates=H","DateFormat=P","Fill=—","Direction=H","UseDPDF=Y")</f>
        <v>6.1181000000000001</v>
      </c>
    </row>
    <row r="18" spans="1:17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5">
      <c r="A19" s="2" t="s">
        <v>54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3" t="s">
        <v>55</v>
      </c>
      <c r="B20" s="3" t="s">
        <v>56</v>
      </c>
      <c r="C20" s="18">
        <f>_xll.BDH("YES IN Equity","EFF_TAX_RATE","FY 2009","FY 2009","Currency=INR","Period=FY","BEST_FPERIOD_OVERRIDE=FY","FILING_STATUS=MR","EQY_CONSOLIDATED=Y","FA_ADJUSTED=GAAP","Sort=A","Dates=H","DateFormat=P","Fill=—","Direction=H","UseDPDF=Y")</f>
        <v>34.786200000000001</v>
      </c>
      <c r="D20" s="18">
        <f>_xll.BDH("YES IN Equity","EFF_TAX_RATE","FY 2010","FY 2010","Currency=INR","Period=FY","BEST_FPERIOD_OVERRIDE=FY","FILING_STATUS=MR","EQY_CONSOLIDATED=Y","FA_ADJUSTED=GAAP","Sort=A","Dates=H","DateFormat=P","Fill=—","Direction=H","UseDPDF=Y")</f>
        <v>34.239699999999999</v>
      </c>
      <c r="E20" s="18">
        <f>_xll.BDH("YES IN Equity","EFF_TAX_RATE","FY 2011","FY 2011","Currency=INR","Period=FY","BEST_FPERIOD_OVERRIDE=FY","FILING_STATUS=MR","EQY_CONSOLIDATED=Y","FA_ADJUSTED=GAAP","Sort=A","Dates=H","DateFormat=P","Fill=—","Direction=H","UseDPDF=Y")</f>
        <v>33.423200000000001</v>
      </c>
      <c r="F20" s="18">
        <f>_xll.BDH("YES IN Equity","EFF_TAX_RATE","FY 2012","FY 2012","Currency=INR","Period=FY","BEST_FPERIOD_OVERRIDE=FY","FILING_STATUS=MR","EQY_CONSOLIDATED=Y","FA_ADJUSTED=GAAP","Sort=A","Dates=H","DateFormat=P","Fill=—","Direction=H","UseDPDF=Y")</f>
        <v>32.621499999999997</v>
      </c>
      <c r="G20" s="18">
        <f>_xll.BDH("YES IN Equity","EFF_TAX_RATE","FY 2013","FY 2013","Currency=INR","Period=FY","BEST_FPERIOD_OVERRIDE=FY","FILING_STATUS=MR","EQY_CONSOLIDATED=Y","FA_ADJUSTED=GAAP","Sort=A","Dates=H","DateFormat=P","Fill=—","Direction=H","UseDPDF=Y")</f>
        <v>32.457799999999999</v>
      </c>
      <c r="H20" s="18">
        <f>_xll.BDH("YES IN Equity","EFF_TAX_RATE","FY 2014","FY 2014","Currency=INR","Period=FY","BEST_FPERIOD_OVERRIDE=FY","FILING_STATUS=MR","EQY_CONSOLIDATED=Y","FA_ADJUSTED=GAAP","Sort=A","Dates=H","DateFormat=P","Fill=—","Direction=H","UseDPDF=Y")</f>
        <v>30.543900000000001</v>
      </c>
      <c r="I20" s="18">
        <f>_xll.BDH("YES IN Equity","EFF_TAX_RATE","FY 2015","FY 2015","Currency=INR","Period=FY","BEST_FPERIOD_OVERRIDE=FY","FILING_STATUS=MR","EQY_CONSOLIDATED=Y","FA_ADJUSTED=GAAP","Sort=A","Dates=H","DateFormat=P","Fill=—","Direction=H","UseDPDF=Y")</f>
        <v>31.175699999999999</v>
      </c>
      <c r="J20" s="18">
        <f>_xll.BDH("YES IN Equity","EFF_TAX_RATE","FY 2016","FY 2016","Currency=INR","Period=FY","BEST_FPERIOD_OVERRIDE=FY","FILING_STATUS=MR","EQY_CONSOLIDATED=Y","FA_ADJUSTED=GAAP","Sort=A","Dates=H","DateFormat=P","Fill=—","Direction=H","UseDPDF=Y")</f>
        <v>32.651499999999999</v>
      </c>
      <c r="K20" s="18">
        <f>_xll.BDH("YES IN Equity","EFF_TAX_RATE","FY 2017","FY 2017","Currency=INR","Period=FY","BEST_FPERIOD_OVERRIDE=FY","FILING_STATUS=MR","EQY_CONSOLIDATED=Y","FA_ADJUSTED=GAAP","Sort=A","Dates=H","DateFormat=P","Fill=—","Direction=H","UseDPDF=Y")</f>
        <v>33.909100000000002</v>
      </c>
      <c r="L20" s="18">
        <f>_xll.BDH("YES IN Equity","EFF_TAX_RATE","FY 2018","FY 2018","Currency=INR","Period=FY","BEST_FPERIOD_OVERRIDE=FY","FILING_STATUS=MR","EQY_CONSOLIDATED=Y","FA_ADJUSTED=GAAP","Sort=A","Dates=H","DateFormat=P","Fill=—","Direction=H","UseDPDF=Y")</f>
        <v>31.772200000000002</v>
      </c>
      <c r="M20" s="18">
        <f>_xll.BDH("YES IN Equity","EFF_TAX_RATE","FY 2019","FY 2019","Currency=INR","Period=FY","BEST_FPERIOD_OVERRIDE=FY","FILING_STATUS=MR","EQY_CONSOLIDATED=Y","FA_ADJUSTED=GAAP","Sort=A","Dates=H","DateFormat=P","Fill=—","Direction=H","UseDPDF=Y")</f>
        <v>27.234500000000001</v>
      </c>
      <c r="N20" s="18" t="str">
        <f>_xll.BDH("YES IN Equity","EFF_TAX_RATE","FY 2020","FY 2020","Currency=INR","Period=FY","BEST_FPERIOD_OVERRIDE=FY","FILING_STATUS=MR","EQY_CONSOLIDATED=Y","FA_ADJUSTED=GAAP","Sort=A","Dates=H","DateFormat=P","Fill=—","Direction=H","UseDPDF=Y")</f>
        <v>—</v>
      </c>
      <c r="O20" s="18" t="str">
        <f>_xll.BDH("YES IN Equity","EFF_TAX_RATE","FY 2021","FY 2021","Currency=INR","Period=FY","BEST_FPERIOD_OVERRIDE=FY","FILING_STATUS=MR","EQY_CONSOLIDATED=Y","FA_ADJUSTED=GAAP","Sort=A","Dates=H","DateFormat=P","Fill=—","Direction=H","UseDPDF=Y")</f>
        <v>—</v>
      </c>
      <c r="P20" s="18">
        <f>_xll.BDH("YES IN Equity","EFF_TAX_RATE","FY 2022","FY 2022","Currency=INR","Period=FY","BEST_FPERIOD_OVERRIDE=FY","FILING_STATUS=MR","EQY_CONSOLIDATED=Y","FA_ADJUSTED=GAAP","Sort=A","Dates=H","DateFormat=P","Fill=—","Direction=H","UseDPDF=Y")</f>
        <v>25.7822</v>
      </c>
      <c r="Q20" s="18">
        <f>_xll.BDH("YES IN Equity","EFF_TAX_RATE","FY 2023","FY 2023","Currency=INR","Period=FY","BEST_FPERIOD_OVERRIDE=FY","FILING_STATUS=MR","EQY_CONSOLIDATED=Y","FA_ADJUSTED=GAAP","Sort=A","Dates=H","DateFormat=P","Fill=—","Direction=H","UseDPDF=Y")</f>
        <v>25.0181</v>
      </c>
    </row>
    <row r="21" spans="1:17" x14ac:dyDescent="0.25">
      <c r="A21" s="3" t="s">
        <v>57</v>
      </c>
      <c r="B21" s="3" t="s">
        <v>58</v>
      </c>
      <c r="C21" s="18">
        <f>_xll.BDH("YES IN Equity","DVD_PAYOUT_RATIO","FY 2009","FY 2009","Currency=INR","Period=FY","BEST_FPERIOD_OVERRIDE=FY","FILING_STATUS=MR","EQY_CONSOLIDATED=Y","FA_ADJUSTED=GAAP","Sort=A","Dates=H","DateFormat=P","Fill=—","Direction=H","UseDPDF=Y")</f>
        <v>0</v>
      </c>
      <c r="D21" s="18">
        <f>_xll.BDH("YES IN Equity","DVD_PAYOUT_RATIO","FY 2010","FY 2010","Currency=INR","Period=FY","BEST_FPERIOD_OVERRIDE=FY","FILING_STATUS=MR","EQY_CONSOLIDATED=Y","FA_ADJUSTED=GAAP","Sort=A","Dates=H","DateFormat=P","Fill=—","Direction=H","UseDPDF=Y")</f>
        <v>0</v>
      </c>
      <c r="E21" s="18">
        <f>_xll.BDH("YES IN Equity","DVD_PAYOUT_RATIO","FY 2011","FY 2011","Currency=INR","Period=FY","BEST_FPERIOD_OVERRIDE=FY","FILING_STATUS=MR","EQY_CONSOLIDATED=Y","FA_ADJUSTED=GAAP","Sort=A","Dates=H","DateFormat=P","Fill=—","Direction=H","UseDPDF=Y")</f>
        <v>11.9354</v>
      </c>
      <c r="F21" s="18">
        <f>_xll.BDH("YES IN Equity","DVD_PAYOUT_RATIO","FY 2012","FY 2012","Currency=INR","Period=FY","BEST_FPERIOD_OVERRIDE=FY","FILING_STATUS=MR","EQY_CONSOLIDATED=Y","FA_ADJUSTED=GAAP","Sort=A","Dates=H","DateFormat=P","Fill=—","Direction=H","UseDPDF=Y")</f>
        <v>14.4519</v>
      </c>
      <c r="G21" s="18">
        <f>_xll.BDH("YES IN Equity","DVD_PAYOUT_RATIO","FY 2013","FY 2013","Currency=INR","Period=FY","BEST_FPERIOD_OVERRIDE=FY","FILING_STATUS=MR","EQY_CONSOLIDATED=Y","FA_ADJUSTED=GAAP","Sort=A","Dates=H","DateFormat=P","Fill=—","Direction=H","UseDPDF=Y")</f>
        <v>16.543099999999999</v>
      </c>
      <c r="H21" s="18">
        <f>_xll.BDH("YES IN Equity","DVD_PAYOUT_RATIO","FY 2014","FY 2014","Currency=INR","Period=FY","BEST_FPERIOD_OVERRIDE=FY","FILING_STATUS=MR","EQY_CONSOLIDATED=Y","FA_ADJUSTED=GAAP","Sort=A","Dates=H","DateFormat=P","Fill=—","Direction=H","UseDPDF=Y")</f>
        <v>17.9057</v>
      </c>
      <c r="I21" s="18">
        <f>_xll.BDH("YES IN Equity","DVD_PAYOUT_RATIO","FY 2015","FY 2015","Currency=INR","Period=FY","BEST_FPERIOD_OVERRIDE=FY","FILING_STATUS=MR","EQY_CONSOLIDATED=Y","FA_ADJUSTED=GAAP","Sort=A","Dates=H","DateFormat=P","Fill=—","Direction=H","UseDPDF=Y")</f>
        <v>18.822600000000001</v>
      </c>
      <c r="J21" s="18">
        <f>_xll.BDH("YES IN Equity","DVD_PAYOUT_RATIO","FY 2016","FY 2016","Currency=INR","Period=FY","BEST_FPERIOD_OVERRIDE=FY","FILING_STATUS=MR","EQY_CONSOLIDATED=Y","FA_ADJUSTED=GAAP","Sort=A","Dates=H","DateFormat=P","Fill=—","Direction=H","UseDPDF=Y")</f>
        <v>16.623799999999999</v>
      </c>
      <c r="K21" s="18">
        <f>_xll.BDH("YES IN Equity","DVD_PAYOUT_RATIO","FY 2017","FY 2017","Currency=INR","Period=FY","BEST_FPERIOD_OVERRIDE=FY","FILING_STATUS=MR","EQY_CONSOLIDATED=Y","FA_ADJUSTED=GAAP","Sort=A","Dates=H","DateFormat=P","Fill=—","Direction=H","UseDPDF=Y")</f>
        <v>16.401199999999999</v>
      </c>
      <c r="L21" s="18">
        <f>_xll.BDH("YES IN Equity","DVD_PAYOUT_RATIO","FY 2018","FY 2018","Currency=INR","Period=FY","BEST_FPERIOD_OVERRIDE=FY","FILING_STATUS=MR","EQY_CONSOLIDATED=Y","FA_ADJUSTED=GAAP","Sort=A","Dates=H","DateFormat=P","Fill=—","Direction=H","UseDPDF=Y")</f>
        <v>14.688599999999999</v>
      </c>
      <c r="M21" s="18">
        <f>_xll.BDH("YES IN Equity","DVD_PAYOUT_RATIO","FY 2019","FY 2019","Currency=INR","Period=FY","BEST_FPERIOD_OVERRIDE=FY","FILING_STATUS=MR","EQY_CONSOLIDATED=Y","FA_ADJUSTED=GAAP","Sort=A","Dates=H","DateFormat=P","Fill=—","Direction=H","UseDPDF=Y")</f>
        <v>27.088000000000001</v>
      </c>
      <c r="N21" s="18" t="str">
        <f>_xll.BDH("YES IN Equity","DVD_PAYOUT_RATIO","FY 2020","FY 2020","Currency=INR","Period=FY","BEST_FPERIOD_OVERRIDE=FY","FILING_STATUS=MR","EQY_CONSOLIDATED=Y","FA_ADJUSTED=GAAP","Sort=A","Dates=H","DateFormat=P","Fill=—","Direction=H","UseDPDF=Y")</f>
        <v>—</v>
      </c>
      <c r="O21" s="18" t="str">
        <f>_xll.BDH("YES IN Equity","DVD_PAYOUT_RATIO","FY 2021","FY 2021","Currency=INR","Period=FY","BEST_FPERIOD_OVERRIDE=FY","FILING_STATUS=MR","EQY_CONSOLIDATED=Y","FA_ADJUSTED=GAAP","Sort=A","Dates=H","DateFormat=P","Fill=—","Direction=H","UseDPDF=Y")</f>
        <v>—</v>
      </c>
      <c r="P21" s="18">
        <f>_xll.BDH("YES IN Equity","DVD_PAYOUT_RATIO","FY 2022","FY 2022","Currency=INR","Period=FY","BEST_FPERIOD_OVERRIDE=FY","FILING_STATUS=MR","EQY_CONSOLIDATED=Y","FA_ADJUSTED=GAAP","Sort=A","Dates=H","DateFormat=P","Fill=—","Direction=H","UseDPDF=Y")</f>
        <v>0</v>
      </c>
      <c r="Q21" s="18">
        <f>_xll.BDH("YES IN Equity","DVD_PAYOUT_RATIO","FY 2023","FY 2023","Currency=INR","Period=FY","BEST_FPERIOD_OVERRIDE=FY","FILING_STATUS=MR","EQY_CONSOLIDATED=Y","FA_ADJUSTED=GAAP","Sort=A","Dates=H","DateFormat=P","Fill=—","Direction=H","UseDPDF=Y")</f>
        <v>0</v>
      </c>
    </row>
    <row r="22" spans="1:17" x14ac:dyDescent="0.25">
      <c r="A22" s="3" t="s">
        <v>59</v>
      </c>
      <c r="B22" s="3" t="s">
        <v>60</v>
      </c>
      <c r="C22" s="18" t="str">
        <f>_xll.BDH("YES IN Equity","SUSTAIN_GROWTH_RT","FY 2009","FY 2009","Currency=INR","Period=FY","BEST_FPERIOD_OVERRIDE=FY","FILING_STATUS=MR","EQY_CONSOLIDATED=Y","FA_ADJUSTED=GAAP","Sort=A","Dates=H","DateFormat=P","Fill=—","Direction=H","UseDPDF=Y")</f>
        <v>—</v>
      </c>
      <c r="D22" s="18">
        <f>_xll.BDH("YES IN Equity","SUSTAIN_GROWTH_RT","FY 2010","FY 2010","Currency=INR","Period=FY","BEST_FPERIOD_OVERRIDE=FY","FILING_STATUS=MR","EQY_CONSOLIDATED=Y","FA_ADJUSTED=GAAP","Sort=A","Dates=H","DateFormat=P","Fill=—","Direction=H","UseDPDF=Y")</f>
        <v>20.27</v>
      </c>
      <c r="E22" s="18">
        <f>_xll.BDH("YES IN Equity","SUSTAIN_GROWTH_RT","FY 2011","FY 2011","Currency=INR","Period=FY","BEST_FPERIOD_OVERRIDE=FY","FILING_STATUS=MR","EQY_CONSOLIDATED=Y","FA_ADJUSTED=GAAP","Sort=A","Dates=H","DateFormat=P","Fill=—","Direction=H","UseDPDF=Y")</f>
        <v>18.6051</v>
      </c>
      <c r="F22" s="18">
        <f>_xll.BDH("YES IN Equity","SUSTAIN_GROWTH_RT","FY 2012","FY 2012","Currency=INR","Period=FY","BEST_FPERIOD_OVERRIDE=FY","FILING_STATUS=MR","EQY_CONSOLIDATED=Y","FA_ADJUSTED=GAAP","Sort=A","Dates=H","DateFormat=P","Fill=—","Direction=H","UseDPDF=Y")</f>
        <v>19.734000000000002</v>
      </c>
      <c r="G22" s="18">
        <f>_xll.BDH("YES IN Equity","SUSTAIN_GROWTH_RT","FY 2013","FY 2013","Currency=INR","Period=FY","BEST_FPERIOD_OVERRIDE=FY","FILING_STATUS=MR","EQY_CONSOLIDATED=Y","FA_ADJUSTED=GAAP","Sort=A","Dates=H","DateFormat=P","Fill=—","Direction=H","UseDPDF=Y")</f>
        <v>20.7073</v>
      </c>
      <c r="H22" s="18">
        <f>_xll.BDH("YES IN Equity","SUSTAIN_GROWTH_RT","FY 2014","FY 2014","Currency=INR","Period=FY","BEST_FPERIOD_OVERRIDE=FY","FILING_STATUS=MR","EQY_CONSOLIDATED=Y","FA_ADJUSTED=GAAP","Sort=A","Dates=H","DateFormat=P","Fill=—","Direction=H","UseDPDF=Y")</f>
        <v>20.471499999999999</v>
      </c>
      <c r="I22" s="18">
        <f>_xll.BDH("YES IN Equity","SUSTAIN_GROWTH_RT","FY 2015","FY 2015","Currency=INR","Period=FY","BEST_FPERIOD_OVERRIDE=FY","FILING_STATUS=MR","EQY_CONSOLIDATED=Y","FA_ADJUSTED=GAAP","Sort=A","Dates=H","DateFormat=P","Fill=—","Direction=H","UseDPDF=Y")</f>
        <v>17.267199999999999</v>
      </c>
      <c r="J22" s="18">
        <f>_xll.BDH("YES IN Equity","SUSTAIN_GROWTH_RT","FY 2016","FY 2016","Currency=INR","Period=FY","BEST_FPERIOD_OVERRIDE=FY","FILING_STATUS=MR","EQY_CONSOLIDATED=Y","FA_ADJUSTED=GAAP","Sort=A","Dates=H","DateFormat=P","Fill=—","Direction=H","UseDPDF=Y")</f>
        <v>16.589300000000001</v>
      </c>
      <c r="K22" s="18">
        <f>_xll.BDH("YES IN Equity","SUSTAIN_GROWTH_RT","FY 2017","FY 2017","Currency=INR","Period=FY","BEST_FPERIOD_OVERRIDE=FY","FILING_STATUS=MR","EQY_CONSOLIDATED=Y","FA_ADJUSTED=GAAP","Sort=A","Dates=H","DateFormat=P","Fill=—","Direction=H","UseDPDF=Y")</f>
        <v>15.5975</v>
      </c>
      <c r="L22" s="18">
        <f>_xll.BDH("YES IN Equity","SUSTAIN_GROWTH_RT","FY 2018","FY 2018","Currency=INR","Period=FY","BEST_FPERIOD_OVERRIDE=FY","FILING_STATUS=MR","EQY_CONSOLIDATED=Y","FA_ADJUSTED=GAAP","Sort=A","Dates=H","DateFormat=P","Fill=—","Direction=H","UseDPDF=Y")</f>
        <v>15.113</v>
      </c>
      <c r="M22" s="18">
        <f>_xll.BDH("YES IN Equity","SUSTAIN_GROWTH_RT","FY 2019","FY 2019","Currency=INR","Period=FY","BEST_FPERIOD_OVERRIDE=FY","FILING_STATUS=MR","EQY_CONSOLIDATED=Y","FA_ADJUSTED=GAAP","Sort=A","Dates=H","DateFormat=P","Fill=—","Direction=H","UseDPDF=Y")</f>
        <v>4.7350000000000003</v>
      </c>
      <c r="N22" s="18" t="str">
        <f>_xll.BDH("YES IN Equity","SUSTAIN_GROWTH_RT","FY 2020","FY 2020","Currency=INR","Period=FY","BEST_FPERIOD_OVERRIDE=FY","FILING_STATUS=MR","EQY_CONSOLIDATED=Y","FA_ADJUSTED=GAAP","Sort=A","Dates=H","DateFormat=P","Fill=—","Direction=H","UseDPDF=Y")</f>
        <v>—</v>
      </c>
      <c r="O22" s="18" t="str">
        <f>_xll.BDH("YES IN Equity","SUSTAIN_GROWTH_RT","FY 2021","FY 2021","Currency=INR","Period=FY","BEST_FPERIOD_OVERRIDE=FY","FILING_STATUS=MR","EQY_CONSOLIDATED=Y","FA_ADJUSTED=GAAP","Sort=A","Dates=H","DateFormat=P","Fill=—","Direction=H","UseDPDF=Y")</f>
        <v>—</v>
      </c>
      <c r="P22" s="18">
        <f>_xll.BDH("YES IN Equity","SUSTAIN_GROWTH_RT","FY 2022","FY 2022","Currency=INR","Period=FY","BEST_FPERIOD_OVERRIDE=FY","FILING_STATUS=MR","EQY_CONSOLIDATED=Y","FA_ADJUSTED=GAAP","Sort=A","Dates=H","DateFormat=P","Fill=—","Direction=H","UseDPDF=Y")</f>
        <v>3.1840000000000002</v>
      </c>
      <c r="Q22" s="18">
        <f>_xll.BDH("YES IN Equity","SUSTAIN_GROWTH_RT","FY 2023","FY 2023","Currency=INR","Period=FY","BEST_FPERIOD_OVERRIDE=FY","FILING_STATUS=MR","EQY_CONSOLIDATED=Y","FA_ADJUSTED=GAAP","Sort=A","Dates=H","DateFormat=P","Fill=—","Direction=H","UseDPDF=Y")</f>
        <v>1.9776</v>
      </c>
    </row>
    <row r="23" spans="1:17" x14ac:dyDescent="0.25">
      <c r="A23" s="13" t="s">
        <v>61</v>
      </c>
      <c r="B23" s="13"/>
      <c r="C23" s="13" t="s"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AD56-37E4-404E-B6B0-7292AFC43B99}">
  <dimension ref="A1:M25"/>
  <sheetViews>
    <sheetView workbookViewId="0">
      <selection activeCell="J33" sqref="J33"/>
    </sheetView>
  </sheetViews>
  <sheetFormatPr defaultRowHeight="15" x14ac:dyDescent="0.25"/>
  <cols>
    <col min="1" max="1" width="35.140625" customWidth="1"/>
    <col min="2" max="2" width="0" hidden="1" customWidth="1"/>
    <col min="3" max="13" width="11.85546875" customWidth="1"/>
  </cols>
  <sheetData>
    <row r="1" spans="1:1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20.25" x14ac:dyDescent="0.25">
      <c r="A2" s="14" t="s">
        <v>120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6" t="s">
        <v>3</v>
      </c>
      <c r="B4" s="6"/>
      <c r="C4" s="5" t="s">
        <v>121</v>
      </c>
      <c r="D4" s="5" t="s">
        <v>4</v>
      </c>
      <c r="E4" s="5" t="s">
        <v>5</v>
      </c>
      <c r="F4" s="5" t="s">
        <v>6</v>
      </c>
      <c r="G4" s="5" t="s">
        <v>1</v>
      </c>
      <c r="H4" s="5" t="s">
        <v>8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</row>
    <row r="5" spans="1:13" x14ac:dyDescent="0.25">
      <c r="A5" s="15" t="s">
        <v>15</v>
      </c>
      <c r="B5" s="15"/>
      <c r="C5" s="4" t="s">
        <v>122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123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</row>
    <row r="6" spans="1:13" x14ac:dyDescent="0.25">
      <c r="A6" s="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3" t="s">
        <v>29</v>
      </c>
      <c r="B7" s="3" t="s">
        <v>30</v>
      </c>
      <c r="C7" s="18" t="str">
        <f>_xll.BDH("KAIR IN Equity","RETURN_COM_EQY","FY 2001","FY 2001","Currency=INR","Period=FY","BEST_FPERIOD_OVERRIDE=FY","FILING_STATUS=MR","EQY_CONSOLIDATED=N","FA_ADJUSTED=GAAP","Sort=A","Dates=H","DateFormat=P","Fill=—","Direction=H","UseDPDF=Y")</f>
        <v>—</v>
      </c>
      <c r="D7" s="18">
        <f>_xll.BDH("KAIR IN Equity","RETURN_COM_EQY","FY 2002","FY 2002","Currency=INR","Period=FY","BEST_FPERIOD_OVERRIDE=FY","FILING_STATUS=MR","EQY_CONSOLIDATED=N","FA_ADJUSTED=GAAP","Sort=A","Dates=H","DateFormat=P","Fill=—","Direction=H","UseDPDF=Y")</f>
        <v>36.237400000000001</v>
      </c>
      <c r="E7" s="18">
        <f>_xll.BDH("KAIR IN Equity","RETURN_COM_EQY","FY 2003","FY 2003","Currency=INR","Period=FY","BEST_FPERIOD_OVERRIDE=FY","FILING_STATUS=MR","EQY_CONSOLIDATED=N","FA_ADJUSTED=GAAP","Sort=A","Dates=H","DateFormat=P","Fill=—","Direction=H","UseDPDF=Y")</f>
        <v>14.600099999999999</v>
      </c>
      <c r="F7" s="18">
        <f>_xll.BDH("KAIR IN Equity","RETURN_COM_EQY","FY 2004","FY 2004","Currency=INR","Period=FY","BEST_FPERIOD_OVERRIDE=FY","FILING_STATUS=MR","EQY_CONSOLIDATED=N","FA_ADJUSTED=GAAP","Sort=A","Dates=H","DateFormat=P","Fill=—","Direction=H","UseDPDF=Y")</f>
        <v>-134.3322</v>
      </c>
      <c r="G7" s="18">
        <f>_xll.BDH("KAIR IN Equity","RETURN_COM_EQY","FY 2005","FY 2005","Currency=INR","Period=FY","BEST_FPERIOD_OVERRIDE=FY","FILING_STATUS=MR","EQY_CONSOLIDATED=N","FA_ADJUSTED=GAAP","Sort=A","Dates=H","DateFormat=P","Fill=—","Direction=H","UseDPDF=Y")</f>
        <v>-140.6397</v>
      </c>
      <c r="H7" s="18" t="str">
        <f>_xll.BDH("KAIR IN Equity","RETURN_COM_EQY","FY 2007","FY 2007","Currency=INR","Period=FY","BEST_FPERIOD_OVERRIDE=FY","FILING_STATUS=MR","EQY_CONSOLIDATED=N","FA_ADJUSTED=GAAP","Sort=A","Dates=H","DateFormat=P","Fill=—","Direction=H","UseDPDF=Y")</f>
        <v>—</v>
      </c>
      <c r="I7" s="18" t="str">
        <f>_xll.BDH("KAIR IN Equity","RETURN_COM_EQY","FY 2009","FY 2009","Currency=INR","Period=FY","BEST_FPERIOD_OVERRIDE=FY","FILING_STATUS=MR","EQY_CONSOLIDATED=N","FA_ADJUSTED=GAAP","Sort=A","Dates=H","DateFormat=P","Fill=—","Direction=H","UseDPDF=Y")</f>
        <v>—</v>
      </c>
      <c r="J7" s="18" t="str">
        <f>_xll.BDH("KAIR IN Equity","RETURN_COM_EQY","FY 2010","FY 2010","Currency=INR","Period=FY","BEST_FPERIOD_OVERRIDE=FY","FILING_STATUS=MR","EQY_CONSOLIDATED=N","FA_ADJUSTED=GAAP","Sort=A","Dates=H","DateFormat=P","Fill=—","Direction=H","UseDPDF=Y")</f>
        <v>—</v>
      </c>
      <c r="K7" s="18" t="str">
        <f>_xll.BDH("KAIR IN Equity","RETURN_COM_EQY","FY 2011","FY 2011","Currency=INR","Period=FY","BEST_FPERIOD_OVERRIDE=FY","FILING_STATUS=MR","EQY_CONSOLIDATED=N","FA_ADJUSTED=GAAP","Sort=A","Dates=H","DateFormat=P","Fill=—","Direction=H","UseDPDF=Y")</f>
        <v>—</v>
      </c>
      <c r="L7" s="18" t="str">
        <f>_xll.BDH("KAIR IN Equity","RETURN_COM_EQY","FY 2012","FY 2012","Currency=INR","Period=FY","BEST_FPERIOD_OVERRIDE=FY","FILING_STATUS=MR","EQY_CONSOLIDATED=N","FA_ADJUSTED=GAAP","Sort=A","Dates=H","DateFormat=P","Fill=—","Direction=H","UseDPDF=Y")</f>
        <v>—</v>
      </c>
      <c r="M7" s="18" t="str">
        <f>_xll.BDH("KAIR IN Equity","RETURN_COM_EQY","FY 2013","FY 2013","Currency=INR","Period=FY","BEST_FPERIOD_OVERRIDE=FY","FILING_STATUS=MR","EQY_CONSOLIDATED=N","FA_ADJUSTED=GAAP","Sort=A","Dates=H","DateFormat=P","Fill=—","Direction=H","UseDPDF=Y")</f>
        <v>—</v>
      </c>
    </row>
    <row r="8" spans="1:13" x14ac:dyDescent="0.25">
      <c r="A8" s="3" t="s">
        <v>31</v>
      </c>
      <c r="B8" s="3" t="s">
        <v>32</v>
      </c>
      <c r="C8" s="18" t="str">
        <f>_xll.BDH("KAIR IN Equity","RETURN_ON_ASSET","FY 2001","FY 2001","Currency=INR","Period=FY","BEST_FPERIOD_OVERRIDE=FY","FILING_STATUS=MR","EQY_CONSOLIDATED=N","FA_ADJUSTED=GAAP","Sort=A","Dates=H","DateFormat=P","Fill=—","Direction=H","UseDPDF=Y")</f>
        <v>—</v>
      </c>
      <c r="D8" s="18">
        <f>_xll.BDH("KAIR IN Equity","RETURN_ON_ASSET","FY 2002","FY 2002","Currency=INR","Period=FY","BEST_FPERIOD_OVERRIDE=FY","FILING_STATUS=MR","EQY_CONSOLIDATED=N","FA_ADJUSTED=GAAP","Sort=A","Dates=H","DateFormat=P","Fill=—","Direction=H","UseDPDF=Y")</f>
        <v>14.5746</v>
      </c>
      <c r="E8" s="18">
        <f>_xll.BDH("KAIR IN Equity","RETURN_ON_ASSET","FY 2003","FY 2003","Currency=INR","Period=FY","BEST_FPERIOD_OVERRIDE=FY","FILING_STATUS=MR","EQY_CONSOLIDATED=N","FA_ADJUSTED=GAAP","Sort=A","Dates=H","DateFormat=P","Fill=—","Direction=H","UseDPDF=Y")</f>
        <v>3.3281999999999998</v>
      </c>
      <c r="F8" s="18">
        <f>_xll.BDH("KAIR IN Equity","RETURN_ON_ASSET","FY 2004","FY 2004","Currency=INR","Period=FY","BEST_FPERIOD_OVERRIDE=FY","FILING_STATUS=MR","EQY_CONSOLIDATED=N","FA_ADJUSTED=GAAP","Sort=A","Dates=H","DateFormat=P","Fill=—","Direction=H","UseDPDF=Y")</f>
        <v>-23.634699999999999</v>
      </c>
      <c r="G8" s="18">
        <f>_xll.BDH("KAIR IN Equity","RETURN_ON_ASSET","FY 2005","FY 2005","Currency=INR","Period=FY","BEST_FPERIOD_OVERRIDE=FY","FILING_STATUS=MR","EQY_CONSOLIDATED=N","FA_ADJUSTED=GAAP","Sort=A","Dates=H","DateFormat=P","Fill=—","Direction=H","UseDPDF=Y")</f>
        <v>-8.0876999999999999</v>
      </c>
      <c r="H8" s="18" t="str">
        <f>_xll.BDH("KAIR IN Equity","RETURN_ON_ASSET","FY 2007","FY 2007","Currency=INR","Period=FY","BEST_FPERIOD_OVERRIDE=FY","FILING_STATUS=MR","EQY_CONSOLIDATED=N","FA_ADJUSTED=GAAP","Sort=A","Dates=H","DateFormat=P","Fill=—","Direction=H","UseDPDF=Y")</f>
        <v>—</v>
      </c>
      <c r="I8" s="18" t="str">
        <f>_xll.BDH("KAIR IN Equity","RETURN_ON_ASSET","FY 2009","FY 2009","Currency=INR","Period=FY","BEST_FPERIOD_OVERRIDE=FY","FILING_STATUS=MR","EQY_CONSOLIDATED=N","FA_ADJUSTED=GAAP","Sort=A","Dates=H","DateFormat=P","Fill=—","Direction=H","UseDPDF=Y")</f>
        <v>—</v>
      </c>
      <c r="J8" s="18">
        <f>_xll.BDH("KAIR IN Equity","RETURN_ON_ASSET","FY 2010","FY 2010","Currency=INR","Period=FY","BEST_FPERIOD_OVERRIDE=FY","FILING_STATUS=MR","EQY_CONSOLIDATED=N","FA_ADJUSTED=GAAP","Sort=A","Dates=H","DateFormat=P","Fill=—","Direction=H","UseDPDF=Y")</f>
        <v>-21.790700000000001</v>
      </c>
      <c r="K8" s="18">
        <f>_xll.BDH("KAIR IN Equity","RETURN_ON_ASSET","FY 2011","FY 2011","Currency=INR","Period=FY","BEST_FPERIOD_OVERRIDE=FY","FILING_STATUS=MR","EQY_CONSOLIDATED=N","FA_ADJUSTED=GAAP","Sort=A","Dates=H","DateFormat=P","Fill=—","Direction=H","UseDPDF=Y")</f>
        <v>-12.9612</v>
      </c>
      <c r="L8" s="18">
        <f>_xll.BDH("KAIR IN Equity","RETURN_ON_ASSET","FY 2012","FY 2012","Currency=INR","Period=FY","BEST_FPERIOD_OVERRIDE=FY","FILING_STATUS=MR","EQY_CONSOLIDATED=N","FA_ADJUSTED=GAAP","Sort=A","Dates=H","DateFormat=P","Fill=—","Direction=H","UseDPDF=Y")</f>
        <v>-26.810600000000001</v>
      </c>
      <c r="M8" s="18">
        <f>_xll.BDH("KAIR IN Equity","RETURN_ON_ASSET","FY 2013","FY 2013","Currency=INR","Period=FY","BEST_FPERIOD_OVERRIDE=FY","FILING_STATUS=MR","EQY_CONSOLIDATED=N","FA_ADJUSTED=GAAP","Sort=A","Dates=H","DateFormat=P","Fill=—","Direction=H","UseDPDF=Y")</f>
        <v>-72.141400000000004</v>
      </c>
    </row>
    <row r="9" spans="1:13" x14ac:dyDescent="0.25">
      <c r="A9" s="3" t="s">
        <v>33</v>
      </c>
      <c r="B9" s="3" t="s">
        <v>34</v>
      </c>
      <c r="C9" s="18" t="str">
        <f>_xll.BDH("KAIR IN Equity","RETURN_ON_CAP","FY 2001","FY 2001","Currency=INR","Period=FY","BEST_FPERIOD_OVERRIDE=FY","FILING_STATUS=MR","EQY_CONSOLIDATED=N","FA_ADJUSTED=GAAP","Sort=A","Dates=H","DateFormat=P","Fill=—","Direction=H","UseDPDF=Y")</f>
        <v>—</v>
      </c>
      <c r="D9" s="18" t="str">
        <f>_xll.BDH("KAIR IN Equity","RETURN_ON_CAP","FY 2002","FY 2002","Currency=INR","Period=FY","BEST_FPERIOD_OVERRIDE=FY","FILING_STATUS=MR","EQY_CONSOLIDATED=N","FA_ADJUSTED=GAAP","Sort=A","Dates=H","DateFormat=P","Fill=—","Direction=H","UseDPDF=Y")</f>
        <v>—</v>
      </c>
      <c r="E9" s="18">
        <f>_xll.BDH("KAIR IN Equity","RETURN_ON_CAP","FY 2003","FY 2003","Currency=INR","Period=FY","BEST_FPERIOD_OVERRIDE=FY","FILING_STATUS=MR","EQY_CONSOLIDATED=N","FA_ADJUSTED=GAAP","Sort=A","Dates=H","DateFormat=P","Fill=—","Direction=H","UseDPDF=Y")</f>
        <v>37.487499999999997</v>
      </c>
      <c r="F9" s="18" t="str">
        <f>_xll.BDH("KAIR IN Equity","RETURN_ON_CAP","FY 2004","FY 2004","Currency=INR","Period=FY","BEST_FPERIOD_OVERRIDE=FY","FILING_STATUS=MR","EQY_CONSOLIDATED=N","FA_ADJUSTED=GAAP","Sort=A","Dates=H","DateFormat=P","Fill=—","Direction=H","UseDPDF=Y")</f>
        <v>—</v>
      </c>
      <c r="G9" s="18" t="str">
        <f>_xll.BDH("KAIR IN Equity","RETURN_ON_CAP","FY 2005","FY 2005","Currency=INR","Period=FY","BEST_FPERIOD_OVERRIDE=FY","FILING_STATUS=MR","EQY_CONSOLIDATED=N","FA_ADJUSTED=GAAP","Sort=A","Dates=H","DateFormat=P","Fill=—","Direction=H","UseDPDF=Y")</f>
        <v>—</v>
      </c>
      <c r="H9" s="18" t="str">
        <f>_xll.BDH("KAIR IN Equity","RETURN_ON_CAP","FY 2007","FY 2007","Currency=INR","Period=FY","BEST_FPERIOD_OVERRIDE=FY","FILING_STATUS=MR","EQY_CONSOLIDATED=N","FA_ADJUSTED=GAAP","Sort=A","Dates=H","DateFormat=P","Fill=—","Direction=H","UseDPDF=Y")</f>
        <v>—</v>
      </c>
      <c r="I9" s="18" t="str">
        <f>_xll.BDH("KAIR IN Equity","RETURN_ON_CAP","FY 2009","FY 2009","Currency=INR","Period=FY","BEST_FPERIOD_OVERRIDE=FY","FILING_STATUS=MR","EQY_CONSOLIDATED=N","FA_ADJUSTED=GAAP","Sort=A","Dates=H","DateFormat=P","Fill=—","Direction=H","UseDPDF=Y")</f>
        <v>—</v>
      </c>
      <c r="J9" s="18" t="str">
        <f>_xll.BDH("KAIR IN Equity","RETURN_ON_CAP","FY 2010","FY 2010","Currency=INR","Period=FY","BEST_FPERIOD_OVERRIDE=FY","FILING_STATUS=MR","EQY_CONSOLIDATED=N","FA_ADJUSTED=GAAP","Sort=A","Dates=H","DateFormat=P","Fill=—","Direction=H","UseDPDF=Y")</f>
        <v>—</v>
      </c>
      <c r="K9" s="18" t="str">
        <f>_xll.BDH("KAIR IN Equity","RETURN_ON_CAP","FY 2011","FY 2011","Currency=INR","Period=FY","BEST_FPERIOD_OVERRIDE=FY","FILING_STATUS=MR","EQY_CONSOLIDATED=N","FA_ADJUSTED=GAAP","Sort=A","Dates=H","DateFormat=P","Fill=—","Direction=H","UseDPDF=Y")</f>
        <v>—</v>
      </c>
      <c r="L9" s="18" t="str">
        <f>_xll.BDH("KAIR IN Equity","RETURN_ON_CAP","FY 2012","FY 2012","Currency=INR","Period=FY","BEST_FPERIOD_OVERRIDE=FY","FILING_STATUS=MR","EQY_CONSOLIDATED=N","FA_ADJUSTED=GAAP","Sort=A","Dates=H","DateFormat=P","Fill=—","Direction=H","UseDPDF=Y")</f>
        <v>—</v>
      </c>
      <c r="M9" s="18" t="str">
        <f>_xll.BDH("KAIR IN Equity","RETURN_ON_CAP","FY 2013","FY 2013","Currency=INR","Period=FY","BEST_FPERIOD_OVERRIDE=FY","FILING_STATUS=MR","EQY_CONSOLIDATED=N","FA_ADJUSTED=GAAP","Sort=A","Dates=H","DateFormat=P","Fill=—","Direction=H","UseDPDF=Y")</f>
        <v>—</v>
      </c>
    </row>
    <row r="10" spans="1:13" x14ac:dyDescent="0.25">
      <c r="A10" s="3" t="s">
        <v>35</v>
      </c>
      <c r="B10" s="3" t="s">
        <v>36</v>
      </c>
      <c r="C10" s="18" t="str">
        <f>_xll.BDH("KAIR IN Equity","RETURN_ON_INV_CAPITAL","FY 2001","FY 2001","Currency=INR","Period=FY","BEST_FPERIOD_OVERRIDE=FY","FILING_STATUS=MR","EQY_CONSOLIDATED=N","FA_ADJUSTED=GAAP","Sort=A","Dates=H","DateFormat=P","Fill=—","Direction=H","UseDPDF=Y")</f>
        <v>—</v>
      </c>
      <c r="D10" s="18" t="str">
        <f>_xll.BDH("KAIR IN Equity","RETURN_ON_INV_CAPITAL","FY 2002","FY 2002","Currency=INR","Period=FY","BEST_FPERIOD_OVERRIDE=FY","FILING_STATUS=MR","EQY_CONSOLIDATED=N","FA_ADJUSTED=GAAP","Sort=A","Dates=H","DateFormat=P","Fill=—","Direction=H","UseDPDF=Y")</f>
        <v>—</v>
      </c>
      <c r="E10" s="18">
        <f>_xll.BDH("KAIR IN Equity","RETURN_ON_INV_CAPITAL","FY 2003","FY 2003","Currency=INR","Period=FY","BEST_FPERIOD_OVERRIDE=FY","FILING_STATUS=MR","EQY_CONSOLIDATED=N","FA_ADJUSTED=GAAP","Sort=A","Dates=H","DateFormat=P","Fill=—","Direction=H","UseDPDF=Y")</f>
        <v>35.795900000000003</v>
      </c>
      <c r="F10" s="18" t="str">
        <f>_xll.BDH("KAIR IN Equity","RETURN_ON_INV_CAPITAL","FY 2004","FY 2004","Currency=INR","Period=FY","BEST_FPERIOD_OVERRIDE=FY","FILING_STATUS=MR","EQY_CONSOLIDATED=N","FA_ADJUSTED=GAAP","Sort=A","Dates=H","DateFormat=P","Fill=—","Direction=H","UseDPDF=Y")</f>
        <v>—</v>
      </c>
      <c r="G10" s="18" t="str">
        <f>_xll.BDH("KAIR IN Equity","RETURN_ON_INV_CAPITAL","FY 2005","FY 2005","Currency=INR","Period=FY","BEST_FPERIOD_OVERRIDE=FY","FILING_STATUS=MR","EQY_CONSOLIDATED=N","FA_ADJUSTED=GAAP","Sort=A","Dates=H","DateFormat=P","Fill=—","Direction=H","UseDPDF=Y")</f>
        <v>—</v>
      </c>
      <c r="H10" s="18" t="str">
        <f>_xll.BDH("KAIR IN Equity","RETURN_ON_INV_CAPITAL","FY 2007","FY 2007","Currency=INR","Period=FY","BEST_FPERIOD_OVERRIDE=FY","FILING_STATUS=MR","EQY_CONSOLIDATED=N","FA_ADJUSTED=GAAP","Sort=A","Dates=H","DateFormat=P","Fill=—","Direction=H","UseDPDF=Y")</f>
        <v>—</v>
      </c>
      <c r="I10" s="18" t="str">
        <f>_xll.BDH("KAIR IN Equity","RETURN_ON_INV_CAPITAL","FY 2009","FY 2009","Currency=INR","Period=FY","BEST_FPERIOD_OVERRIDE=FY","FILING_STATUS=MR","EQY_CONSOLIDATED=N","FA_ADJUSTED=GAAP","Sort=A","Dates=H","DateFormat=P","Fill=—","Direction=H","UseDPDF=Y")</f>
        <v>—</v>
      </c>
      <c r="J10" s="18" t="str">
        <f>_xll.BDH("KAIR IN Equity","RETURN_ON_INV_CAPITAL","FY 2010","FY 2010","Currency=INR","Period=FY","BEST_FPERIOD_OVERRIDE=FY","FILING_STATUS=MR","EQY_CONSOLIDATED=N","FA_ADJUSTED=GAAP","Sort=A","Dates=H","DateFormat=P","Fill=—","Direction=H","UseDPDF=Y")</f>
        <v>—</v>
      </c>
      <c r="K10" s="18" t="str">
        <f>_xll.BDH("KAIR IN Equity","RETURN_ON_INV_CAPITAL","FY 2011","FY 2011","Currency=INR","Period=FY","BEST_FPERIOD_OVERRIDE=FY","FILING_STATUS=MR","EQY_CONSOLIDATED=N","FA_ADJUSTED=GAAP","Sort=A","Dates=H","DateFormat=P","Fill=—","Direction=H","UseDPDF=Y")</f>
        <v>—</v>
      </c>
      <c r="L10" s="18" t="str">
        <f>_xll.BDH("KAIR IN Equity","RETURN_ON_INV_CAPITAL","FY 2012","FY 2012","Currency=INR","Period=FY","BEST_FPERIOD_OVERRIDE=FY","FILING_STATUS=MR","EQY_CONSOLIDATED=N","FA_ADJUSTED=GAAP","Sort=A","Dates=H","DateFormat=P","Fill=—","Direction=H","UseDPDF=Y")</f>
        <v>—</v>
      </c>
      <c r="M10" s="18" t="str">
        <f>_xll.BDH("KAIR IN Equity","RETURN_ON_INV_CAPITAL","FY 2013","FY 2013","Currency=INR","Period=FY","BEST_FPERIOD_OVERRIDE=FY","FILING_STATUS=MR","EQY_CONSOLIDATED=N","FA_ADJUSTED=GAAP","Sort=A","Dates=H","DateFormat=P","Fill=—","Direction=H","UseDPDF=Y")</f>
        <v>—</v>
      </c>
    </row>
    <row r="11" spans="1:13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2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3" t="s">
        <v>40</v>
      </c>
      <c r="B13" s="3" t="s">
        <v>41</v>
      </c>
      <c r="C13" s="18">
        <f>_xll.BDH("KAIR IN Equity","EBITDA_TO_REVENUE","FY 2001","FY 2001","Currency=INR","Period=FY","BEST_FPERIOD_OVERRIDE=FY","FILING_STATUS=MR","EQY_CONSOLIDATED=N","FA_ADJUSTED=GAAP","Sort=A","Dates=H","DateFormat=P","Fill=—","Direction=H","UseDPDF=Y")</f>
        <v>7.9703999999999997</v>
      </c>
      <c r="D13" s="18">
        <f>_xll.BDH("KAIR IN Equity","EBITDA_TO_REVENUE","FY 2002","FY 2002","Currency=INR","Period=FY","BEST_FPERIOD_OVERRIDE=FY","FILING_STATUS=MR","EQY_CONSOLIDATED=N","FA_ADJUSTED=GAAP","Sort=A","Dates=H","DateFormat=P","Fill=—","Direction=H","UseDPDF=Y")</f>
        <v>7.9291999999999998</v>
      </c>
      <c r="E13" s="18">
        <f>_xll.BDH("KAIR IN Equity","EBITDA_TO_REVENUE","FY 2003","FY 2003","Currency=INR","Period=FY","BEST_FPERIOD_OVERRIDE=FY","FILING_STATUS=MR","EQY_CONSOLIDATED=N","FA_ADJUSTED=GAAP","Sort=A","Dates=H","DateFormat=P","Fill=—","Direction=H","UseDPDF=Y")</f>
        <v>37.040100000000002</v>
      </c>
      <c r="F13" s="18">
        <f>_xll.BDH("KAIR IN Equity","EBITDA_TO_REVENUE","FY 2004","FY 2004","Currency=INR","Period=FY","BEST_FPERIOD_OVERRIDE=FY","FILING_STATUS=MR","EQY_CONSOLIDATED=N","FA_ADJUSTED=GAAP","Sort=A","Dates=H","DateFormat=P","Fill=—","Direction=H","UseDPDF=Y")</f>
        <v>2.3292000000000002</v>
      </c>
      <c r="G13" s="18">
        <f>_xll.BDH("KAIR IN Equity","EBITDA_TO_REVENUE","FY 2005","FY 2005","Currency=INR","Period=FY","BEST_FPERIOD_OVERRIDE=FY","FILING_STATUS=MR","EQY_CONSOLIDATED=N","FA_ADJUSTED=GAAP","Sort=A","Dates=H","DateFormat=P","Fill=—","Direction=H","UseDPDF=Y")</f>
        <v>-3.7559</v>
      </c>
      <c r="H13" s="18">
        <f>_xll.BDH("KAIR IN Equity","EBITDA_TO_REVENUE","FY 2007","FY 2007","Currency=INR","Period=FY","BEST_FPERIOD_OVERRIDE=FY","FILING_STATUS=MR","EQY_CONSOLIDATED=N","FA_ADJUSTED=GAAP","Sort=A","Dates=H","DateFormat=P","Fill=—","Direction=H","UseDPDF=Y")</f>
        <v>-22.660399999999999</v>
      </c>
      <c r="I13" s="18">
        <f>_xll.BDH("KAIR IN Equity","EBITDA_TO_REVENUE","FY 2009","FY 2009","Currency=INR","Period=FY","BEST_FPERIOD_OVERRIDE=FY","FILING_STATUS=MR","EQY_CONSOLIDATED=N","FA_ADJUSTED=GAAP","Sort=A","Dates=H","DateFormat=P","Fill=—","Direction=H","UseDPDF=Y")</f>
        <v>-36.935200000000002</v>
      </c>
      <c r="J13" s="18">
        <f>_xll.BDH("KAIR IN Equity","EBITDA_TO_REVENUE","FY 2010","FY 2010","Currency=INR","Period=FY","BEST_FPERIOD_OVERRIDE=FY","FILING_STATUS=MR","EQY_CONSOLIDATED=N","FA_ADJUSTED=GAAP","Sort=A","Dates=H","DateFormat=P","Fill=—","Direction=H","UseDPDF=Y")</f>
        <v>-17.313099999999999</v>
      </c>
      <c r="K13" s="18">
        <f>_xll.BDH("KAIR IN Equity","EBITDA_TO_REVENUE","FY 2011","FY 2011","Currency=INR","Period=FY","BEST_FPERIOD_OVERRIDE=FY","FILING_STATUS=MR","EQY_CONSOLIDATED=N","FA_ADJUSTED=GAAP","Sort=A","Dates=H","DateFormat=P","Fill=—","Direction=H","UseDPDF=Y")</f>
        <v>0.1123</v>
      </c>
      <c r="L13" s="18">
        <f>_xll.BDH("KAIR IN Equity","EBITDA_TO_REVENUE","FY 2012","FY 2012","Currency=INR","Period=FY","BEST_FPERIOD_OVERRIDE=FY","FILING_STATUS=MR","EQY_CONSOLIDATED=N","FA_ADJUSTED=GAAP","Sort=A","Dates=H","DateFormat=P","Fill=—","Direction=H","UseDPDF=Y")</f>
        <v>-38.268900000000002</v>
      </c>
      <c r="M13" s="18">
        <f>_xll.BDH("KAIR IN Equity","EBITDA_TO_REVENUE","FY 2013","FY 2013","Currency=INR","Period=FY","BEST_FPERIOD_OVERRIDE=FY","FILING_STATUS=MR","EQY_CONSOLIDATED=N","FA_ADJUSTED=GAAP","Sort=A","Dates=H","DateFormat=P","Fill=—","Direction=H","UseDPDF=Y")</f>
        <v>-550.67060000000004</v>
      </c>
    </row>
    <row r="14" spans="1:13" x14ac:dyDescent="0.25">
      <c r="A14" s="3" t="s">
        <v>42</v>
      </c>
      <c r="B14" s="3" t="s">
        <v>43</v>
      </c>
      <c r="C14" s="18">
        <f>_xll.BDH("KAIR IN Equity","OPER_MARGIN","FY 2001","FY 2001","Currency=INR","Period=FY","BEST_FPERIOD_OVERRIDE=FY","FILING_STATUS=MR","EQY_CONSOLIDATED=N","FA_ADJUSTED=GAAP","Sort=A","Dates=H","DateFormat=P","Fill=—","Direction=H","UseDPDF=Y")</f>
        <v>7.3249000000000004</v>
      </c>
      <c r="D14" s="18">
        <f>_xll.BDH("KAIR IN Equity","OPER_MARGIN","FY 2002","FY 2002","Currency=INR","Period=FY","BEST_FPERIOD_OVERRIDE=FY","FILING_STATUS=MR","EQY_CONSOLIDATED=N","FA_ADJUSTED=GAAP","Sort=A","Dates=H","DateFormat=P","Fill=—","Direction=H","UseDPDF=Y")</f>
        <v>7.3818000000000001</v>
      </c>
      <c r="E14" s="18">
        <f>_xll.BDH("KAIR IN Equity","OPER_MARGIN","FY 2003","FY 2003","Currency=INR","Period=FY","BEST_FPERIOD_OVERRIDE=FY","FILING_STATUS=MR","EQY_CONSOLIDATED=N","FA_ADJUSTED=GAAP","Sort=A","Dates=H","DateFormat=P","Fill=—","Direction=H","UseDPDF=Y")</f>
        <v>35.644300000000001</v>
      </c>
      <c r="F14" s="18">
        <f>_xll.BDH("KAIR IN Equity","OPER_MARGIN","FY 2004","FY 2004","Currency=INR","Period=FY","BEST_FPERIOD_OVERRIDE=FY","FILING_STATUS=MR","EQY_CONSOLIDATED=N","FA_ADJUSTED=GAAP","Sort=A","Dates=H","DateFormat=P","Fill=—","Direction=H","UseDPDF=Y")</f>
        <v>0.50680000000000003</v>
      </c>
      <c r="G14" s="18">
        <f>_xll.BDH("KAIR IN Equity","OPER_MARGIN","FY 2005","FY 2005","Currency=INR","Period=FY","BEST_FPERIOD_OVERRIDE=FY","FILING_STATUS=MR","EQY_CONSOLIDATED=N","FA_ADJUSTED=GAAP","Sort=A","Dates=H","DateFormat=P","Fill=—","Direction=H","UseDPDF=Y")</f>
        <v>-6.6375000000000002</v>
      </c>
      <c r="H14" s="18">
        <f>_xll.BDH("KAIR IN Equity","OPER_MARGIN","FY 2007","FY 2007","Currency=INR","Period=FY","BEST_FPERIOD_OVERRIDE=FY","FILING_STATUS=MR","EQY_CONSOLIDATED=N","FA_ADJUSTED=GAAP","Sort=A","Dates=H","DateFormat=P","Fill=—","Direction=H","UseDPDF=Y")</f>
        <v>-25.135300000000001</v>
      </c>
      <c r="I14" s="18">
        <f>_xll.BDH("KAIR IN Equity","OPER_MARGIN","FY 2009","FY 2009","Currency=INR","Period=FY","BEST_FPERIOD_OVERRIDE=FY","FILING_STATUS=MR","EQY_CONSOLIDATED=N","FA_ADJUSTED=GAAP","Sort=A","Dates=H","DateFormat=P","Fill=—","Direction=H","UseDPDF=Y")</f>
        <v>-40.2104</v>
      </c>
      <c r="J14" s="18">
        <f>_xll.BDH("KAIR IN Equity","OPER_MARGIN","FY 2010","FY 2010","Currency=INR","Period=FY","BEST_FPERIOD_OVERRIDE=FY","FILING_STATUS=MR","EQY_CONSOLIDATED=N","FA_ADJUSTED=GAAP","Sort=A","Dates=H","DateFormat=P","Fill=—","Direction=H","UseDPDF=Y")</f>
        <v>-21.6006</v>
      </c>
      <c r="K14" s="18">
        <f>_xll.BDH("KAIR IN Equity","OPER_MARGIN","FY 2011","FY 2011","Currency=INR","Period=FY","BEST_FPERIOD_OVERRIDE=FY","FILING_STATUS=MR","EQY_CONSOLIDATED=N","FA_ADJUSTED=GAAP","Sort=A","Dates=H","DateFormat=P","Fill=—","Direction=H","UseDPDF=Y")</f>
        <v>-3.7545999999999999</v>
      </c>
      <c r="L14" s="18">
        <f>_xll.BDH("KAIR IN Equity","OPER_MARGIN","FY 2012","FY 2012","Currency=INR","Period=FY","BEST_FPERIOD_OVERRIDE=FY","FILING_STATUS=MR","EQY_CONSOLIDATED=N","FA_ADJUSTED=GAAP","Sort=A","Dates=H","DateFormat=P","Fill=—","Direction=H","UseDPDF=Y")</f>
        <v>-45.288200000000003</v>
      </c>
      <c r="M14" s="18">
        <f>_xll.BDH("KAIR IN Equity","OPER_MARGIN","FY 2013","FY 2013","Currency=INR","Period=FY","BEST_FPERIOD_OVERRIDE=FY","FILING_STATUS=MR","EQY_CONSOLIDATED=N","FA_ADJUSTED=GAAP","Sort=A","Dates=H","DateFormat=P","Fill=—","Direction=H","UseDPDF=Y")</f>
        <v>-598.29549999999995</v>
      </c>
    </row>
    <row r="15" spans="1:13" x14ac:dyDescent="0.25">
      <c r="A15" s="3" t="s">
        <v>44</v>
      </c>
      <c r="B15" s="3" t="s">
        <v>45</v>
      </c>
      <c r="C15" s="18" t="str">
        <f>_xll.BDH("KAIR IN Equity","INCREMENTAL_OPERATING_MARGIN","FY 2001","FY 2001","Currency=INR","Period=FY","BEST_FPERIOD_OVERRIDE=FY","FILING_STATUS=MR","EQY_CONSOLIDATED=N","FA_ADJUSTED=GAAP","Sort=A","Dates=H","DateFormat=P","Fill=—","Direction=H","UseDPDF=Y")</f>
        <v>—</v>
      </c>
      <c r="D15" s="18">
        <f>_xll.BDH("KAIR IN Equity","INCREMENTAL_OPERATING_MARGIN","FY 2002","FY 2002","Currency=INR","Period=FY","BEST_FPERIOD_OVERRIDE=FY","FILING_STATUS=MR","EQY_CONSOLIDATED=N","FA_ADJUSTED=GAAP","Sort=A","Dates=H","DateFormat=P","Fill=—","Direction=H","UseDPDF=Y")</f>
        <v>7.5553999999999997</v>
      </c>
      <c r="E15" s="18">
        <f>_xll.BDH("KAIR IN Equity","INCREMENTAL_OPERATING_MARGIN","FY 2003","FY 2003","Currency=INR","Period=FY","BEST_FPERIOD_OVERRIDE=FY","FILING_STATUS=MR","EQY_CONSOLIDATED=N","FA_ADJUSTED=GAAP","Sort=A","Dates=H","DateFormat=P","Fill=—","Direction=H","UseDPDF=Y")</f>
        <v>178.50839999999999</v>
      </c>
      <c r="F15" s="18" t="str">
        <f>_xll.BDH("KAIR IN Equity","INCREMENTAL_OPERATING_MARGIN","FY 2004","FY 2004","Currency=INR","Period=FY","BEST_FPERIOD_OVERRIDE=FY","FILING_STATUS=MR","EQY_CONSOLIDATED=N","FA_ADJUSTED=GAAP","Sort=A","Dates=H","DateFormat=P","Fill=—","Direction=H","UseDPDF=Y")</f>
        <v>—</v>
      </c>
      <c r="G15" s="18" t="str">
        <f>_xll.BDH("KAIR IN Equity","INCREMENTAL_OPERATING_MARGIN","FY 2005","FY 2005","Currency=INR","Period=FY","BEST_FPERIOD_OVERRIDE=FY","FILING_STATUS=MR","EQY_CONSOLIDATED=N","FA_ADJUSTED=GAAP","Sort=A","Dates=H","DateFormat=P","Fill=—","Direction=H","UseDPDF=Y")</f>
        <v>—</v>
      </c>
      <c r="H15" s="18" t="str">
        <f>_xll.BDH("KAIR IN Equity","INCREMENTAL_OPERATING_MARGIN","FY 2007","FY 2007","Currency=INR","Period=FY","BEST_FPERIOD_OVERRIDE=FY","FILING_STATUS=MR","EQY_CONSOLIDATED=N","FA_ADJUSTED=GAAP","Sort=A","Dates=H","DateFormat=P","Fill=—","Direction=H","UseDPDF=Y")</f>
        <v>—</v>
      </c>
      <c r="I15" s="18" t="str">
        <f>_xll.BDH("KAIR IN Equity","INCREMENTAL_OPERATING_MARGIN","FY 2009","FY 2009","Currency=INR","Period=FY","BEST_FPERIOD_OVERRIDE=FY","FILING_STATUS=MR","EQY_CONSOLIDATED=N","FA_ADJUSTED=GAAP","Sort=A","Dates=H","DateFormat=P","Fill=—","Direction=H","UseDPDF=Y")</f>
        <v>—</v>
      </c>
      <c r="J15" s="18" t="str">
        <f>_xll.BDH("KAIR IN Equity","INCREMENTAL_OPERATING_MARGIN","FY 2010","FY 2010","Currency=INR","Period=FY","BEST_FPERIOD_OVERRIDE=FY","FILING_STATUS=MR","EQY_CONSOLIDATED=N","FA_ADJUSTED=GAAP","Sort=A","Dates=H","DateFormat=P","Fill=—","Direction=H","UseDPDF=Y")</f>
        <v>—</v>
      </c>
      <c r="K15" s="18">
        <f>_xll.BDH("KAIR IN Equity","INCREMENTAL_OPERATING_MARGIN","FY 2011","FY 2011","Currency=INR","Period=FY","BEST_FPERIOD_OVERRIDE=FY","FILING_STATUS=MR","EQY_CONSOLIDATED=N","FA_ADJUSTED=GAAP","Sort=A","Dates=H","DateFormat=P","Fill=—","Direction=H","UseDPDF=Y")</f>
        <v>73.847499999999997</v>
      </c>
      <c r="L15" s="18">
        <f>_xll.BDH("KAIR IN Equity","INCREMENTAL_OPERATING_MARGIN","FY 2012","FY 2012","Currency=INR","Period=FY","BEST_FPERIOD_OVERRIDE=FY","FILING_STATUS=MR","EQY_CONSOLIDATED=N","FA_ADJUSTED=GAAP","Sort=A","Dates=H","DateFormat=P","Fill=—","Direction=H","UseDPDF=Y")</f>
        <v>-304.58339999999998</v>
      </c>
      <c r="M15" s="18">
        <f>_xll.BDH("KAIR IN Equity","INCREMENTAL_OPERATING_MARGIN","FY 2013","FY 2013","Currency=INR","Period=FY","BEST_FPERIOD_OVERRIDE=FY","FILING_STATUS=MR","EQY_CONSOLIDATED=N","FA_ADJUSTED=GAAP","Sort=A","Dates=H","DateFormat=P","Fill=—","Direction=H","UseDPDF=Y")</f>
        <v>-10.254099999999999</v>
      </c>
    </row>
    <row r="16" spans="1:13" x14ac:dyDescent="0.25">
      <c r="A16" s="3" t="s">
        <v>46</v>
      </c>
      <c r="B16" s="3" t="s">
        <v>47</v>
      </c>
      <c r="C16" s="18">
        <f>_xll.BDH("KAIR IN Equity","PRETAX_INC_TO_NET_SALES","FY 2001","FY 2001","Currency=INR","Period=FY","BEST_FPERIOD_OVERRIDE=FY","FILING_STATUS=MR","EQY_CONSOLIDATED=N","FA_ADJUSTED=GAAP","Sort=A","Dates=H","DateFormat=P","Fill=—","Direction=H","UseDPDF=Y")</f>
        <v>7.8140999999999998</v>
      </c>
      <c r="D16" s="18">
        <f>_xll.BDH("KAIR IN Equity","PRETAX_INC_TO_NET_SALES","FY 2002","FY 2002","Currency=INR","Period=FY","BEST_FPERIOD_OVERRIDE=FY","FILING_STATUS=MR","EQY_CONSOLIDATED=N","FA_ADJUSTED=GAAP","Sort=A","Dates=H","DateFormat=P","Fill=—","Direction=H","UseDPDF=Y")</f>
        <v>7.8319999999999999</v>
      </c>
      <c r="E16" s="18">
        <f>_xll.BDH("KAIR IN Equity","PRETAX_INC_TO_NET_SALES","FY 2003","FY 2003","Currency=INR","Period=FY","BEST_FPERIOD_OVERRIDE=FY","FILING_STATUS=MR","EQY_CONSOLIDATED=N","FA_ADJUSTED=GAAP","Sort=A","Dates=H","DateFormat=P","Fill=—","Direction=H","UseDPDF=Y")</f>
        <v>4.8053999999999997</v>
      </c>
      <c r="F16" s="18">
        <f>_xll.BDH("KAIR IN Equity","PRETAX_INC_TO_NET_SALES","FY 2004","FY 2004","Currency=INR","Period=FY","BEST_FPERIOD_OVERRIDE=FY","FILING_STATUS=MR","EQY_CONSOLIDATED=N","FA_ADJUSTED=GAAP","Sort=A","Dates=H","DateFormat=P","Fill=—","Direction=H","UseDPDF=Y")</f>
        <v>-18.997800000000002</v>
      </c>
      <c r="G16" s="18">
        <f>_xll.BDH("KAIR IN Equity","PRETAX_INC_TO_NET_SALES","FY 2005","FY 2005","Currency=INR","Period=FY","BEST_FPERIOD_OVERRIDE=FY","FILING_STATUS=MR","EQY_CONSOLIDATED=N","FA_ADJUSTED=GAAP","Sort=A","Dates=H","DateFormat=P","Fill=—","Direction=H","UseDPDF=Y")</f>
        <v>-6.8178000000000001</v>
      </c>
      <c r="H16" s="18">
        <f>_xll.BDH("KAIR IN Equity","PRETAX_INC_TO_NET_SALES","FY 2007","FY 2007","Currency=INR","Period=FY","BEST_FPERIOD_OVERRIDE=FY","FILING_STATUS=MR","EQY_CONSOLIDATED=N","FA_ADJUSTED=GAAP","Sort=A","Dates=H","DateFormat=P","Fill=—","Direction=H","UseDPDF=Y")</f>
        <v>-23.4526</v>
      </c>
      <c r="I16" s="18">
        <f>_xll.BDH("KAIR IN Equity","PRETAX_INC_TO_NET_SALES","FY 2009","FY 2009","Currency=INR","Period=FY","BEST_FPERIOD_OVERRIDE=FY","FILING_STATUS=MR","EQY_CONSOLIDATED=N","FA_ADJUSTED=GAAP","Sort=A","Dates=H","DateFormat=P","Fill=—","Direction=H","UseDPDF=Y")</f>
        <v>-49.658499999999997</v>
      </c>
      <c r="J16" s="18">
        <f>_xll.BDH("KAIR IN Equity","PRETAX_INC_TO_NET_SALES","FY 2010","FY 2010","Currency=INR","Period=FY","BEST_FPERIOD_OVERRIDE=FY","FILING_STATUS=MR","EQY_CONSOLIDATED=N","FA_ADJUSTED=GAAP","Sort=A","Dates=H","DateFormat=P","Fill=—","Direction=H","UseDPDF=Y")</f>
        <v>-47.7102</v>
      </c>
      <c r="K16" s="18">
        <f>_xll.BDH("KAIR IN Equity","PRETAX_INC_TO_NET_SALES","FY 2011","FY 2011","Currency=INR","Period=FY","BEST_FPERIOD_OVERRIDE=FY","FILING_STATUS=MR","EQY_CONSOLIDATED=N","FA_ADJUSTED=GAAP","Sort=A","Dates=H","DateFormat=P","Fill=—","Direction=H","UseDPDF=Y")</f>
        <v>-24.397400000000001</v>
      </c>
      <c r="L16" s="18">
        <f>_xll.BDH("KAIR IN Equity","PRETAX_INC_TO_NET_SALES","FY 2012","FY 2012","Currency=INR","Period=FY","BEST_FPERIOD_OVERRIDE=FY","FILING_STATUS=MR","EQY_CONSOLIDATED=N","FA_ADJUSTED=GAAP","Sort=A","Dates=H","DateFormat=P","Fill=—","Direction=H","UseDPDF=Y")</f>
        <v>-62.731400000000001</v>
      </c>
      <c r="M16" s="18">
        <f>_xll.BDH("KAIR IN Equity","PRETAX_INC_TO_NET_SALES","FY 2013","FY 2013","Currency=INR","Period=FY","BEST_FPERIOD_OVERRIDE=FY","FILING_STATUS=MR","EQY_CONSOLIDATED=N","FA_ADJUSTED=GAAP","Sort=A","Dates=H","DateFormat=P","Fill=—","Direction=H","UseDPDF=Y")</f>
        <v>-857.85140000000001</v>
      </c>
    </row>
    <row r="17" spans="1:13" x14ac:dyDescent="0.25">
      <c r="A17" s="3" t="s">
        <v>48</v>
      </c>
      <c r="B17" s="3" t="s">
        <v>49</v>
      </c>
      <c r="C17" s="18">
        <f>_xll.BDH("KAIR IN Equity","INC_BEF_XO_ITEMS_TO_NET_SALES","FY 2001","FY 2001","Currency=INR","Period=FY","BEST_FPERIOD_OVERRIDE=FY","FILING_STATUS=MR","EQY_CONSOLIDATED=N","FA_ADJUSTED=GAAP","Sort=A","Dates=H","DateFormat=P","Fill=—","Direction=H","UseDPDF=Y")</f>
        <v>6.7065000000000001</v>
      </c>
      <c r="D17" s="18">
        <f>_xll.BDH("KAIR IN Equity","INC_BEF_XO_ITEMS_TO_NET_SALES","FY 2002","FY 2002","Currency=INR","Period=FY","BEST_FPERIOD_OVERRIDE=FY","FILING_STATUS=MR","EQY_CONSOLIDATED=N","FA_ADJUSTED=GAAP","Sort=A","Dates=H","DateFormat=P","Fill=—","Direction=H","UseDPDF=Y")</f>
        <v>8.2771000000000008</v>
      </c>
      <c r="E17" s="18">
        <f>_xll.BDH("KAIR IN Equity","INC_BEF_XO_ITEMS_TO_NET_SALES","FY 2003","FY 2003","Currency=INR","Period=FY","BEST_FPERIOD_OVERRIDE=FY","FILING_STATUS=MR","EQY_CONSOLIDATED=N","FA_ADJUSTED=GAAP","Sort=A","Dates=H","DateFormat=P","Fill=—","Direction=H","UseDPDF=Y")</f>
        <v>2.6623000000000001</v>
      </c>
      <c r="F17" s="18">
        <f>_xll.BDH("KAIR IN Equity","INC_BEF_XO_ITEMS_TO_NET_SALES","FY 2004","FY 2004","Currency=INR","Period=FY","BEST_FPERIOD_OVERRIDE=FY","FILING_STATUS=MR","EQY_CONSOLIDATED=N","FA_ADJUSTED=GAAP","Sort=A","Dates=H","DateFormat=P","Fill=—","Direction=H","UseDPDF=Y")</f>
        <v>-18.6053</v>
      </c>
      <c r="G17" s="18">
        <f>_xll.BDH("KAIR IN Equity","INC_BEF_XO_ITEMS_TO_NET_SALES","FY 2005","FY 2005","Currency=INR","Period=FY","BEST_FPERIOD_OVERRIDE=FY","FILING_STATUS=MR","EQY_CONSOLIDATED=N","FA_ADJUSTED=GAAP","Sort=A","Dates=H","DateFormat=P","Fill=—","Direction=H","UseDPDF=Y")</f>
        <v>-6.3849999999999998</v>
      </c>
      <c r="H17" s="18">
        <f>_xll.BDH("KAIR IN Equity","INC_BEF_XO_ITEMS_TO_NET_SALES","FY 2007","FY 2007","Currency=INR","Period=FY","BEST_FPERIOD_OVERRIDE=FY","FILING_STATUS=MR","EQY_CONSOLIDATED=N","FA_ADJUSTED=GAAP","Sort=A","Dates=H","DateFormat=P","Fill=—","Direction=H","UseDPDF=Y")</f>
        <v>-23.644100000000002</v>
      </c>
      <c r="I17" s="18">
        <f>_xll.BDH("KAIR IN Equity","INC_BEF_XO_ITEMS_TO_NET_SALES","FY 2009","FY 2009","Currency=INR","Period=FY","BEST_FPERIOD_OVERRIDE=FY","FILING_STATUS=MR","EQY_CONSOLIDATED=N","FA_ADJUSTED=GAAP","Sort=A","Dates=H","DateFormat=P","Fill=—","Direction=H","UseDPDF=Y")</f>
        <v>-39.229500000000002</v>
      </c>
      <c r="J17" s="18">
        <f>_xll.BDH("KAIR IN Equity","INC_BEF_XO_ITEMS_TO_NET_SALES","FY 2010","FY 2010","Currency=INR","Period=FY","BEST_FPERIOD_OVERRIDE=FY","FILING_STATUS=MR","EQY_CONSOLIDATED=N","FA_ADJUSTED=GAAP","Sort=A","Dates=H","DateFormat=P","Fill=—","Direction=H","UseDPDF=Y")</f>
        <v>-32.502899999999997</v>
      </c>
      <c r="K17" s="18">
        <f>_xll.BDH("KAIR IN Equity","INC_BEF_XO_ITEMS_TO_NET_SALES","FY 2011","FY 2011","Currency=INR","Period=FY","BEST_FPERIOD_OVERRIDE=FY","FILING_STATUS=MR","EQY_CONSOLIDATED=N","FA_ADJUSTED=GAAP","Sort=A","Dates=H","DateFormat=P","Fill=—","Direction=H","UseDPDF=Y")</f>
        <v>-16.482199999999999</v>
      </c>
      <c r="L17" s="18">
        <f>_xll.BDH("KAIR IN Equity","INC_BEF_XO_ITEMS_TO_NET_SALES","FY 2012","FY 2012","Currency=INR","Period=FY","BEST_FPERIOD_OVERRIDE=FY","FILING_STATUS=MR","EQY_CONSOLIDATED=N","FA_ADJUSTED=GAAP","Sort=A","Dates=H","DateFormat=P","Fill=—","Direction=H","UseDPDF=Y")</f>
        <v>-42.3782</v>
      </c>
      <c r="M17" s="18">
        <f>_xll.BDH("KAIR IN Equity","INC_BEF_XO_ITEMS_TO_NET_SALES","FY 2013","FY 2013","Currency=INR","Period=FY","BEST_FPERIOD_OVERRIDE=FY","FILING_STATUS=MR","EQY_CONSOLIDATED=N","FA_ADJUSTED=GAAP","Sort=A","Dates=H","DateFormat=P","Fill=—","Direction=H","UseDPDF=Y")</f>
        <v>-857.85140000000001</v>
      </c>
    </row>
    <row r="18" spans="1:13" x14ac:dyDescent="0.25">
      <c r="A18" s="3" t="s">
        <v>50</v>
      </c>
      <c r="B18" s="3" t="s">
        <v>51</v>
      </c>
      <c r="C18" s="18">
        <f>_xll.BDH("KAIR IN Equity","PROF_MARGIN","FY 2001","FY 2001","Currency=INR","Period=FY","BEST_FPERIOD_OVERRIDE=FY","FILING_STATUS=MR","EQY_CONSOLIDATED=N","FA_ADJUSTED=GAAP","Sort=A","Dates=H","DateFormat=P","Fill=—","Direction=H","UseDPDF=Y")</f>
        <v>6.7065000000000001</v>
      </c>
      <c r="D18" s="18">
        <f>_xll.BDH("KAIR IN Equity","PROF_MARGIN","FY 2002","FY 2002","Currency=INR","Period=FY","BEST_FPERIOD_OVERRIDE=FY","FILING_STATUS=MR","EQY_CONSOLIDATED=N","FA_ADJUSTED=GAAP","Sort=A","Dates=H","DateFormat=P","Fill=—","Direction=H","UseDPDF=Y")</f>
        <v>8.2771000000000008</v>
      </c>
      <c r="E18" s="18">
        <f>_xll.BDH("KAIR IN Equity","PROF_MARGIN","FY 2003","FY 2003","Currency=INR","Period=FY","BEST_FPERIOD_OVERRIDE=FY","FILING_STATUS=MR","EQY_CONSOLIDATED=N","FA_ADJUSTED=GAAP","Sort=A","Dates=H","DateFormat=P","Fill=—","Direction=H","UseDPDF=Y")</f>
        <v>2.6623000000000001</v>
      </c>
      <c r="F18" s="18">
        <f>_xll.BDH("KAIR IN Equity","PROF_MARGIN","FY 2004","FY 2004","Currency=INR","Period=FY","BEST_FPERIOD_OVERRIDE=FY","FILING_STATUS=MR","EQY_CONSOLIDATED=N","FA_ADJUSTED=GAAP","Sort=A","Dates=H","DateFormat=P","Fill=—","Direction=H","UseDPDF=Y")</f>
        <v>-18.6053</v>
      </c>
      <c r="G18" s="18">
        <f>_xll.BDH("KAIR IN Equity","PROF_MARGIN","FY 2005","FY 2005","Currency=INR","Period=FY","BEST_FPERIOD_OVERRIDE=FY","FILING_STATUS=MR","EQY_CONSOLIDATED=N","FA_ADJUSTED=GAAP","Sort=A","Dates=H","DateFormat=P","Fill=—","Direction=H","UseDPDF=Y")</f>
        <v>-6.3849999999999998</v>
      </c>
      <c r="H18" s="18">
        <f>_xll.BDH("KAIR IN Equity","PROF_MARGIN","FY 2007","FY 2007","Currency=INR","Period=FY","BEST_FPERIOD_OVERRIDE=FY","FILING_STATUS=MR","EQY_CONSOLIDATED=N","FA_ADJUSTED=GAAP","Sort=A","Dates=H","DateFormat=P","Fill=—","Direction=H","UseDPDF=Y")</f>
        <v>-23.644100000000002</v>
      </c>
      <c r="I18" s="18">
        <f>_xll.BDH("KAIR IN Equity","PROF_MARGIN","FY 2009","FY 2009","Currency=INR","Period=FY","BEST_FPERIOD_OVERRIDE=FY","FILING_STATUS=MR","EQY_CONSOLIDATED=N","FA_ADJUSTED=GAAP","Sort=A","Dates=H","DateFormat=P","Fill=—","Direction=H","UseDPDF=Y")</f>
        <v>-39.229500000000002</v>
      </c>
      <c r="J18" s="18">
        <f>_xll.BDH("KAIR IN Equity","PROF_MARGIN","FY 2010","FY 2010","Currency=INR","Period=FY","BEST_FPERIOD_OVERRIDE=FY","FILING_STATUS=MR","EQY_CONSOLIDATED=N","FA_ADJUSTED=GAAP","Sort=A","Dates=H","DateFormat=P","Fill=—","Direction=H","UseDPDF=Y")</f>
        <v>-32.502899999999997</v>
      </c>
      <c r="K18" s="18">
        <f>_xll.BDH("KAIR IN Equity","PROF_MARGIN","FY 2011","FY 2011","Currency=INR","Period=FY","BEST_FPERIOD_OVERRIDE=FY","FILING_STATUS=MR","EQY_CONSOLIDATED=N","FA_ADJUSTED=GAAP","Sort=A","Dates=H","DateFormat=P","Fill=—","Direction=H","UseDPDF=Y")</f>
        <v>-16.482199999999999</v>
      </c>
      <c r="L18" s="18">
        <f>_xll.BDH("KAIR IN Equity","PROF_MARGIN","FY 2012","FY 2012","Currency=INR","Period=FY","BEST_FPERIOD_OVERRIDE=FY","FILING_STATUS=MR","EQY_CONSOLIDATED=N","FA_ADJUSTED=GAAP","Sort=A","Dates=H","DateFormat=P","Fill=—","Direction=H","UseDPDF=Y")</f>
        <v>-42.3782</v>
      </c>
      <c r="M18" s="18">
        <f>_xll.BDH("KAIR IN Equity","PROF_MARGIN","FY 2013","FY 2013","Currency=INR","Period=FY","BEST_FPERIOD_OVERRIDE=FY","FILING_STATUS=MR","EQY_CONSOLIDATED=N","FA_ADJUSTED=GAAP","Sort=A","Dates=H","DateFormat=P","Fill=—","Direction=H","UseDPDF=Y")</f>
        <v>-857.85140000000001</v>
      </c>
    </row>
    <row r="19" spans="1:13" x14ac:dyDescent="0.25">
      <c r="A19" s="3" t="s">
        <v>52</v>
      </c>
      <c r="B19" s="3" t="s">
        <v>53</v>
      </c>
      <c r="C19" s="18">
        <f>_xll.BDH("KAIR IN Equity","NET_INCOME_TO_COMMON_MARGIN","FY 2001","FY 2001","Currency=INR","Period=FY","BEST_FPERIOD_OVERRIDE=FY","FILING_STATUS=MR","EQY_CONSOLIDATED=N","FA_ADJUSTED=GAAP","Sort=A","Dates=H","DateFormat=P","Fill=—","Direction=H","UseDPDF=Y")</f>
        <v>6.7065000000000001</v>
      </c>
      <c r="D19" s="18">
        <f>_xll.BDH("KAIR IN Equity","NET_INCOME_TO_COMMON_MARGIN","FY 2002","FY 2002","Currency=INR","Period=FY","BEST_FPERIOD_OVERRIDE=FY","FILING_STATUS=MR","EQY_CONSOLIDATED=N","FA_ADJUSTED=GAAP","Sort=A","Dates=H","DateFormat=P","Fill=—","Direction=H","UseDPDF=Y")</f>
        <v>8.2771000000000008</v>
      </c>
      <c r="E19" s="18">
        <f>_xll.BDH("KAIR IN Equity","NET_INCOME_TO_COMMON_MARGIN","FY 2003","FY 2003","Currency=INR","Period=FY","BEST_FPERIOD_OVERRIDE=FY","FILING_STATUS=MR","EQY_CONSOLIDATED=N","FA_ADJUSTED=GAAP","Sort=A","Dates=H","DateFormat=P","Fill=—","Direction=H","UseDPDF=Y")</f>
        <v>2.6623000000000001</v>
      </c>
      <c r="F19" s="18">
        <f>_xll.BDH("KAIR IN Equity","NET_INCOME_TO_COMMON_MARGIN","FY 2004","FY 2004","Currency=INR","Period=FY","BEST_FPERIOD_OVERRIDE=FY","FILING_STATUS=MR","EQY_CONSOLIDATED=N","FA_ADJUSTED=GAAP","Sort=A","Dates=H","DateFormat=P","Fill=—","Direction=H","UseDPDF=Y")</f>
        <v>-18.6053</v>
      </c>
      <c r="G19" s="18">
        <f>_xll.BDH("KAIR IN Equity","NET_INCOME_TO_COMMON_MARGIN","FY 2005","FY 2005","Currency=INR","Period=FY","BEST_FPERIOD_OVERRIDE=FY","FILING_STATUS=MR","EQY_CONSOLIDATED=N","FA_ADJUSTED=GAAP","Sort=A","Dates=H","DateFormat=P","Fill=—","Direction=H","UseDPDF=Y")</f>
        <v>-6.3849999999999998</v>
      </c>
      <c r="H19" s="18">
        <f>_xll.BDH("KAIR IN Equity","NET_INCOME_TO_COMMON_MARGIN","FY 2007","FY 2007","Currency=INR","Period=FY","BEST_FPERIOD_OVERRIDE=FY","FILING_STATUS=MR","EQY_CONSOLIDATED=N","FA_ADJUSTED=GAAP","Sort=A","Dates=H","DateFormat=P","Fill=—","Direction=H","UseDPDF=Y")</f>
        <v>-23.644100000000002</v>
      </c>
      <c r="I19" s="18">
        <f>_xll.BDH("KAIR IN Equity","NET_INCOME_TO_COMMON_MARGIN","FY 2009","FY 2009","Currency=INR","Period=FY","BEST_FPERIOD_OVERRIDE=FY","FILING_STATUS=MR","EQY_CONSOLIDATED=N","FA_ADJUSTED=GAAP","Sort=A","Dates=H","DateFormat=P","Fill=—","Direction=H","UseDPDF=Y")</f>
        <v>-39.229500000000002</v>
      </c>
      <c r="J19" s="18">
        <f>_xll.BDH("KAIR IN Equity","NET_INCOME_TO_COMMON_MARGIN","FY 2010","FY 2010","Currency=INR","Period=FY","BEST_FPERIOD_OVERRIDE=FY","FILING_STATUS=MR","EQY_CONSOLIDATED=N","FA_ADJUSTED=GAAP","Sort=A","Dates=H","DateFormat=P","Fill=—","Direction=H","UseDPDF=Y")</f>
        <v>-32.502899999999997</v>
      </c>
      <c r="K19" s="18">
        <f>_xll.BDH("KAIR IN Equity","NET_INCOME_TO_COMMON_MARGIN","FY 2011","FY 2011","Currency=INR","Period=FY","BEST_FPERIOD_OVERRIDE=FY","FILING_STATUS=MR","EQY_CONSOLIDATED=N","FA_ADJUSTED=GAAP","Sort=A","Dates=H","DateFormat=P","Fill=—","Direction=H","UseDPDF=Y")</f>
        <v>-17.172999999999998</v>
      </c>
      <c r="L19" s="18">
        <f>_xll.BDH("KAIR IN Equity","NET_INCOME_TO_COMMON_MARGIN","FY 2012","FY 2012","Currency=INR","Period=FY","BEST_FPERIOD_OVERRIDE=FY","FILING_STATUS=MR","EQY_CONSOLIDATED=N","FA_ADJUSTED=GAAP","Sort=A","Dates=H","DateFormat=P","Fill=—","Direction=H","UseDPDF=Y")</f>
        <v>-43.314300000000003</v>
      </c>
      <c r="M19" s="18">
        <f>_xll.BDH("KAIR IN Equity","NET_INCOME_TO_COMMON_MARGIN","FY 2013","FY 2013","Currency=INR","Period=FY","BEST_FPERIOD_OVERRIDE=FY","FILING_STATUS=MR","EQY_CONSOLIDATED=N","FA_ADJUSTED=GAAP","Sort=A","Dates=H","DateFormat=P","Fill=—","Direction=H","UseDPDF=Y")</f>
        <v>-868.17650000000003</v>
      </c>
    </row>
    <row r="20" spans="1:13" x14ac:dyDescent="0.25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x14ac:dyDescent="0.25">
      <c r="A21" s="2" t="s">
        <v>54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5">
      <c r="A22" s="3" t="s">
        <v>55</v>
      </c>
      <c r="B22" s="3" t="s">
        <v>56</v>
      </c>
      <c r="C22" s="18">
        <f>_xll.BDH("KAIR IN Equity","EFF_TAX_RATE","FY 2001","FY 2001","Currency=INR","Period=FY","BEST_FPERIOD_OVERRIDE=FY","FILING_STATUS=MR","EQY_CONSOLIDATED=N","FA_ADJUSTED=GAAP","Sort=A","Dates=H","DateFormat=P","Fill=—","Direction=H","UseDPDF=Y")</f>
        <v>14.1739</v>
      </c>
      <c r="D22" s="18" t="str">
        <f>_xll.BDH("KAIR IN Equity","EFF_TAX_RATE","FY 2002","FY 2002","Currency=INR","Period=FY","BEST_FPERIOD_OVERRIDE=FY","FILING_STATUS=MR","EQY_CONSOLIDATED=N","FA_ADJUSTED=GAAP","Sort=A","Dates=H","DateFormat=P","Fill=—","Direction=H","UseDPDF=Y")</f>
        <v>—</v>
      </c>
      <c r="E22" s="18">
        <f>_xll.BDH("KAIR IN Equity","EFF_TAX_RATE","FY 2003","FY 2003","Currency=INR","Period=FY","BEST_FPERIOD_OVERRIDE=FY","FILING_STATUS=MR","EQY_CONSOLIDATED=N","FA_ADJUSTED=GAAP","Sort=A","Dates=H","DateFormat=P","Fill=—","Direction=H","UseDPDF=Y")</f>
        <v>44.5976</v>
      </c>
      <c r="F22" s="18" t="str">
        <f>_xll.BDH("KAIR IN Equity","EFF_TAX_RATE","FY 2004","FY 2004","Currency=INR","Period=FY","BEST_FPERIOD_OVERRIDE=FY","FILING_STATUS=MR","EQY_CONSOLIDATED=N","FA_ADJUSTED=GAAP","Sort=A","Dates=H","DateFormat=P","Fill=—","Direction=H","UseDPDF=Y")</f>
        <v>—</v>
      </c>
      <c r="G22" s="18" t="str">
        <f>_xll.BDH("KAIR IN Equity","EFF_TAX_RATE","FY 2005","FY 2005","Currency=INR","Period=FY","BEST_FPERIOD_OVERRIDE=FY","FILING_STATUS=MR","EQY_CONSOLIDATED=N","FA_ADJUSTED=GAAP","Sort=A","Dates=H","DateFormat=P","Fill=—","Direction=H","UseDPDF=Y")</f>
        <v>—</v>
      </c>
      <c r="H22" s="18" t="str">
        <f>_xll.BDH("KAIR IN Equity","EFF_TAX_RATE","FY 2007","FY 2007","Currency=INR","Period=FY","BEST_FPERIOD_OVERRIDE=FY","FILING_STATUS=MR","EQY_CONSOLIDATED=N","FA_ADJUSTED=GAAP","Sort=A","Dates=H","DateFormat=P","Fill=—","Direction=H","UseDPDF=Y")</f>
        <v>—</v>
      </c>
      <c r="I22" s="18" t="str">
        <f>_xll.BDH("KAIR IN Equity","EFF_TAX_RATE","FY 2009","FY 2009","Currency=INR","Period=FY","BEST_FPERIOD_OVERRIDE=FY","FILING_STATUS=MR","EQY_CONSOLIDATED=N","FA_ADJUSTED=GAAP","Sort=A","Dates=H","DateFormat=P","Fill=—","Direction=H","UseDPDF=Y")</f>
        <v>—</v>
      </c>
      <c r="J22" s="18" t="str">
        <f>_xll.BDH("KAIR IN Equity","EFF_TAX_RATE","FY 2010","FY 2010","Currency=INR","Period=FY","BEST_FPERIOD_OVERRIDE=FY","FILING_STATUS=MR","EQY_CONSOLIDATED=N","FA_ADJUSTED=GAAP","Sort=A","Dates=H","DateFormat=P","Fill=—","Direction=H","UseDPDF=Y")</f>
        <v>—</v>
      </c>
      <c r="K22" s="18" t="str">
        <f>_xll.BDH("KAIR IN Equity","EFF_TAX_RATE","FY 2011","FY 2011","Currency=INR","Period=FY","BEST_FPERIOD_OVERRIDE=FY","FILING_STATUS=MR","EQY_CONSOLIDATED=N","FA_ADJUSTED=GAAP","Sort=A","Dates=H","DateFormat=P","Fill=—","Direction=H","UseDPDF=Y")</f>
        <v>—</v>
      </c>
      <c r="L22" s="18" t="str">
        <f>_xll.BDH("KAIR IN Equity","EFF_TAX_RATE","FY 2012","FY 2012","Currency=INR","Period=FY","BEST_FPERIOD_OVERRIDE=FY","FILING_STATUS=MR","EQY_CONSOLIDATED=N","FA_ADJUSTED=GAAP","Sort=A","Dates=H","DateFormat=P","Fill=—","Direction=H","UseDPDF=Y")</f>
        <v>—</v>
      </c>
      <c r="M22" s="18" t="str">
        <f>_xll.BDH("KAIR IN Equity","EFF_TAX_RATE","FY 2013","FY 2013","Currency=INR","Period=FY","BEST_FPERIOD_OVERRIDE=FY","FILING_STATUS=MR","EQY_CONSOLIDATED=N","FA_ADJUSTED=GAAP","Sort=A","Dates=H","DateFormat=P","Fill=—","Direction=H","UseDPDF=Y")</f>
        <v>—</v>
      </c>
    </row>
    <row r="23" spans="1:13" x14ac:dyDescent="0.25">
      <c r="A23" s="3" t="s">
        <v>57</v>
      </c>
      <c r="B23" s="3" t="s">
        <v>58</v>
      </c>
      <c r="C23" s="18">
        <f>_xll.BDH("KAIR IN Equity","DVD_PAYOUT_RATIO","FY 2001","FY 2001","Currency=INR","Period=FY","BEST_FPERIOD_OVERRIDE=FY","FILING_STATUS=MR","EQY_CONSOLIDATED=N","FA_ADJUSTED=GAAP","Sort=A","Dates=H","DateFormat=P","Fill=—","Direction=H","UseDPDF=Y")</f>
        <v>10.1317</v>
      </c>
      <c r="D23" s="18">
        <f>_xll.BDH("KAIR IN Equity","DVD_PAYOUT_RATIO","FY 2002","FY 2002","Currency=INR","Period=FY","BEST_FPERIOD_OVERRIDE=FY","FILING_STATUS=MR","EQY_CONSOLIDATED=N","FA_ADJUSTED=GAAP","Sort=A","Dates=H","DateFormat=P","Fill=—","Direction=H","UseDPDF=Y")</f>
        <v>6.1805000000000003</v>
      </c>
      <c r="E23" s="18">
        <f>_xll.BDH("KAIR IN Equity","DVD_PAYOUT_RATIO","FY 2003","FY 2003","Currency=INR","Period=FY","BEST_FPERIOD_OVERRIDE=FY","FILING_STATUS=MR","EQY_CONSOLIDATED=N","FA_ADJUSTED=GAAP","Sort=A","Dates=H","DateFormat=P","Fill=—","Direction=H","UseDPDF=Y")</f>
        <v>16.041599999999999</v>
      </c>
      <c r="F23" s="18" t="str">
        <f>_xll.BDH("KAIR IN Equity","DVD_PAYOUT_RATIO","FY 2004","FY 2004","Currency=INR","Period=FY","BEST_FPERIOD_OVERRIDE=FY","FILING_STATUS=MR","EQY_CONSOLIDATED=N","FA_ADJUSTED=GAAP","Sort=A","Dates=H","DateFormat=P","Fill=—","Direction=H","UseDPDF=Y")</f>
        <v>—</v>
      </c>
      <c r="G23" s="18" t="str">
        <f>_xll.BDH("KAIR IN Equity","DVD_PAYOUT_RATIO","FY 2005","FY 2005","Currency=INR","Period=FY","BEST_FPERIOD_OVERRIDE=FY","FILING_STATUS=MR","EQY_CONSOLIDATED=N","FA_ADJUSTED=GAAP","Sort=A","Dates=H","DateFormat=P","Fill=—","Direction=H","UseDPDF=Y")</f>
        <v>—</v>
      </c>
      <c r="H23" s="18" t="str">
        <f>_xll.BDH("KAIR IN Equity","DVD_PAYOUT_RATIO","FY 2007","FY 2007","Currency=INR","Period=FY","BEST_FPERIOD_OVERRIDE=FY","FILING_STATUS=MR","EQY_CONSOLIDATED=N","FA_ADJUSTED=GAAP","Sort=A","Dates=H","DateFormat=P","Fill=—","Direction=H","UseDPDF=Y")</f>
        <v>—</v>
      </c>
      <c r="I23" s="18" t="str">
        <f>_xll.BDH("KAIR IN Equity","DVD_PAYOUT_RATIO","FY 2009","FY 2009","Currency=INR","Period=FY","BEST_FPERIOD_OVERRIDE=FY","FILING_STATUS=MR","EQY_CONSOLIDATED=N","FA_ADJUSTED=GAAP","Sort=A","Dates=H","DateFormat=P","Fill=—","Direction=H","UseDPDF=Y")</f>
        <v>—</v>
      </c>
      <c r="J23" s="18" t="str">
        <f>_xll.BDH("KAIR IN Equity","DVD_PAYOUT_RATIO","FY 2010","FY 2010","Currency=INR","Period=FY","BEST_FPERIOD_OVERRIDE=FY","FILING_STATUS=MR","EQY_CONSOLIDATED=N","FA_ADJUSTED=GAAP","Sort=A","Dates=H","DateFormat=P","Fill=—","Direction=H","UseDPDF=Y")</f>
        <v>—</v>
      </c>
      <c r="K23" s="18" t="str">
        <f>_xll.BDH("KAIR IN Equity","DVD_PAYOUT_RATIO","FY 2011","FY 2011","Currency=INR","Period=FY","BEST_FPERIOD_OVERRIDE=FY","FILING_STATUS=MR","EQY_CONSOLIDATED=N","FA_ADJUSTED=GAAP","Sort=A","Dates=H","DateFormat=P","Fill=—","Direction=H","UseDPDF=Y")</f>
        <v>—</v>
      </c>
      <c r="L23" s="18" t="str">
        <f>_xll.BDH("KAIR IN Equity","DVD_PAYOUT_RATIO","FY 2012","FY 2012","Currency=INR","Period=FY","BEST_FPERIOD_OVERRIDE=FY","FILING_STATUS=MR","EQY_CONSOLIDATED=N","FA_ADJUSTED=GAAP","Sort=A","Dates=H","DateFormat=P","Fill=—","Direction=H","UseDPDF=Y")</f>
        <v>—</v>
      </c>
      <c r="M23" s="18" t="str">
        <f>_xll.BDH("KAIR IN Equity","DVD_PAYOUT_RATIO","FY 2013","FY 2013","Currency=INR","Period=FY","BEST_FPERIOD_OVERRIDE=FY","FILING_STATUS=MR","EQY_CONSOLIDATED=N","FA_ADJUSTED=GAAP","Sort=A","Dates=H","DateFormat=P","Fill=—","Direction=H","UseDPDF=Y")</f>
        <v>—</v>
      </c>
    </row>
    <row r="24" spans="1:13" x14ac:dyDescent="0.25">
      <c r="A24" s="3" t="s">
        <v>59</v>
      </c>
      <c r="B24" s="3" t="s">
        <v>60</v>
      </c>
      <c r="C24" s="18" t="str">
        <f>_xll.BDH("KAIR IN Equity","SUSTAIN_GROWTH_RT","FY 2001","FY 2001","Currency=INR","Period=FY","BEST_FPERIOD_OVERRIDE=FY","FILING_STATUS=MR","EQY_CONSOLIDATED=N","FA_ADJUSTED=GAAP","Sort=A","Dates=H","DateFormat=P","Fill=—","Direction=H","UseDPDF=Y")</f>
        <v>—</v>
      </c>
      <c r="D24" s="18">
        <f>_xll.BDH("KAIR IN Equity","SUSTAIN_GROWTH_RT","FY 2002","FY 2002","Currency=INR","Period=FY","BEST_FPERIOD_OVERRIDE=FY","FILING_STATUS=MR","EQY_CONSOLIDATED=N","FA_ADJUSTED=GAAP","Sort=A","Dates=H","DateFormat=P","Fill=—","Direction=H","UseDPDF=Y")</f>
        <v>33.997799999999998</v>
      </c>
      <c r="E24" s="18">
        <f>_xll.BDH("KAIR IN Equity","SUSTAIN_GROWTH_RT","FY 2003","FY 2003","Currency=INR","Period=FY","BEST_FPERIOD_OVERRIDE=FY","FILING_STATUS=MR","EQY_CONSOLIDATED=N","FA_ADJUSTED=GAAP","Sort=A","Dates=H","DateFormat=P","Fill=—","Direction=H","UseDPDF=Y")</f>
        <v>12.257999999999999</v>
      </c>
      <c r="F24" s="18" t="str">
        <f>_xll.BDH("KAIR IN Equity","SUSTAIN_GROWTH_RT","FY 2004","FY 2004","Currency=INR","Period=FY","BEST_FPERIOD_OVERRIDE=FY","FILING_STATUS=MR","EQY_CONSOLIDATED=N","FA_ADJUSTED=GAAP","Sort=A","Dates=H","DateFormat=P","Fill=—","Direction=H","UseDPDF=Y")</f>
        <v>—</v>
      </c>
      <c r="G24" s="18" t="str">
        <f>_xll.BDH("KAIR IN Equity","SUSTAIN_GROWTH_RT","FY 2005","FY 2005","Currency=INR","Period=FY","BEST_FPERIOD_OVERRIDE=FY","FILING_STATUS=MR","EQY_CONSOLIDATED=N","FA_ADJUSTED=GAAP","Sort=A","Dates=H","DateFormat=P","Fill=—","Direction=H","UseDPDF=Y")</f>
        <v>—</v>
      </c>
      <c r="H24" s="18" t="str">
        <f>_xll.BDH("KAIR IN Equity","SUSTAIN_GROWTH_RT","FY 2007","FY 2007","Currency=INR","Period=FY","BEST_FPERIOD_OVERRIDE=FY","FILING_STATUS=MR","EQY_CONSOLIDATED=N","FA_ADJUSTED=GAAP","Sort=A","Dates=H","DateFormat=P","Fill=—","Direction=H","UseDPDF=Y")</f>
        <v>—</v>
      </c>
      <c r="I24" s="18" t="str">
        <f>_xll.BDH("KAIR IN Equity","SUSTAIN_GROWTH_RT","FY 2009","FY 2009","Currency=INR","Period=FY","BEST_FPERIOD_OVERRIDE=FY","FILING_STATUS=MR","EQY_CONSOLIDATED=N","FA_ADJUSTED=GAAP","Sort=A","Dates=H","DateFormat=P","Fill=—","Direction=H","UseDPDF=Y")</f>
        <v>—</v>
      </c>
      <c r="J24" s="18" t="str">
        <f>_xll.BDH("KAIR IN Equity","SUSTAIN_GROWTH_RT","FY 2010","FY 2010","Currency=INR","Period=FY","BEST_FPERIOD_OVERRIDE=FY","FILING_STATUS=MR","EQY_CONSOLIDATED=N","FA_ADJUSTED=GAAP","Sort=A","Dates=H","DateFormat=P","Fill=—","Direction=H","UseDPDF=Y")</f>
        <v>—</v>
      </c>
      <c r="K24" s="18" t="str">
        <f>_xll.BDH("KAIR IN Equity","SUSTAIN_GROWTH_RT","FY 2011","FY 2011","Currency=INR","Period=FY","BEST_FPERIOD_OVERRIDE=FY","FILING_STATUS=MR","EQY_CONSOLIDATED=N","FA_ADJUSTED=GAAP","Sort=A","Dates=H","DateFormat=P","Fill=—","Direction=H","UseDPDF=Y")</f>
        <v>—</v>
      </c>
      <c r="L24" s="18" t="str">
        <f>_xll.BDH("KAIR IN Equity","SUSTAIN_GROWTH_RT","FY 2012","FY 2012","Currency=INR","Period=FY","BEST_FPERIOD_OVERRIDE=FY","FILING_STATUS=MR","EQY_CONSOLIDATED=N","FA_ADJUSTED=GAAP","Sort=A","Dates=H","DateFormat=P","Fill=—","Direction=H","UseDPDF=Y")</f>
        <v>—</v>
      </c>
      <c r="M24" s="18" t="str">
        <f>_xll.BDH("KAIR IN Equity","SUSTAIN_GROWTH_RT","FY 2013","FY 2013","Currency=INR","Period=FY","BEST_FPERIOD_OVERRIDE=FY","FILING_STATUS=MR","EQY_CONSOLIDATED=N","FA_ADJUSTED=GAAP","Sort=A","Dates=H","DateFormat=P","Fill=—","Direction=H","UseDPDF=Y")</f>
        <v>—</v>
      </c>
    </row>
    <row r="25" spans="1:13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E538-2DE1-4E86-93C8-0E080353CCF9}">
  <dimension ref="A1:R25"/>
  <sheetViews>
    <sheetView workbookViewId="0">
      <selection sqref="A1:XFD1048576"/>
    </sheetView>
  </sheetViews>
  <sheetFormatPr defaultRowHeight="15" x14ac:dyDescent="0.25"/>
  <cols>
    <col min="1" max="1" width="35.140625" customWidth="1"/>
    <col min="2" max="2" width="0" hidden="1" customWidth="1"/>
    <col min="3" max="18" width="11.85546875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0.25" x14ac:dyDescent="0.25">
      <c r="A2" s="14" t="s">
        <v>125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6" t="s">
        <v>3</v>
      </c>
      <c r="B4" s="6"/>
      <c r="C4" s="5" t="s">
        <v>1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92</v>
      </c>
      <c r="M4" s="5" t="s">
        <v>93</v>
      </c>
      <c r="N4" s="5" t="s">
        <v>94</v>
      </c>
      <c r="O4" s="5" t="s">
        <v>95</v>
      </c>
      <c r="P4" s="5" t="s">
        <v>96</v>
      </c>
      <c r="Q4" s="5" t="s">
        <v>97</v>
      </c>
      <c r="R4" s="5" t="s">
        <v>98</v>
      </c>
    </row>
    <row r="5" spans="1:18" x14ac:dyDescent="0.25">
      <c r="A5" s="15" t="s">
        <v>15</v>
      </c>
      <c r="B5" s="15"/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4" t="s">
        <v>100</v>
      </c>
      <c r="M5" s="4" t="s">
        <v>101</v>
      </c>
      <c r="N5" s="4" t="s">
        <v>102</v>
      </c>
      <c r="O5" s="4" t="s">
        <v>103</v>
      </c>
      <c r="P5" s="4" t="s">
        <v>104</v>
      </c>
      <c r="Q5" s="4" t="s">
        <v>105</v>
      </c>
      <c r="R5" s="4" t="s">
        <v>106</v>
      </c>
    </row>
    <row r="6" spans="1:18" x14ac:dyDescent="0.25">
      <c r="A6" s="2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3" t="s">
        <v>29</v>
      </c>
      <c r="B7" s="3" t="s">
        <v>30</v>
      </c>
      <c r="C7" s="18" t="str">
        <f>_xll.BDH("COXK IN Equity","RETURN_COM_EQY","FY 2005","FY 2005","Currency=INR","Period=FY","BEST_FPERIOD_OVERRIDE=FY","FILING_STATUS=MR","EQY_CONSOLIDATED=Y","FA_ADJUSTED=GAAP","Sort=A","Dates=H","DateFormat=P","Fill=—","Direction=H","UseDPDF=Y")</f>
        <v>—</v>
      </c>
      <c r="D7" s="18">
        <f>_xll.BDH("COXK IN Equity","RETURN_COM_EQY","FY 2006","FY 2006","Currency=INR","Period=FY","BEST_FPERIOD_OVERRIDE=FY","FILING_STATUS=MR","EQY_CONSOLIDATED=Y","FA_ADJUSTED=GAAP","Sort=A","Dates=H","DateFormat=P","Fill=—","Direction=H","UseDPDF=Y")</f>
        <v>51.4876</v>
      </c>
      <c r="E7" s="18">
        <f>_xll.BDH("COXK IN Equity","RETURN_COM_EQY","FY 2007","FY 2007","Currency=INR","Period=FY","BEST_FPERIOD_OVERRIDE=FY","FILING_STATUS=MR","EQY_CONSOLIDATED=Y","FA_ADJUSTED=GAAP","Sort=A","Dates=H","DateFormat=P","Fill=—","Direction=H","UseDPDF=Y")</f>
        <v>43.590699999999998</v>
      </c>
      <c r="F7" s="18">
        <f>_xll.BDH("COXK IN Equity","RETURN_COM_EQY","FY 2008","FY 2008","Currency=INR","Period=FY","BEST_FPERIOD_OVERRIDE=FY","FILING_STATUS=MR","EQY_CONSOLIDATED=Y","FA_ADJUSTED=GAAP","Sort=A","Dates=H","DateFormat=P","Fill=—","Direction=H","UseDPDF=Y")</f>
        <v>34.253300000000003</v>
      </c>
      <c r="G7" s="18">
        <f>_xll.BDH("COXK IN Equity","RETURN_COM_EQY","FY 2009","FY 2009","Currency=INR","Period=FY","BEST_FPERIOD_OVERRIDE=FY","FILING_STATUS=MR","EQY_CONSOLIDATED=Y","FA_ADJUSTED=GAAP","Sort=A","Dates=H","DateFormat=P","Fill=—","Direction=H","UseDPDF=Y")</f>
        <v>31.939599999999999</v>
      </c>
      <c r="H7" s="18">
        <f>_xll.BDH("COXK IN Equity","RETURN_COM_EQY","FY 2010","FY 2010","Currency=INR","Period=FY","BEST_FPERIOD_OVERRIDE=FY","FILING_STATUS=MR","EQY_CONSOLIDATED=Y","FA_ADJUSTED=GAAP","Sort=A","Dates=H","DateFormat=P","Fill=—","Direction=H","UseDPDF=Y")</f>
        <v>25.803000000000001</v>
      </c>
      <c r="I7" s="18">
        <f>_xll.BDH("COXK IN Equity","RETURN_COM_EQY","FY 2011","FY 2011","Currency=INR","Period=FY","BEST_FPERIOD_OVERRIDE=FY","FILING_STATUS=MR","EQY_CONSOLIDATED=Y","FA_ADJUSTED=GAAP","Sort=A","Dates=H","DateFormat=P","Fill=—","Direction=H","UseDPDF=Y")</f>
        <v>12.793100000000001</v>
      </c>
      <c r="J7" s="18">
        <f>_xll.BDH("COXK IN Equity","RETURN_COM_EQY","FY 2012","FY 2012","Currency=INR","Period=FY","BEST_FPERIOD_OVERRIDE=FY","FILING_STATUS=MR","EQY_CONSOLIDATED=Y","FA_ADJUSTED=GAAP","Sort=A","Dates=H","DateFormat=P","Fill=—","Direction=H","UseDPDF=Y")</f>
        <v>3.4672000000000001</v>
      </c>
      <c r="K7" s="18">
        <f>_xll.BDH("COXK IN Equity","RETURN_COM_EQY","FY 2013","FY 2013","Currency=INR","Period=FY","BEST_FPERIOD_OVERRIDE=FY","FILING_STATUS=MR","EQY_CONSOLIDATED=Y","FA_ADJUSTED=GAAP","Sort=A","Dates=H","DateFormat=P","Fill=—","Direction=H","UseDPDF=Y")</f>
        <v>19.728899999999999</v>
      </c>
      <c r="L7" s="18">
        <f>_xll.BDH("COXK IN Equity","RETURN_COM_EQY","FY 2014","FY 2014","Currency=INR","Period=FY","BEST_FPERIOD_OVERRIDE=FY","FILING_STATUS=MR","EQY_CONSOLIDATED=Y","FA_ADJUSTED=GAAP","Sort=A","Dates=H","DateFormat=P","Fill=—","Direction=H","UseDPDF=Y")</f>
        <v>24.874199999999998</v>
      </c>
      <c r="M7" s="18">
        <f>_xll.BDH("COXK IN Equity","RETURN_COM_EQY","FY 2015","FY 2015","Currency=INR","Period=FY","BEST_FPERIOD_OVERRIDE=FY","FILING_STATUS=MR","EQY_CONSOLIDATED=Y","FA_ADJUSTED=GAAP","Sort=A","Dates=H","DateFormat=P","Fill=—","Direction=H","UseDPDF=Y")</f>
        <v>4.2121000000000004</v>
      </c>
      <c r="N7" s="18">
        <f>_xll.BDH("COXK IN Equity","RETURN_COM_EQY","FY 2016","FY 2016","Currency=INR","Period=FY","BEST_FPERIOD_OVERRIDE=FY","FILING_STATUS=MR","EQY_CONSOLIDATED=Y","FA_ADJUSTED=GAAP","Sort=A","Dates=H","DateFormat=P","Fill=—","Direction=H","UseDPDF=Y")</f>
        <v>2.0019</v>
      </c>
      <c r="O7" s="18">
        <f>_xll.BDH("COXK IN Equity","RETURN_COM_EQY","FY 2017","FY 2017","Currency=INR","Period=FY","BEST_FPERIOD_OVERRIDE=FY","FILING_STATUS=MR","EQY_CONSOLIDATED=Y","FA_ADJUSTED=GAAP","Sort=A","Dates=H","DateFormat=P","Fill=—","Direction=H","UseDPDF=Y")</f>
        <v>5.8090999999999999</v>
      </c>
      <c r="P7" s="18">
        <f>_xll.BDH("COXK IN Equity","RETURN_COM_EQY","FY 2018","FY 2018","Currency=INR","Period=FY","BEST_FPERIOD_OVERRIDE=FY","FILING_STATUS=MR","EQY_CONSOLIDATED=Y","FA_ADJUSTED=GAAP","Sort=A","Dates=H","DateFormat=P","Fill=—","Direction=H","UseDPDF=Y")</f>
        <v>12.8047</v>
      </c>
      <c r="Q7" s="18">
        <f>_xll.BDH("COXK IN Equity","RETURN_COM_EQY","FY 2019","FY 2019","Currency=INR","Period=FY","BEST_FPERIOD_OVERRIDE=FY","FILING_STATUS=MR","EQY_CONSOLIDATED=Y","FA_ADJUSTED=GAAP","Sort=A","Dates=H","DateFormat=P","Fill=—","Direction=H","UseDPDF=Y")</f>
        <v>47.303199999999997</v>
      </c>
      <c r="R7" s="18" t="str">
        <f>_xll.BDH("COXK IN Equity","RETURN_COM_EQY","FY 2020","FY 2020","Currency=INR","Period=FY","BEST_FPERIOD_OVERRIDE=FY","FILING_STATUS=MR","EQY_CONSOLIDATED=Y","FA_ADJUSTED=GAAP","Sort=A","Dates=H","DateFormat=P","Fill=—","Direction=H","UseDPDF=Y")</f>
        <v>—</v>
      </c>
    </row>
    <row r="8" spans="1:18" x14ac:dyDescent="0.25">
      <c r="A8" s="3" t="s">
        <v>31</v>
      </c>
      <c r="B8" s="3" t="s">
        <v>32</v>
      </c>
      <c r="C8" s="18" t="str">
        <f>_xll.BDH("COXK IN Equity","RETURN_ON_ASSET","FY 2005","FY 2005","Currency=INR","Period=FY","BEST_FPERIOD_OVERRIDE=FY","FILING_STATUS=MR","EQY_CONSOLIDATED=Y","FA_ADJUSTED=GAAP","Sort=A","Dates=H","DateFormat=P","Fill=—","Direction=H","UseDPDF=Y")</f>
        <v>—</v>
      </c>
      <c r="D8" s="18">
        <f>_xll.BDH("COXK IN Equity","RETURN_ON_ASSET","FY 2006","FY 2006","Currency=INR","Period=FY","BEST_FPERIOD_OVERRIDE=FY","FILING_STATUS=MR","EQY_CONSOLIDATED=Y","FA_ADJUSTED=GAAP","Sort=A","Dates=H","DateFormat=P","Fill=—","Direction=H","UseDPDF=Y")</f>
        <v>9.1639999999999997</v>
      </c>
      <c r="E8" s="18">
        <f>_xll.BDH("COXK IN Equity","RETURN_ON_ASSET","FY 2007","FY 2007","Currency=INR","Period=FY","BEST_FPERIOD_OVERRIDE=FY","FILING_STATUS=MR","EQY_CONSOLIDATED=Y","FA_ADJUSTED=GAAP","Sort=A","Dates=H","DateFormat=P","Fill=—","Direction=H","UseDPDF=Y")</f>
        <v>12.128299999999999</v>
      </c>
      <c r="F8" s="18">
        <f>_xll.BDH("COXK IN Equity","RETURN_ON_ASSET","FY 2008","FY 2008","Currency=INR","Period=FY","BEST_FPERIOD_OVERRIDE=FY","FILING_STATUS=MR","EQY_CONSOLIDATED=Y","FA_ADJUSTED=GAAP","Sort=A","Dates=H","DateFormat=P","Fill=—","Direction=H","UseDPDF=Y")</f>
        <v>10.620900000000001</v>
      </c>
      <c r="G8" s="18">
        <f>_xll.BDH("COXK IN Equity","RETURN_ON_ASSET","FY 2009","FY 2009","Currency=INR","Period=FY","BEST_FPERIOD_OVERRIDE=FY","FILING_STATUS=MR","EQY_CONSOLIDATED=Y","FA_ADJUSTED=GAAP","Sort=A","Dates=H","DateFormat=P","Fill=—","Direction=H","UseDPDF=Y")</f>
        <v>9.4419000000000004</v>
      </c>
      <c r="H8" s="18">
        <f>_xll.BDH("COXK IN Equity","RETURN_ON_ASSET","FY 2010","FY 2010","Currency=INR","Period=FY","BEST_FPERIOD_OVERRIDE=FY","FILING_STATUS=MR","EQY_CONSOLIDATED=Y","FA_ADJUSTED=GAAP","Sort=A","Dates=H","DateFormat=P","Fill=—","Direction=H","UseDPDF=Y")</f>
        <v>11.468999999999999</v>
      </c>
      <c r="I8" s="18">
        <f>_xll.BDH("COXK IN Equity","RETURN_ON_ASSET","FY 2011","FY 2011","Currency=INR","Period=FY","BEST_FPERIOD_OVERRIDE=FY","FILING_STATUS=MR","EQY_CONSOLIDATED=Y","FA_ADJUSTED=GAAP","Sort=A","Dates=H","DateFormat=P","Fill=—","Direction=H","UseDPDF=Y")</f>
        <v>6.6280999999999999</v>
      </c>
      <c r="J8" s="18">
        <f>_xll.BDH("COXK IN Equity","RETURN_ON_ASSET","FY 2012","FY 2012","Currency=INR","Period=FY","BEST_FPERIOD_OVERRIDE=FY","FILING_STATUS=MR","EQY_CONSOLIDATED=Y","FA_ADJUSTED=GAAP","Sort=A","Dates=H","DateFormat=P","Fill=—","Direction=H","UseDPDF=Y")</f>
        <v>0.83099999999999996</v>
      </c>
      <c r="K8" s="18">
        <f>_xll.BDH("COXK IN Equity","RETURN_ON_ASSET","FY 2013","FY 2013","Currency=INR","Period=FY","BEST_FPERIOD_OVERRIDE=FY","FILING_STATUS=MR","EQY_CONSOLIDATED=Y","FA_ADJUSTED=GAAP","Sort=A","Dates=H","DateFormat=P","Fill=—","Direction=H","UseDPDF=Y")</f>
        <v>3.1049000000000002</v>
      </c>
      <c r="L8" s="18">
        <f>_xll.BDH("COXK IN Equity","RETURN_ON_ASSET","FY 2014","FY 2014","Currency=INR","Period=FY","BEST_FPERIOD_OVERRIDE=FY","FILING_STATUS=MR","EQY_CONSOLIDATED=Y","FA_ADJUSTED=GAAP","Sort=A","Dates=H","DateFormat=P","Fill=—","Direction=H","UseDPDF=Y")</f>
        <v>4.0692000000000004</v>
      </c>
      <c r="M8" s="18">
        <f>_xll.BDH("COXK IN Equity","RETURN_ON_ASSET","FY 2015","FY 2015","Currency=INR","Period=FY","BEST_FPERIOD_OVERRIDE=FY","FILING_STATUS=MR","EQY_CONSOLIDATED=Y","FA_ADJUSTED=GAAP","Sort=A","Dates=H","DateFormat=P","Fill=—","Direction=H","UseDPDF=Y")</f>
        <v>0.94259999999999999</v>
      </c>
      <c r="N8" s="18">
        <f>_xll.BDH("COXK IN Equity","RETURN_ON_ASSET","FY 2016","FY 2016","Currency=INR","Period=FY","BEST_FPERIOD_OVERRIDE=FY","FILING_STATUS=MR","EQY_CONSOLIDATED=Y","FA_ADJUSTED=GAAP","Sort=A","Dates=H","DateFormat=P","Fill=—","Direction=H","UseDPDF=Y")</f>
        <v>0.55259999999999998</v>
      </c>
      <c r="O8" s="18">
        <f>_xll.BDH("COXK IN Equity","RETURN_ON_ASSET","FY 2017","FY 2017","Currency=INR","Period=FY","BEST_FPERIOD_OVERRIDE=FY","FILING_STATUS=MR","EQY_CONSOLIDATED=Y","FA_ADJUSTED=GAAP","Sort=A","Dates=H","DateFormat=P","Fill=—","Direction=H","UseDPDF=Y")</f>
        <v>1.6020000000000001</v>
      </c>
      <c r="P8" s="18">
        <f>_xll.BDH("COXK IN Equity","RETURN_ON_ASSET","FY 2018","FY 2018","Currency=INR","Period=FY","BEST_FPERIOD_OVERRIDE=FY","FILING_STATUS=MR","EQY_CONSOLIDATED=Y","FA_ADJUSTED=GAAP","Sort=A","Dates=H","DateFormat=P","Fill=—","Direction=H","UseDPDF=Y")</f>
        <v>3.8104</v>
      </c>
      <c r="Q8" s="18">
        <f>_xll.BDH("COXK IN Equity","RETURN_ON_ASSET","FY 2019","FY 2019","Currency=INR","Period=FY","BEST_FPERIOD_OVERRIDE=FY","FILING_STATUS=MR","EQY_CONSOLIDATED=Y","FA_ADJUSTED=GAAP","Sort=A","Dates=H","DateFormat=P","Fill=—","Direction=H","UseDPDF=Y")</f>
        <v>16.86</v>
      </c>
      <c r="R8" s="18">
        <f>_xll.BDH("COXK IN Equity","RETURN_ON_ASSET","FY 2020","FY 2020","Currency=INR","Period=FY","BEST_FPERIOD_OVERRIDE=FY","FILING_STATUS=MR","EQY_CONSOLIDATED=Y","FA_ADJUSTED=GAAP","Sort=A","Dates=H","DateFormat=P","Fill=—","Direction=H","UseDPDF=Y")</f>
        <v>-215.35</v>
      </c>
    </row>
    <row r="9" spans="1:18" x14ac:dyDescent="0.25">
      <c r="A9" s="3" t="s">
        <v>33</v>
      </c>
      <c r="B9" s="3" t="s">
        <v>34</v>
      </c>
      <c r="C9" s="18" t="str">
        <f>_xll.BDH("COXK IN Equity","RETURN_ON_CAP","FY 2005","FY 2005","Currency=INR","Period=FY","BEST_FPERIOD_OVERRIDE=FY","FILING_STATUS=MR","EQY_CONSOLIDATED=Y","FA_ADJUSTED=GAAP","Sort=A","Dates=H","DateFormat=P","Fill=—","Direction=H","UseDPDF=Y")</f>
        <v>—</v>
      </c>
      <c r="D9" s="18">
        <f>_xll.BDH("COXK IN Equity","RETURN_ON_CAP","FY 2006","FY 2006","Currency=INR","Period=FY","BEST_FPERIOD_OVERRIDE=FY","FILING_STATUS=MR","EQY_CONSOLIDATED=Y","FA_ADJUSTED=GAAP","Sort=A","Dates=H","DateFormat=P","Fill=—","Direction=H","UseDPDF=Y")</f>
        <v>19.9283</v>
      </c>
      <c r="E9" s="18">
        <f>_xll.BDH("COXK IN Equity","RETURN_ON_CAP","FY 2007","FY 2007","Currency=INR","Period=FY","BEST_FPERIOD_OVERRIDE=FY","FILING_STATUS=MR","EQY_CONSOLIDATED=Y","FA_ADJUSTED=GAAP","Sort=A","Dates=H","DateFormat=P","Fill=—","Direction=H","UseDPDF=Y")</f>
        <v>25.836099999999998</v>
      </c>
      <c r="F9" s="18">
        <f>_xll.BDH("COXK IN Equity","RETURN_ON_CAP","FY 2008","FY 2008","Currency=INR","Period=FY","BEST_FPERIOD_OVERRIDE=FY","FILING_STATUS=MR","EQY_CONSOLIDATED=Y","FA_ADJUSTED=GAAP","Sort=A","Dates=H","DateFormat=P","Fill=—","Direction=H","UseDPDF=Y")</f>
        <v>21.358699999999999</v>
      </c>
      <c r="G9" s="18">
        <f>_xll.BDH("COXK IN Equity","RETURN_ON_CAP","FY 2009","FY 2009","Currency=INR","Period=FY","BEST_FPERIOD_OVERRIDE=FY","FILING_STATUS=MR","EQY_CONSOLIDATED=Y","FA_ADJUSTED=GAAP","Sort=A","Dates=H","DateFormat=P","Fill=—","Direction=H","UseDPDF=Y")</f>
        <v>17.285599999999999</v>
      </c>
      <c r="H9" s="18">
        <f>_xll.BDH("COXK IN Equity","RETURN_ON_CAP","FY 2010","FY 2010","Currency=INR","Period=FY","BEST_FPERIOD_OVERRIDE=FY","FILING_STATUS=MR","EQY_CONSOLIDATED=Y","FA_ADJUSTED=GAAP","Sort=A","Dates=H","DateFormat=P","Fill=—","Direction=H","UseDPDF=Y")</f>
        <v>16.176300000000001</v>
      </c>
      <c r="I9" s="18">
        <f>_xll.BDH("COXK IN Equity","RETURN_ON_CAP","FY 2011","FY 2011","Currency=INR","Period=FY","BEST_FPERIOD_OVERRIDE=FY","FILING_STATUS=MR","EQY_CONSOLIDATED=Y","FA_ADJUSTED=GAAP","Sort=A","Dates=H","DateFormat=P","Fill=—","Direction=H","UseDPDF=Y")</f>
        <v>9.7420000000000009</v>
      </c>
      <c r="J9" s="18">
        <f>_xll.BDH("COXK IN Equity","RETURN_ON_CAP","FY 2012","FY 2012","Currency=INR","Period=FY","BEST_FPERIOD_OVERRIDE=FY","FILING_STATUS=MR","EQY_CONSOLIDATED=Y","FA_ADJUSTED=GAAP","Sort=A","Dates=H","DateFormat=P","Fill=—","Direction=H","UseDPDF=Y")</f>
        <v>2.7774000000000001</v>
      </c>
      <c r="K9" s="18">
        <f>_xll.BDH("COXK IN Equity","RETURN_ON_CAP","FY 2013","FY 2013","Currency=INR","Period=FY","BEST_FPERIOD_OVERRIDE=FY","FILING_STATUS=MR","EQY_CONSOLIDATED=Y","FA_ADJUSTED=GAAP","Sort=A","Dates=H","DateFormat=P","Fill=—","Direction=H","UseDPDF=Y")</f>
        <v>6.9960000000000004</v>
      </c>
      <c r="L9" s="18">
        <f>_xll.BDH("COXK IN Equity","RETURN_ON_CAP","FY 2014","FY 2014","Currency=INR","Period=FY","BEST_FPERIOD_OVERRIDE=FY","FILING_STATUS=MR","EQY_CONSOLIDATED=Y","FA_ADJUSTED=GAAP","Sort=A","Dates=H","DateFormat=P","Fill=—","Direction=H","UseDPDF=Y")</f>
        <v>8.8523999999999994</v>
      </c>
      <c r="M9" s="18">
        <f>_xll.BDH("COXK IN Equity","RETURN_ON_CAP","FY 2015","FY 2015","Currency=INR","Period=FY","BEST_FPERIOD_OVERRIDE=FY","FILING_STATUS=MR","EQY_CONSOLIDATED=Y","FA_ADJUSTED=GAAP","Sort=A","Dates=H","DateFormat=P","Fill=—","Direction=H","UseDPDF=Y")</f>
        <v>2.6476000000000002</v>
      </c>
      <c r="N9" s="18">
        <f>_xll.BDH("COXK IN Equity","RETURN_ON_CAP","FY 2016","FY 2016","Currency=INR","Period=FY","BEST_FPERIOD_OVERRIDE=FY","FILING_STATUS=MR","EQY_CONSOLIDATED=Y","FA_ADJUSTED=GAAP","Sort=A","Dates=H","DateFormat=P","Fill=—","Direction=H","UseDPDF=Y")</f>
        <v>-0.32190000000000002</v>
      </c>
      <c r="O9" s="18">
        <f>_xll.BDH("COXK IN Equity","RETURN_ON_CAP","FY 2017","FY 2017","Currency=INR","Period=FY","BEST_FPERIOD_OVERRIDE=FY","FILING_STATUS=MR","EQY_CONSOLIDATED=Y","FA_ADJUSTED=GAAP","Sort=A","Dates=H","DateFormat=P","Fill=—","Direction=H","UseDPDF=Y")</f>
        <v>4.7431999999999999</v>
      </c>
      <c r="P9" s="18">
        <f>_xll.BDH("COXK IN Equity","RETURN_ON_CAP","FY 2018","FY 2018","Currency=INR","Period=FY","BEST_FPERIOD_OVERRIDE=FY","FILING_STATUS=MR","EQY_CONSOLIDATED=Y","FA_ADJUSTED=GAAP","Sort=A","Dates=H","DateFormat=P","Fill=—","Direction=H","UseDPDF=Y")</f>
        <v>7.6466000000000003</v>
      </c>
      <c r="Q9" s="18">
        <f>_xll.BDH("COXK IN Equity","RETURN_ON_CAP","FY 2019","FY 2019","Currency=INR","Period=FY","BEST_FPERIOD_OVERRIDE=FY","FILING_STATUS=MR","EQY_CONSOLIDATED=Y","FA_ADJUSTED=GAAP","Sort=A","Dates=H","DateFormat=P","Fill=—","Direction=H","UseDPDF=Y")</f>
        <v>24.0015</v>
      </c>
      <c r="R9" s="18">
        <f>_xll.BDH("COXK IN Equity","RETURN_ON_CAP","FY 2020","FY 2020","Currency=INR","Period=FY","BEST_FPERIOD_OVERRIDE=FY","FILING_STATUS=MR","EQY_CONSOLIDATED=Y","FA_ADJUSTED=GAAP","Sort=A","Dates=H","DateFormat=P","Fill=—","Direction=H","UseDPDF=Y")</f>
        <v>-333.14429999999999</v>
      </c>
    </row>
    <row r="10" spans="1:18" x14ac:dyDescent="0.25">
      <c r="A10" s="3" t="s">
        <v>35</v>
      </c>
      <c r="B10" s="3" t="s">
        <v>36</v>
      </c>
      <c r="C10" s="18" t="str">
        <f>_xll.BDH("COXK IN Equity","RETURN_ON_INV_CAPITAL","FY 2005","FY 2005","Currency=INR","Period=FY","BEST_FPERIOD_OVERRIDE=FY","FILING_STATUS=MR","EQY_CONSOLIDATED=Y","FA_ADJUSTED=GAAP","Sort=A","Dates=H","DateFormat=P","Fill=—","Direction=H","UseDPDF=Y")</f>
        <v>—</v>
      </c>
      <c r="D10" s="18">
        <f>_xll.BDH("COXK IN Equity","RETURN_ON_INV_CAPITAL","FY 2006","FY 2006","Currency=INR","Period=FY","BEST_FPERIOD_OVERRIDE=FY","FILING_STATUS=MR","EQY_CONSOLIDATED=Y","FA_ADJUSTED=GAAP","Sort=A","Dates=H","DateFormat=P","Fill=—","Direction=H","UseDPDF=Y")</f>
        <v>13.1966</v>
      </c>
      <c r="E10" s="18">
        <f>_xll.BDH("COXK IN Equity","RETURN_ON_INV_CAPITAL","FY 2007","FY 2007","Currency=INR","Period=FY","BEST_FPERIOD_OVERRIDE=FY","FILING_STATUS=MR","EQY_CONSOLIDATED=Y","FA_ADJUSTED=GAAP","Sort=A","Dates=H","DateFormat=P","Fill=—","Direction=H","UseDPDF=Y")</f>
        <v>21.325500000000002</v>
      </c>
      <c r="F10" s="18">
        <f>_xll.BDH("COXK IN Equity","RETURN_ON_INV_CAPITAL","FY 2008","FY 2008","Currency=INR","Period=FY","BEST_FPERIOD_OVERRIDE=FY","FILING_STATUS=MR","EQY_CONSOLIDATED=Y","FA_ADJUSTED=GAAP","Sort=A","Dates=H","DateFormat=P","Fill=—","Direction=H","UseDPDF=Y")</f>
        <v>22.109300000000001</v>
      </c>
      <c r="G10" s="18">
        <f>_xll.BDH("COXK IN Equity","RETURN_ON_INV_CAPITAL","FY 2009","FY 2009","Currency=INR","Period=FY","BEST_FPERIOD_OVERRIDE=FY","FILING_STATUS=MR","EQY_CONSOLIDATED=Y","FA_ADJUSTED=GAAP","Sort=A","Dates=H","DateFormat=P","Fill=—","Direction=H","UseDPDF=Y")</f>
        <v>14.735200000000001</v>
      </c>
      <c r="H10" s="18">
        <f>_xll.BDH("COXK IN Equity","RETURN_ON_INV_CAPITAL","FY 2010","FY 2010","Currency=INR","Period=FY","BEST_FPERIOD_OVERRIDE=FY","FILING_STATUS=MR","EQY_CONSOLIDATED=Y","FA_ADJUSTED=GAAP","Sort=A","Dates=H","DateFormat=P","Fill=—","Direction=H","UseDPDF=Y")</f>
        <v>11.936199999999999</v>
      </c>
      <c r="I10" s="18">
        <f>_xll.BDH("COXK IN Equity","RETURN_ON_INV_CAPITAL","FY 2011","FY 2011","Currency=INR","Period=FY","BEST_FPERIOD_OVERRIDE=FY","FILING_STATUS=MR","EQY_CONSOLIDATED=Y","FA_ADJUSTED=GAAP","Sort=A","Dates=H","DateFormat=P","Fill=—","Direction=H","UseDPDF=Y")</f>
        <v>7.8647</v>
      </c>
      <c r="J10" s="18">
        <f>_xll.BDH("COXK IN Equity","RETURN_ON_INV_CAPITAL","FY 2012","FY 2012","Currency=INR","Period=FY","BEST_FPERIOD_OVERRIDE=FY","FILING_STATUS=MR","EQY_CONSOLIDATED=Y","FA_ADJUSTED=GAAP","Sort=A","Dates=H","DateFormat=P","Fill=—","Direction=H","UseDPDF=Y")</f>
        <v>1.3854</v>
      </c>
      <c r="K10" s="18">
        <f>_xll.BDH("COXK IN Equity","RETURN_ON_INV_CAPITAL","FY 2013","FY 2013","Currency=INR","Period=FY","BEST_FPERIOD_OVERRIDE=FY","FILING_STATUS=MR","EQY_CONSOLIDATED=Y","FA_ADJUSTED=GAAP","Sort=A","Dates=H","DateFormat=P","Fill=—","Direction=H","UseDPDF=Y")</f>
        <v>7.1639999999999997</v>
      </c>
      <c r="L10" s="18">
        <f>_xll.BDH("COXK IN Equity","RETURN_ON_INV_CAPITAL","FY 2014","FY 2014","Currency=INR","Period=FY","BEST_FPERIOD_OVERRIDE=FY","FILING_STATUS=MR","EQY_CONSOLIDATED=Y","FA_ADJUSTED=GAAP","Sort=A","Dates=H","DateFormat=P","Fill=—","Direction=H","UseDPDF=Y")</f>
        <v>6.7371999999999996</v>
      </c>
      <c r="M10" s="18">
        <f>_xll.BDH("COXK IN Equity","RETURN_ON_INV_CAPITAL","FY 2015","FY 2015","Currency=INR","Period=FY","BEST_FPERIOD_OVERRIDE=FY","FILING_STATUS=MR","EQY_CONSOLIDATED=Y","FA_ADJUSTED=GAAP","Sort=A","Dates=H","DateFormat=P","Fill=—","Direction=H","UseDPDF=Y")</f>
        <v>3.8144</v>
      </c>
      <c r="N10" s="18">
        <f>_xll.BDH("COXK IN Equity","RETURN_ON_INV_CAPITAL","FY 2016","FY 2016","Currency=INR","Period=FY","BEST_FPERIOD_OVERRIDE=FY","FILING_STATUS=MR","EQY_CONSOLIDATED=Y","FA_ADJUSTED=GAAP","Sort=A","Dates=H","DateFormat=P","Fill=—","Direction=H","UseDPDF=Y")</f>
        <v>-0.54149999999999998</v>
      </c>
      <c r="O10" s="18">
        <f>_xll.BDH("COXK IN Equity","RETURN_ON_INV_CAPITAL","FY 2017","FY 2017","Currency=INR","Period=FY","BEST_FPERIOD_OVERRIDE=FY","FILING_STATUS=MR","EQY_CONSOLIDATED=Y","FA_ADJUSTED=GAAP","Sort=A","Dates=H","DateFormat=P","Fill=—","Direction=H","UseDPDF=Y")</f>
        <v>5.6988000000000003</v>
      </c>
      <c r="P10" s="18">
        <f>_xll.BDH("COXK IN Equity","RETURN_ON_INV_CAPITAL","FY 2018","FY 2018","Currency=INR","Period=FY","BEST_FPERIOD_OVERRIDE=FY","FILING_STATUS=MR","EQY_CONSOLIDATED=Y","FA_ADJUSTED=GAAP","Sort=A","Dates=H","DateFormat=P","Fill=—","Direction=H","UseDPDF=Y")</f>
        <v>6.6600999999999999</v>
      </c>
      <c r="Q10" s="18">
        <f>_xll.BDH("COXK IN Equity","RETURN_ON_INV_CAPITAL","FY 2019","FY 2019","Currency=INR","Period=FY","BEST_FPERIOD_OVERRIDE=FY","FILING_STATUS=MR","EQY_CONSOLIDATED=Y","FA_ADJUSTED=GAAP","Sort=A","Dates=H","DateFormat=P","Fill=—","Direction=H","UseDPDF=Y")</f>
        <v>5.1905999999999999</v>
      </c>
      <c r="R10" s="18">
        <f>_xll.BDH("COXK IN Equity","RETURN_ON_INV_CAPITAL","FY 2020","FY 2020","Currency=INR","Period=FY","BEST_FPERIOD_OVERRIDE=FY","FILING_STATUS=MR","EQY_CONSOLIDATED=Y","FA_ADJUSTED=GAAP","Sort=A","Dates=H","DateFormat=P","Fill=—","Direction=H","UseDPDF=Y")</f>
        <v>-106.768</v>
      </c>
    </row>
    <row r="11" spans="1:18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2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3" t="s">
        <v>40</v>
      </c>
      <c r="B13" s="3" t="s">
        <v>41</v>
      </c>
      <c r="C13" s="18">
        <f>_xll.BDH("COXK IN Equity","EBITDA_TO_REVENUE","FY 2005","FY 2005","Currency=INR","Period=FY","BEST_FPERIOD_OVERRIDE=FY","FILING_STATUS=MR","EQY_CONSOLIDATED=Y","FA_ADJUSTED=GAAP","Sort=A","Dates=H","DateFormat=P","Fill=—","Direction=H","UseDPDF=Y")</f>
        <v>48.533900000000003</v>
      </c>
      <c r="D13" s="18">
        <f>_xll.BDH("COXK IN Equity","EBITDA_TO_REVENUE","FY 2006","FY 2006","Currency=INR","Period=FY","BEST_FPERIOD_OVERRIDE=FY","FILING_STATUS=MR","EQY_CONSOLIDATED=Y","FA_ADJUSTED=GAAP","Sort=A","Dates=H","DateFormat=P","Fill=—","Direction=H","UseDPDF=Y")</f>
        <v>36.170200000000001</v>
      </c>
      <c r="E13" s="18">
        <f>_xll.BDH("COXK IN Equity","EBITDA_TO_REVENUE","FY 2007","FY 2007","Currency=INR","Period=FY","BEST_FPERIOD_OVERRIDE=FY","FILING_STATUS=MR","EQY_CONSOLIDATED=Y","FA_ADJUSTED=GAAP","Sort=A","Dates=H","DateFormat=P","Fill=—","Direction=H","UseDPDF=Y")</f>
        <v>43.9696</v>
      </c>
      <c r="F13" s="18">
        <f>_xll.BDH("COXK IN Equity","EBITDA_TO_REVENUE","FY 2008","FY 2008","Currency=INR","Period=FY","BEST_FPERIOD_OVERRIDE=FY","FILING_STATUS=MR","EQY_CONSOLIDATED=Y","FA_ADJUSTED=GAAP","Sort=A","Dates=H","DateFormat=P","Fill=—","Direction=H","UseDPDF=Y")</f>
        <v>43.472000000000001</v>
      </c>
      <c r="G13" s="18">
        <f>_xll.BDH("COXK IN Equity","EBITDA_TO_REVENUE","FY 2009","FY 2009","Currency=INR","Period=FY","BEST_FPERIOD_OVERRIDE=FY","FILING_STATUS=MR","EQY_CONSOLIDATED=Y","FA_ADJUSTED=GAAP","Sort=A","Dates=H","DateFormat=P","Fill=—","Direction=H","UseDPDF=Y")</f>
        <v>40.920200000000001</v>
      </c>
      <c r="H13" s="18">
        <f>_xll.BDH("COXK IN Equity","EBITDA_TO_REVENUE","FY 2010","FY 2010","Currency=INR","Period=FY","BEST_FPERIOD_OVERRIDE=FY","FILING_STATUS=MR","EQY_CONSOLIDATED=Y","FA_ADJUSTED=GAAP","Sort=A","Dates=H","DateFormat=P","Fill=—","Direction=H","UseDPDF=Y")</f>
        <v>45.403599999999997</v>
      </c>
      <c r="I13" s="18">
        <f>_xll.BDH("COXK IN Equity","EBITDA_TO_REVENUE","FY 2011","FY 2011","Currency=INR","Period=FY","BEST_FPERIOD_OVERRIDE=FY","FILING_STATUS=MR","EQY_CONSOLIDATED=Y","FA_ADJUSTED=GAAP","Sort=A","Dates=H","DateFormat=P","Fill=—","Direction=H","UseDPDF=Y")</f>
        <v>45.357799999999997</v>
      </c>
      <c r="J13" s="18">
        <f>_xll.BDH("COXK IN Equity","EBITDA_TO_REVENUE","FY 2012","FY 2012","Currency=INR","Period=FY","BEST_FPERIOD_OVERRIDE=FY","FILING_STATUS=MR","EQY_CONSOLIDATED=Y","FA_ADJUSTED=GAAP","Sort=A","Dates=H","DateFormat=P","Fill=—","Direction=H","UseDPDF=Y")</f>
        <v>18.642199999999999</v>
      </c>
      <c r="K13" s="18">
        <f>_xll.BDH("COXK IN Equity","EBITDA_TO_REVENUE","FY 2013","FY 2013","Currency=INR","Period=FY","BEST_FPERIOD_OVERRIDE=FY","FILING_STATUS=MR","EQY_CONSOLIDATED=Y","FA_ADJUSTED=GAAP","Sort=A","Dates=H","DateFormat=P","Fill=—","Direction=H","UseDPDF=Y")</f>
        <v>39.129899999999999</v>
      </c>
      <c r="L13" s="18">
        <f>_xll.BDH("COXK IN Equity","EBITDA_TO_REVENUE","FY 2014","FY 2014","Currency=INR","Period=FY","BEST_FPERIOD_OVERRIDE=FY","FILING_STATUS=MR","EQY_CONSOLIDATED=Y","FA_ADJUSTED=GAAP","Sort=A","Dates=H","DateFormat=P","Fill=—","Direction=H","UseDPDF=Y")</f>
        <v>37.856400000000001</v>
      </c>
      <c r="M13" s="18">
        <f>_xll.BDH("COXK IN Equity","EBITDA_TO_REVENUE","FY 2015","FY 2015","Currency=INR","Period=FY","BEST_FPERIOD_OVERRIDE=FY","FILING_STATUS=MR","EQY_CONSOLIDATED=Y","FA_ADJUSTED=GAAP","Sort=A","Dates=H","DateFormat=P","Fill=—","Direction=H","UseDPDF=Y")</f>
        <v>38.404400000000003</v>
      </c>
      <c r="N13" s="18">
        <f>_xll.BDH("COXK IN Equity","EBITDA_TO_REVENUE","FY 2016","FY 2016","Currency=INR","Period=FY","BEST_FPERIOD_OVERRIDE=FY","FILING_STATUS=MR","EQY_CONSOLIDATED=Y","FA_ADJUSTED=GAAP","Sort=A","Dates=H","DateFormat=P","Fill=—","Direction=H","UseDPDF=Y")</f>
        <v>10.8736</v>
      </c>
      <c r="O13" s="18">
        <f>_xll.BDH("COXK IN Equity","EBITDA_TO_REVENUE","FY 2017","FY 2017","Currency=INR","Period=FY","BEST_FPERIOD_OVERRIDE=FY","FILING_STATUS=MR","EQY_CONSOLIDATED=Y","FA_ADJUSTED=GAAP","Sort=A","Dates=H","DateFormat=P","Fill=—","Direction=H","UseDPDF=Y")</f>
        <v>11.9032</v>
      </c>
      <c r="P13" s="18">
        <f>_xll.BDH("COXK IN Equity","EBITDA_TO_REVENUE","FY 2018","FY 2018","Currency=INR","Period=FY","BEST_FPERIOD_OVERRIDE=FY","FILING_STATUS=MR","EQY_CONSOLIDATED=Y","FA_ADJUSTED=GAAP","Sort=A","Dates=H","DateFormat=P","Fill=—","Direction=H","UseDPDF=Y")</f>
        <v>13.823700000000001</v>
      </c>
      <c r="Q13" s="18">
        <f>_xll.BDH("COXK IN Equity","EBITDA_TO_REVENUE","FY 2019","FY 2019","Currency=INR","Period=FY","BEST_FPERIOD_OVERRIDE=FY","FILING_STATUS=MR","EQY_CONSOLIDATED=Y","FA_ADJUSTED=GAAP","Sort=A","Dates=H","DateFormat=P","Fill=—","Direction=H","UseDPDF=Y")</f>
        <v>10.485900000000001</v>
      </c>
      <c r="R13" s="18">
        <f>_xll.BDH("COXK IN Equity","EBITDA_TO_REVENUE","FY 2020","FY 2020","Currency=INR","Period=FY","BEST_FPERIOD_OVERRIDE=FY","FILING_STATUS=MR","EQY_CONSOLIDATED=Y","FA_ADJUSTED=GAAP","Sort=A","Dates=H","DateFormat=P","Fill=—","Direction=H","UseDPDF=Y")</f>
        <v>-31.431100000000001</v>
      </c>
    </row>
    <row r="14" spans="1:18" x14ac:dyDescent="0.25">
      <c r="A14" s="3" t="s">
        <v>42</v>
      </c>
      <c r="B14" s="3" t="s">
        <v>43</v>
      </c>
      <c r="C14" s="18">
        <f>_xll.BDH("COXK IN Equity","OPER_MARGIN","FY 2005","FY 2005","Currency=INR","Period=FY","BEST_FPERIOD_OVERRIDE=FY","FILING_STATUS=MR","EQY_CONSOLIDATED=Y","FA_ADJUSTED=GAAP","Sort=A","Dates=H","DateFormat=P","Fill=—","Direction=H","UseDPDF=Y")</f>
        <v>45.152099999999997</v>
      </c>
      <c r="D14" s="18">
        <f>_xll.BDH("COXK IN Equity","OPER_MARGIN","FY 2006","FY 2006","Currency=INR","Period=FY","BEST_FPERIOD_OVERRIDE=FY","FILING_STATUS=MR","EQY_CONSOLIDATED=Y","FA_ADJUSTED=GAAP","Sort=A","Dates=H","DateFormat=P","Fill=—","Direction=H","UseDPDF=Y")</f>
        <v>33.311700000000002</v>
      </c>
      <c r="E14" s="18">
        <f>_xll.BDH("COXK IN Equity","OPER_MARGIN","FY 2007","FY 2007","Currency=INR","Period=FY","BEST_FPERIOD_OVERRIDE=FY","FILING_STATUS=MR","EQY_CONSOLIDATED=Y","FA_ADJUSTED=GAAP","Sort=A","Dates=H","DateFormat=P","Fill=—","Direction=H","UseDPDF=Y")</f>
        <v>40.456499999999998</v>
      </c>
      <c r="F14" s="18">
        <f>_xll.BDH("COXK IN Equity","OPER_MARGIN","FY 2008","FY 2008","Currency=INR","Period=FY","BEST_FPERIOD_OVERRIDE=FY","FILING_STATUS=MR","EQY_CONSOLIDATED=Y","FA_ADJUSTED=GAAP","Sort=A","Dates=H","DateFormat=P","Fill=—","Direction=H","UseDPDF=Y")</f>
        <v>39.9724</v>
      </c>
      <c r="G14" s="18">
        <f>_xll.BDH("COXK IN Equity","OPER_MARGIN","FY 2009","FY 2009","Currency=INR","Period=FY","BEST_FPERIOD_OVERRIDE=FY","FILING_STATUS=MR","EQY_CONSOLIDATED=Y","FA_ADJUSTED=GAAP","Sort=A","Dates=H","DateFormat=P","Fill=—","Direction=H","UseDPDF=Y")</f>
        <v>37.481900000000003</v>
      </c>
      <c r="H14" s="18">
        <f>_xll.BDH("COXK IN Equity","OPER_MARGIN","FY 2010","FY 2010","Currency=INR","Period=FY","BEST_FPERIOD_OVERRIDE=FY","FILING_STATUS=MR","EQY_CONSOLIDATED=Y","FA_ADJUSTED=GAAP","Sort=A","Dates=H","DateFormat=P","Fill=—","Direction=H","UseDPDF=Y")</f>
        <v>41.535299999999999</v>
      </c>
      <c r="I14" s="18">
        <f>_xll.BDH("COXK IN Equity","OPER_MARGIN","FY 2011","FY 2011","Currency=INR","Period=FY","BEST_FPERIOD_OVERRIDE=FY","FILING_STATUS=MR","EQY_CONSOLIDATED=Y","FA_ADJUSTED=GAAP","Sort=A","Dates=H","DateFormat=P","Fill=—","Direction=H","UseDPDF=Y")</f>
        <v>41.526400000000002</v>
      </c>
      <c r="J14" s="18">
        <f>_xll.BDH("COXK IN Equity","OPER_MARGIN","FY 2012","FY 2012","Currency=INR","Period=FY","BEST_FPERIOD_OVERRIDE=FY","FILING_STATUS=MR","EQY_CONSOLIDATED=Y","FA_ADJUSTED=GAAP","Sort=A","Dates=H","DateFormat=P","Fill=—","Direction=H","UseDPDF=Y")</f>
        <v>12.678599999999999</v>
      </c>
      <c r="K14" s="18">
        <f>_xll.BDH("COXK IN Equity","OPER_MARGIN","FY 2013","FY 2013","Currency=INR","Period=FY","BEST_FPERIOD_OVERRIDE=FY","FILING_STATUS=MR","EQY_CONSOLIDATED=Y","FA_ADJUSTED=GAAP","Sort=A","Dates=H","DateFormat=P","Fill=—","Direction=H","UseDPDF=Y")</f>
        <v>30.863900000000001</v>
      </c>
      <c r="L14" s="18">
        <f>_xll.BDH("COXK IN Equity","OPER_MARGIN","FY 2014","FY 2014","Currency=INR","Period=FY","BEST_FPERIOD_OVERRIDE=FY","FILING_STATUS=MR","EQY_CONSOLIDATED=Y","FA_ADJUSTED=GAAP","Sort=A","Dates=H","DateFormat=P","Fill=—","Direction=H","UseDPDF=Y")</f>
        <v>30.314699999999998</v>
      </c>
      <c r="M14" s="18">
        <f>_xll.BDH("COXK IN Equity","OPER_MARGIN","FY 2015","FY 2015","Currency=INR","Period=FY","BEST_FPERIOD_OVERRIDE=FY","FILING_STATUS=MR","EQY_CONSOLIDATED=Y","FA_ADJUSTED=GAAP","Sort=A","Dates=H","DateFormat=P","Fill=—","Direction=H","UseDPDF=Y")</f>
        <v>30.528300000000002</v>
      </c>
      <c r="N14" s="18">
        <f>_xll.BDH("COXK IN Equity","OPER_MARGIN","FY 2016","FY 2016","Currency=INR","Period=FY","BEST_FPERIOD_OVERRIDE=FY","FILING_STATUS=MR","EQY_CONSOLIDATED=Y","FA_ADJUSTED=GAAP","Sort=A","Dates=H","DateFormat=P","Fill=—","Direction=H","UseDPDF=Y")</f>
        <v>8.8872999999999998</v>
      </c>
      <c r="O14" s="18">
        <f>_xll.BDH("COXK IN Equity","OPER_MARGIN","FY 2017","FY 2017","Currency=INR","Period=FY","BEST_FPERIOD_OVERRIDE=FY","FILING_STATUS=MR","EQY_CONSOLIDATED=Y","FA_ADJUSTED=GAAP","Sort=A","Dates=H","DateFormat=P","Fill=—","Direction=H","UseDPDF=Y")</f>
        <v>10.570399999999999</v>
      </c>
      <c r="P14" s="18">
        <f>_xll.BDH("COXK IN Equity","OPER_MARGIN","FY 2018","FY 2018","Currency=INR","Period=FY","BEST_FPERIOD_OVERRIDE=FY","FILING_STATUS=MR","EQY_CONSOLIDATED=Y","FA_ADJUSTED=GAAP","Sort=A","Dates=H","DateFormat=P","Fill=—","Direction=H","UseDPDF=Y")</f>
        <v>12.281599999999999</v>
      </c>
      <c r="Q14" s="18">
        <f>_xll.BDH("COXK IN Equity","OPER_MARGIN","FY 2019","FY 2019","Currency=INR","Period=FY","BEST_FPERIOD_OVERRIDE=FY","FILING_STATUS=MR","EQY_CONSOLIDATED=Y","FA_ADJUSTED=GAAP","Sort=A","Dates=H","DateFormat=P","Fill=—","Direction=H","UseDPDF=Y")</f>
        <v>8.8284000000000002</v>
      </c>
      <c r="R14" s="18">
        <f>_xll.BDH("COXK IN Equity","OPER_MARGIN","FY 2020","FY 2020","Currency=INR","Period=FY","BEST_FPERIOD_OVERRIDE=FY","FILING_STATUS=MR","EQY_CONSOLIDATED=Y","FA_ADJUSTED=GAAP","Sort=A","Dates=H","DateFormat=P","Fill=—","Direction=H","UseDPDF=Y")</f>
        <v>-32.196100000000001</v>
      </c>
    </row>
    <row r="15" spans="1:18" x14ac:dyDescent="0.25">
      <c r="A15" s="3" t="s">
        <v>44</v>
      </c>
      <c r="B15" s="3" t="s">
        <v>45</v>
      </c>
      <c r="C15" s="18" t="str">
        <f>_xll.BDH("COXK IN Equity","INCREMENTAL_OPERATING_MARGIN","FY 2005","FY 2005","Currency=INR","Period=FY","BEST_FPERIOD_OVERRIDE=FY","FILING_STATUS=MR","EQY_CONSOLIDATED=Y","FA_ADJUSTED=GAAP","Sort=A","Dates=H","DateFormat=P","Fill=—","Direction=H","UseDPDF=Y")</f>
        <v>—</v>
      </c>
      <c r="D15" s="18">
        <f>_xll.BDH("COXK IN Equity","INCREMENTAL_OPERATING_MARGIN","FY 2006","FY 2006","Currency=INR","Period=FY","BEST_FPERIOD_OVERRIDE=FY","FILING_STATUS=MR","EQY_CONSOLIDATED=Y","FA_ADJUSTED=GAAP","Sort=A","Dates=H","DateFormat=P","Fill=—","Direction=H","UseDPDF=Y")</f>
        <v>9.7492000000000001</v>
      </c>
      <c r="E15" s="18">
        <f>_xll.BDH("COXK IN Equity","INCREMENTAL_OPERATING_MARGIN","FY 2007","FY 2007","Currency=INR","Period=FY","BEST_FPERIOD_OVERRIDE=FY","FILING_STATUS=MR","EQY_CONSOLIDATED=Y","FA_ADJUSTED=GAAP","Sort=A","Dates=H","DateFormat=P","Fill=—","Direction=H","UseDPDF=Y")</f>
        <v>53.822699999999998</v>
      </c>
      <c r="F15" s="18">
        <f>_xll.BDH("COXK IN Equity","INCREMENTAL_OPERATING_MARGIN","FY 2008","FY 2008","Currency=INR","Period=FY","BEST_FPERIOD_OVERRIDE=FY","FILING_STATUS=MR","EQY_CONSOLIDATED=Y","FA_ADJUSTED=GAAP","Sort=A","Dates=H","DateFormat=P","Fill=—","Direction=H","UseDPDF=Y")</f>
        <v>39.421500000000002</v>
      </c>
      <c r="G15" s="18">
        <f>_xll.BDH("COXK IN Equity","INCREMENTAL_OPERATING_MARGIN","FY 2009","FY 2009","Currency=INR","Period=FY","BEST_FPERIOD_OVERRIDE=FY","FILING_STATUS=MR","EQY_CONSOLIDATED=Y","FA_ADJUSTED=GAAP","Sort=A","Dates=H","DateFormat=P","Fill=—","Direction=H","UseDPDF=Y")</f>
        <v>32.765900000000002</v>
      </c>
      <c r="H15" s="18">
        <f>_xll.BDH("COXK IN Equity","INCREMENTAL_OPERATING_MARGIN","FY 2010","FY 2010","Currency=INR","Period=FY","BEST_FPERIOD_OVERRIDE=FY","FILING_STATUS=MR","EQY_CONSOLIDATED=Y","FA_ADJUSTED=GAAP","Sort=A","Dates=H","DateFormat=P","Fill=—","Direction=H","UseDPDF=Y")</f>
        <v>51.671599999999998</v>
      </c>
      <c r="I15" s="18">
        <f>_xll.BDH("COXK IN Equity","INCREMENTAL_OPERATING_MARGIN","FY 2011","FY 2011","Currency=INR","Period=FY","BEST_FPERIOD_OVERRIDE=FY","FILING_STATUS=MR","EQY_CONSOLIDATED=Y","FA_ADJUSTED=GAAP","Sort=A","Dates=H","DateFormat=P","Fill=—","Direction=H","UseDPDF=Y")</f>
        <v>41.489800000000002</v>
      </c>
      <c r="J15" s="18" t="str">
        <f>_xll.BDH("COXK IN Equity","INCREMENTAL_OPERATING_MARGIN","FY 2012","FY 2012","Currency=INR","Period=FY","BEST_FPERIOD_OVERRIDE=FY","FILING_STATUS=MR","EQY_CONSOLIDATED=Y","FA_ADJUSTED=GAAP","Sort=A","Dates=H","DateFormat=P","Fill=—","Direction=H","UseDPDF=Y")</f>
        <v>—</v>
      </c>
      <c r="K15" s="18">
        <f>_xll.BDH("COXK IN Equity","INCREMENTAL_OPERATING_MARGIN","FY 2013","FY 2013","Currency=INR","Period=FY","BEST_FPERIOD_OVERRIDE=FY","FILING_STATUS=MR","EQY_CONSOLIDATED=Y","FA_ADJUSTED=GAAP","Sort=A","Dates=H","DateFormat=P","Fill=—","Direction=H","UseDPDF=Y")</f>
        <v>46.4876</v>
      </c>
      <c r="L15" s="18">
        <f>_xll.BDH("COXK IN Equity","INCREMENTAL_OPERATING_MARGIN","FY 2014","FY 2014","Currency=INR","Period=FY","BEST_FPERIOD_OVERRIDE=FY","FILING_STATUS=MR","EQY_CONSOLIDATED=Y","FA_ADJUSTED=GAAP","Sort=A","Dates=H","DateFormat=P","Fill=—","Direction=H","UseDPDF=Y")</f>
        <v>28.3018</v>
      </c>
      <c r="M15" s="18">
        <f>_xll.BDH("COXK IN Equity","INCREMENTAL_OPERATING_MARGIN","FY 2015","FY 2015","Currency=INR","Period=FY","BEST_FPERIOD_OVERRIDE=FY","FILING_STATUS=MR","EQY_CONSOLIDATED=Y","FA_ADJUSTED=GAAP","Sort=A","Dates=H","DateFormat=P","Fill=—","Direction=H","UseDPDF=Y")</f>
        <v>32.476999999999997</v>
      </c>
      <c r="N15" s="18" t="str">
        <f>_xll.BDH("COXK IN Equity","INCREMENTAL_OPERATING_MARGIN","FY 2016","FY 2016","Currency=INR","Period=FY","BEST_FPERIOD_OVERRIDE=FY","FILING_STATUS=MR","EQY_CONSOLIDATED=Y","FA_ADJUSTED=GAAP","Sort=A","Dates=H","DateFormat=P","Fill=—","Direction=H","UseDPDF=Y")</f>
        <v>—</v>
      </c>
      <c r="O15" s="18" t="str">
        <f>_xll.BDH("COXK IN Equity","INCREMENTAL_OPERATING_MARGIN","FY 2017","FY 2017","Currency=INR","Period=FY","BEST_FPERIOD_OVERRIDE=FY","FILING_STATUS=MR","EQY_CONSOLIDATED=Y","FA_ADJUSTED=GAAP","Sort=A","Dates=H","DateFormat=P","Fill=—","Direction=H","UseDPDF=Y")</f>
        <v>—</v>
      </c>
      <c r="P15" s="18" t="str">
        <f>_xll.BDH("COXK IN Equity","INCREMENTAL_OPERATING_MARGIN","FY 2018","FY 2018","Currency=INR","Period=FY","BEST_FPERIOD_OVERRIDE=FY","FILING_STATUS=MR","EQY_CONSOLIDATED=Y","FA_ADJUSTED=GAAP","Sort=A","Dates=H","DateFormat=P","Fill=—","Direction=H","UseDPDF=Y")</f>
        <v>—</v>
      </c>
      <c r="Q15" s="18">
        <f>_xll.BDH("COXK IN Equity","INCREMENTAL_OPERATING_MARGIN","FY 2019","FY 2019","Currency=INR","Period=FY","BEST_FPERIOD_OVERRIDE=FY","FILING_STATUS=MR","EQY_CONSOLIDATED=Y","FA_ADJUSTED=GAAP","Sort=A","Dates=H","DateFormat=P","Fill=—","Direction=H","UseDPDF=Y")</f>
        <v>-39.769300000000001</v>
      </c>
      <c r="R15" s="18">
        <f>_xll.BDH("COXK IN Equity","INCREMENTAL_OPERATING_MARGIN","FY 2020","FY 2020","Currency=INR","Period=FY","BEST_FPERIOD_OVERRIDE=FY","FILING_STATUS=MR","EQY_CONSOLIDATED=Y","FA_ADJUSTED=GAAP","Sort=A","Dates=H","DateFormat=P","Fill=—","Direction=H","UseDPDF=Y")</f>
        <v>-15.2189</v>
      </c>
    </row>
    <row r="16" spans="1:18" x14ac:dyDescent="0.25">
      <c r="A16" s="3" t="s">
        <v>46</v>
      </c>
      <c r="B16" s="3" t="s">
        <v>47</v>
      </c>
      <c r="C16" s="18">
        <f>_xll.BDH("COXK IN Equity","PRETAX_INC_TO_NET_SALES","FY 2005","FY 2005","Currency=INR","Period=FY","BEST_FPERIOD_OVERRIDE=FY","FILING_STATUS=MR","EQY_CONSOLIDATED=Y","FA_ADJUSTED=GAAP","Sort=A","Dates=H","DateFormat=P","Fill=—","Direction=H","UseDPDF=Y")</f>
        <v>28.112400000000001</v>
      </c>
      <c r="D16" s="18">
        <f>_xll.BDH("COXK IN Equity","PRETAX_INC_TO_NET_SALES","FY 2006","FY 2006","Currency=INR","Period=FY","BEST_FPERIOD_OVERRIDE=FY","FILING_STATUS=MR","EQY_CONSOLIDATED=Y","FA_ADJUSTED=GAAP","Sort=A","Dates=H","DateFormat=P","Fill=—","Direction=H","UseDPDF=Y")</f>
        <v>28.514199999999999</v>
      </c>
      <c r="E16" s="18">
        <f>_xll.BDH("COXK IN Equity","PRETAX_INC_TO_NET_SALES","FY 2007","FY 2007","Currency=INR","Period=FY","BEST_FPERIOD_OVERRIDE=FY","FILING_STATUS=MR","EQY_CONSOLIDATED=Y","FA_ADJUSTED=GAAP","Sort=A","Dates=H","DateFormat=P","Fill=—","Direction=H","UseDPDF=Y")</f>
        <v>44.131599999999999</v>
      </c>
      <c r="F16" s="18">
        <f>_xll.BDH("COXK IN Equity","PRETAX_INC_TO_NET_SALES","FY 2008","FY 2008","Currency=INR","Period=FY","BEST_FPERIOD_OVERRIDE=FY","FILING_STATUS=MR","EQY_CONSOLIDATED=Y","FA_ADJUSTED=GAAP","Sort=A","Dates=H","DateFormat=P","Fill=—","Direction=H","UseDPDF=Y")</f>
        <v>35.332500000000003</v>
      </c>
      <c r="G16" s="18">
        <f>_xll.BDH("COXK IN Equity","PRETAX_INC_TO_NET_SALES","FY 2009","FY 2009","Currency=INR","Period=FY","BEST_FPERIOD_OVERRIDE=FY","FILING_STATUS=MR","EQY_CONSOLIDATED=Y","FA_ADJUSTED=GAAP","Sort=A","Dates=H","DateFormat=P","Fill=—","Direction=H","UseDPDF=Y")</f>
        <v>35.313099999999999</v>
      </c>
      <c r="H16" s="18">
        <f>_xll.BDH("COXK IN Equity","PRETAX_INC_TO_NET_SALES","FY 2010","FY 2010","Currency=INR","Period=FY","BEST_FPERIOD_OVERRIDE=FY","FILING_STATUS=MR","EQY_CONSOLIDATED=Y","FA_ADJUSTED=GAAP","Sort=A","Dates=H","DateFormat=P","Fill=—","Direction=H","UseDPDF=Y")</f>
        <v>47.8688</v>
      </c>
      <c r="I16" s="18">
        <f>_xll.BDH("COXK IN Equity","PRETAX_INC_TO_NET_SALES","FY 2011","FY 2011","Currency=INR","Period=FY","BEST_FPERIOD_OVERRIDE=FY","FILING_STATUS=MR","EQY_CONSOLIDATED=Y","FA_ADJUSTED=GAAP","Sort=A","Dates=H","DateFormat=P","Fill=—","Direction=H","UseDPDF=Y")</f>
        <v>39.884300000000003</v>
      </c>
      <c r="J16" s="18">
        <f>_xll.BDH("COXK IN Equity","PRETAX_INC_TO_NET_SALES","FY 2012","FY 2012","Currency=INR","Period=FY","BEST_FPERIOD_OVERRIDE=FY","FILING_STATUS=MR","EQY_CONSOLIDATED=Y","FA_ADJUSTED=GAAP","Sort=A","Dates=H","DateFormat=P","Fill=—","Direction=H","UseDPDF=Y")</f>
        <v>8.3452000000000002</v>
      </c>
      <c r="K16" s="18">
        <f>_xll.BDH("COXK IN Equity","PRETAX_INC_TO_NET_SALES","FY 2013","FY 2013","Currency=INR","Period=FY","BEST_FPERIOD_OVERRIDE=FY","FILING_STATUS=MR","EQY_CONSOLIDATED=Y","FA_ADJUSTED=GAAP","Sort=A","Dates=H","DateFormat=P","Fill=—","Direction=H","UseDPDF=Y")</f>
        <v>11.4757</v>
      </c>
      <c r="L16" s="18">
        <f>_xll.BDH("COXK IN Equity","PRETAX_INC_TO_NET_SALES","FY 2014","FY 2014","Currency=INR","Period=FY","BEST_FPERIOD_OVERRIDE=FY","FILING_STATUS=MR","EQY_CONSOLIDATED=Y","FA_ADJUSTED=GAAP","Sort=A","Dates=H","DateFormat=P","Fill=—","Direction=H","UseDPDF=Y")</f>
        <v>27.029299999999999</v>
      </c>
      <c r="M16" s="18">
        <f>_xll.BDH("COXK IN Equity","PRETAX_INC_TO_NET_SALES","FY 2015","FY 2015","Currency=INR","Period=FY","BEST_FPERIOD_OVERRIDE=FY","FILING_STATUS=MR","EQY_CONSOLIDATED=Y","FA_ADJUSTED=GAAP","Sort=A","Dates=H","DateFormat=P","Fill=—","Direction=H","UseDPDF=Y")</f>
        <v>9.2792999999999992</v>
      </c>
      <c r="N16" s="18">
        <f>_xll.BDH("COXK IN Equity","PRETAX_INC_TO_NET_SALES","FY 2016","FY 2016","Currency=INR","Period=FY","BEST_FPERIOD_OVERRIDE=FY","FILING_STATUS=MR","EQY_CONSOLIDATED=Y","FA_ADJUSTED=GAAP","Sort=A","Dates=H","DateFormat=P","Fill=—","Direction=H","UseDPDF=Y")</f>
        <v>1.9774</v>
      </c>
      <c r="O16" s="18">
        <f>_xll.BDH("COXK IN Equity","PRETAX_INC_TO_NET_SALES","FY 2017","FY 2017","Currency=INR","Period=FY","BEST_FPERIOD_OVERRIDE=FY","FILING_STATUS=MR","EQY_CONSOLIDATED=Y","FA_ADJUSTED=GAAP","Sort=A","Dates=H","DateFormat=P","Fill=—","Direction=H","UseDPDF=Y")</f>
        <v>5.3677999999999999</v>
      </c>
      <c r="P16" s="18">
        <f>_xll.BDH("COXK IN Equity","PRETAX_INC_TO_NET_SALES","FY 2018","FY 2018","Currency=INR","Period=FY","BEST_FPERIOD_OVERRIDE=FY","FILING_STATUS=MR","EQY_CONSOLIDATED=Y","FA_ADJUSTED=GAAP","Sort=A","Dates=H","DateFormat=P","Fill=—","Direction=H","UseDPDF=Y")</f>
        <v>10.3934</v>
      </c>
      <c r="Q16" s="18">
        <f>_xll.BDH("COXK IN Equity","PRETAX_INC_TO_NET_SALES","FY 2019","FY 2019","Currency=INR","Period=FY","BEST_FPERIOD_OVERRIDE=FY","FILING_STATUS=MR","EQY_CONSOLIDATED=Y","FA_ADJUSTED=GAAP","Sort=A","Dates=H","DateFormat=P","Fill=—","Direction=H","UseDPDF=Y")</f>
        <v>29.5885</v>
      </c>
      <c r="R16" s="18">
        <f>_xll.BDH("COXK IN Equity","PRETAX_INC_TO_NET_SALES","FY 2020","FY 2020","Currency=INR","Period=FY","BEST_FPERIOD_OVERRIDE=FY","FILING_STATUS=MR","EQY_CONSOLIDATED=Y","FA_ADJUSTED=GAAP","Sort=A","Dates=H","DateFormat=P","Fill=—","Direction=H","UseDPDF=Y")</f>
        <v>-1349.566</v>
      </c>
    </row>
    <row r="17" spans="1:18" x14ac:dyDescent="0.25">
      <c r="A17" s="3" t="s">
        <v>48</v>
      </c>
      <c r="B17" s="3" t="s">
        <v>49</v>
      </c>
      <c r="C17" s="18">
        <f>_xll.BDH("COXK IN Equity","INC_BEF_XO_ITEMS_TO_NET_SALES","FY 2005","FY 2005","Currency=INR","Period=FY","BEST_FPERIOD_OVERRIDE=FY","FILING_STATUS=MR","EQY_CONSOLIDATED=Y","FA_ADJUSTED=GAAP","Sort=A","Dates=H","DateFormat=P","Fill=—","Direction=H","UseDPDF=Y")</f>
        <v>24.0458</v>
      </c>
      <c r="D17" s="18">
        <f>_xll.BDH("COXK IN Equity","INC_BEF_XO_ITEMS_TO_NET_SALES","FY 2006","FY 2006","Currency=INR","Period=FY","BEST_FPERIOD_OVERRIDE=FY","FILING_STATUS=MR","EQY_CONSOLIDATED=Y","FA_ADJUSTED=GAAP","Sort=A","Dates=H","DateFormat=P","Fill=—","Direction=H","UseDPDF=Y")</f>
        <v>17.099</v>
      </c>
      <c r="E17" s="18">
        <f>_xll.BDH("COXK IN Equity","INC_BEF_XO_ITEMS_TO_NET_SALES","FY 2007","FY 2007","Currency=INR","Period=FY","BEST_FPERIOD_OVERRIDE=FY","FILING_STATUS=MR","EQY_CONSOLIDATED=Y","FA_ADJUSTED=GAAP","Sort=A","Dates=H","DateFormat=P","Fill=—","Direction=H","UseDPDF=Y")</f>
        <v>30.668099999999999</v>
      </c>
      <c r="F17" s="18">
        <f>_xll.BDH("COXK IN Equity","INC_BEF_XO_ITEMS_TO_NET_SALES","FY 2008","FY 2008","Currency=INR","Period=FY","BEST_FPERIOD_OVERRIDE=FY","FILING_STATUS=MR","EQY_CONSOLIDATED=Y","FA_ADJUSTED=GAAP","Sort=A","Dates=H","DateFormat=P","Fill=—","Direction=H","UseDPDF=Y")</f>
        <v>23.3933</v>
      </c>
      <c r="G17" s="18">
        <f>_xll.BDH("COXK IN Equity","INC_BEF_XO_ITEMS_TO_NET_SALES","FY 2009","FY 2009","Currency=INR","Period=FY","BEST_FPERIOD_OVERRIDE=FY","FILING_STATUS=MR","EQY_CONSOLIDATED=Y","FA_ADJUSTED=GAAP","Sort=A","Dates=H","DateFormat=P","Fill=—","Direction=H","UseDPDF=Y")</f>
        <v>22.566700000000001</v>
      </c>
      <c r="H17" s="18">
        <f>_xll.BDH("COXK IN Equity","INC_BEF_XO_ITEMS_TO_NET_SALES","FY 2010","FY 2010","Currency=INR","Period=FY","BEST_FPERIOD_OVERRIDE=FY","FILING_STATUS=MR","EQY_CONSOLIDATED=Y","FA_ADJUSTED=GAAP","Sort=A","Dates=H","DateFormat=P","Fill=—","Direction=H","UseDPDF=Y")</f>
        <v>34.354199999999999</v>
      </c>
      <c r="I17" s="18">
        <f>_xll.BDH("COXK IN Equity","INC_BEF_XO_ITEMS_TO_NET_SALES","FY 2011","FY 2011","Currency=INR","Period=FY","BEST_FPERIOD_OVERRIDE=FY","FILING_STATUS=MR","EQY_CONSOLIDATED=Y","FA_ADJUSTED=GAAP","Sort=A","Dates=H","DateFormat=P","Fill=—","Direction=H","UseDPDF=Y")</f>
        <v>26.661200000000001</v>
      </c>
      <c r="J17" s="18">
        <f>_xll.BDH("COXK IN Equity","INC_BEF_XO_ITEMS_TO_NET_SALES","FY 2012","FY 2012","Currency=INR","Period=FY","BEST_FPERIOD_OVERRIDE=FY","FILING_STATUS=MR","EQY_CONSOLIDATED=Y","FA_ADJUSTED=GAAP","Sort=A","Dates=H","DateFormat=P","Fill=—","Direction=H","UseDPDF=Y")</f>
        <v>5.0507999999999997</v>
      </c>
      <c r="K17" s="18">
        <f>_xll.BDH("COXK IN Equity","INC_BEF_XO_ITEMS_TO_NET_SALES","FY 2013","FY 2013","Currency=INR","Period=FY","BEST_FPERIOD_OVERRIDE=FY","FILING_STATUS=MR","EQY_CONSOLIDATED=Y","FA_ADJUSTED=GAAP","Sort=A","Dates=H","DateFormat=P","Fill=—","Direction=H","UseDPDF=Y")</f>
        <v>10.8171</v>
      </c>
      <c r="L17" s="18">
        <f>_xll.BDH("COXK IN Equity","INC_BEF_XO_ITEMS_TO_NET_SALES","FY 2014","FY 2014","Currency=INR","Period=FY","BEST_FPERIOD_OVERRIDE=FY","FILING_STATUS=MR","EQY_CONSOLIDATED=Y","FA_ADJUSTED=GAAP","Sort=A","Dates=H","DateFormat=P","Fill=—","Direction=H","UseDPDF=Y")</f>
        <v>19.721699999999998</v>
      </c>
      <c r="M17" s="18">
        <f>_xll.BDH("COXK IN Equity","INC_BEF_XO_ITEMS_TO_NET_SALES","FY 2015","FY 2015","Currency=INR","Period=FY","BEST_FPERIOD_OVERRIDE=FY","FILING_STATUS=MR","EQY_CONSOLIDATED=Y","FA_ADJUSTED=GAAP","Sort=A","Dates=H","DateFormat=P","Fill=—","Direction=H","UseDPDF=Y")</f>
        <v>3.5204</v>
      </c>
      <c r="N17" s="18">
        <f>_xll.BDH("COXK IN Equity","INC_BEF_XO_ITEMS_TO_NET_SALES","FY 2016","FY 2016","Currency=INR","Period=FY","BEST_FPERIOD_OVERRIDE=FY","FILING_STATUS=MR","EQY_CONSOLIDATED=Y","FA_ADJUSTED=GAAP","Sort=A","Dates=H","DateFormat=P","Fill=—","Direction=H","UseDPDF=Y")</f>
        <v>-0.11849999999999999</v>
      </c>
      <c r="O17" s="18">
        <f>_xll.BDH("COXK IN Equity","INC_BEF_XO_ITEMS_TO_NET_SALES","FY 2017","FY 2017","Currency=INR","Period=FY","BEST_FPERIOD_OVERRIDE=FY","FILING_STATUS=MR","EQY_CONSOLIDATED=Y","FA_ADJUSTED=GAAP","Sort=A","Dates=H","DateFormat=P","Fill=—","Direction=H","UseDPDF=Y")</f>
        <v>2.9601000000000002</v>
      </c>
      <c r="P17" s="18">
        <f>_xll.BDH("COXK IN Equity","INC_BEF_XO_ITEMS_TO_NET_SALES","FY 2018","FY 2018","Currency=INR","Period=FY","BEST_FPERIOD_OVERRIDE=FY","FILING_STATUS=MR","EQY_CONSOLIDATED=Y","FA_ADJUSTED=GAAP","Sort=A","Dates=H","DateFormat=P","Fill=—","Direction=H","UseDPDF=Y")</f>
        <v>6.9261999999999997</v>
      </c>
      <c r="Q17" s="18">
        <f>_xll.BDH("COXK IN Equity","INC_BEF_XO_ITEMS_TO_NET_SALES","FY 2019","FY 2019","Currency=INR","Period=FY","BEST_FPERIOD_OVERRIDE=FY","FILING_STATUS=MR","EQY_CONSOLIDATED=Y","FA_ADJUSTED=GAAP","Sort=A","Dates=H","DateFormat=P","Fill=—","Direction=H","UseDPDF=Y")</f>
        <v>26.508099999999999</v>
      </c>
      <c r="R17" s="18">
        <f>_xll.BDH("COXK IN Equity","INC_BEF_XO_ITEMS_TO_NET_SALES","FY 2020","FY 2020","Currency=INR","Period=FY","BEST_FPERIOD_OVERRIDE=FY","FILING_STATUS=MR","EQY_CONSOLIDATED=Y","FA_ADJUSTED=GAAP","Sort=A","Dates=H","DateFormat=P","Fill=—","Direction=H","UseDPDF=Y")</f>
        <v>-1349.5608</v>
      </c>
    </row>
    <row r="18" spans="1:18" x14ac:dyDescent="0.25">
      <c r="A18" s="3" t="s">
        <v>50</v>
      </c>
      <c r="B18" s="3" t="s">
        <v>51</v>
      </c>
      <c r="C18" s="18">
        <f>_xll.BDH("COXK IN Equity","PROF_MARGIN","FY 2005","FY 2005","Currency=INR","Period=FY","BEST_FPERIOD_OVERRIDE=FY","FILING_STATUS=MR","EQY_CONSOLIDATED=Y","FA_ADJUSTED=GAAP","Sort=A","Dates=H","DateFormat=P","Fill=—","Direction=H","UseDPDF=Y")</f>
        <v>24.0458</v>
      </c>
      <c r="D18" s="18">
        <f>_xll.BDH("COXK IN Equity","PROF_MARGIN","FY 2006","FY 2006","Currency=INR","Period=FY","BEST_FPERIOD_OVERRIDE=FY","FILING_STATUS=MR","EQY_CONSOLIDATED=Y","FA_ADJUSTED=GAAP","Sort=A","Dates=H","DateFormat=P","Fill=—","Direction=H","UseDPDF=Y")</f>
        <v>27.501200000000001</v>
      </c>
      <c r="E18" s="18">
        <f>_xll.BDH("COXK IN Equity","PROF_MARGIN","FY 2007","FY 2007","Currency=INR","Period=FY","BEST_FPERIOD_OVERRIDE=FY","FILING_STATUS=MR","EQY_CONSOLIDATED=Y","FA_ADJUSTED=GAAP","Sort=A","Dates=H","DateFormat=P","Fill=—","Direction=H","UseDPDF=Y")</f>
        <v>30.668099999999999</v>
      </c>
      <c r="F18" s="18">
        <f>_xll.BDH("COXK IN Equity","PROF_MARGIN","FY 2008","FY 2008","Currency=INR","Period=FY","BEST_FPERIOD_OVERRIDE=FY","FILING_STATUS=MR","EQY_CONSOLIDATED=Y","FA_ADJUSTED=GAAP","Sort=A","Dates=H","DateFormat=P","Fill=—","Direction=H","UseDPDF=Y")</f>
        <v>23.3933</v>
      </c>
      <c r="G18" s="18">
        <f>_xll.BDH("COXK IN Equity","PROF_MARGIN","FY 2009","FY 2009","Currency=INR","Period=FY","BEST_FPERIOD_OVERRIDE=FY","FILING_STATUS=MR","EQY_CONSOLIDATED=Y","FA_ADJUSTED=GAAP","Sort=A","Dates=H","DateFormat=P","Fill=—","Direction=H","UseDPDF=Y")</f>
        <v>22.566700000000001</v>
      </c>
      <c r="H18" s="18">
        <f>_xll.BDH("COXK IN Equity","PROF_MARGIN","FY 2010","FY 2010","Currency=INR","Period=FY","BEST_FPERIOD_OVERRIDE=FY","FILING_STATUS=MR","EQY_CONSOLIDATED=Y","FA_ADJUSTED=GAAP","Sort=A","Dates=H","DateFormat=P","Fill=—","Direction=H","UseDPDF=Y")</f>
        <v>34.354199999999999</v>
      </c>
      <c r="I18" s="18">
        <f>_xll.BDH("COXK IN Equity","PROF_MARGIN","FY 2011","FY 2011","Currency=INR","Period=FY","BEST_FPERIOD_OVERRIDE=FY","FILING_STATUS=MR","EQY_CONSOLIDATED=Y","FA_ADJUSTED=GAAP","Sort=A","Dates=H","DateFormat=P","Fill=—","Direction=H","UseDPDF=Y")</f>
        <v>26.661200000000001</v>
      </c>
      <c r="J18" s="18">
        <f>_xll.BDH("COXK IN Equity","PROF_MARGIN","FY 2012","FY 2012","Currency=INR","Period=FY","BEST_FPERIOD_OVERRIDE=FY","FILING_STATUS=MR","EQY_CONSOLIDATED=Y","FA_ADJUSTED=GAAP","Sort=A","Dates=H","DateFormat=P","Fill=—","Direction=H","UseDPDF=Y")</f>
        <v>5.0507999999999997</v>
      </c>
      <c r="K18" s="18">
        <f>_xll.BDH("COXK IN Equity","PROF_MARGIN","FY 2013","FY 2013","Currency=INR","Period=FY","BEST_FPERIOD_OVERRIDE=FY","FILING_STATUS=MR","EQY_CONSOLIDATED=Y","FA_ADJUSTED=GAAP","Sort=A","Dates=H","DateFormat=P","Fill=—","Direction=H","UseDPDF=Y")</f>
        <v>13.934799999999999</v>
      </c>
      <c r="L18" s="18">
        <f>_xll.BDH("COXK IN Equity","PROF_MARGIN","FY 2014","FY 2014","Currency=INR","Period=FY","BEST_FPERIOD_OVERRIDE=FY","FILING_STATUS=MR","EQY_CONSOLIDATED=Y","FA_ADJUSTED=GAAP","Sort=A","Dates=H","DateFormat=P","Fill=—","Direction=H","UseDPDF=Y")</f>
        <v>16.886199999999999</v>
      </c>
      <c r="M18" s="18">
        <f>_xll.BDH("COXK IN Equity","PROF_MARGIN","FY 2015","FY 2015","Currency=INR","Period=FY","BEST_FPERIOD_OVERRIDE=FY","FILING_STATUS=MR","EQY_CONSOLIDATED=Y","FA_ADJUSTED=GAAP","Sort=A","Dates=H","DateFormat=P","Fill=—","Direction=H","UseDPDF=Y")</f>
        <v>3.6452</v>
      </c>
      <c r="N18" s="18">
        <f>_xll.BDH("COXK IN Equity","PROF_MARGIN","FY 2016","FY 2016","Currency=INR","Period=FY","BEST_FPERIOD_OVERRIDE=FY","FILING_STATUS=MR","EQY_CONSOLIDATED=Y","FA_ADJUSTED=GAAP","Sort=A","Dates=H","DateFormat=P","Fill=—","Direction=H","UseDPDF=Y")</f>
        <v>0.67779999999999996</v>
      </c>
      <c r="O18" s="18">
        <f>_xll.BDH("COXK IN Equity","PROF_MARGIN","FY 2017","FY 2017","Currency=INR","Period=FY","BEST_FPERIOD_OVERRIDE=FY","FILING_STATUS=MR","EQY_CONSOLIDATED=Y","FA_ADJUSTED=GAAP","Sort=A","Dates=H","DateFormat=P","Fill=—","Direction=H","UseDPDF=Y")</f>
        <v>2.0545</v>
      </c>
      <c r="P18" s="18">
        <f>_xll.BDH("COXK IN Equity","PROF_MARGIN","FY 2018","FY 2018","Currency=INR","Period=FY","BEST_FPERIOD_OVERRIDE=FY","FILING_STATUS=MR","EQY_CONSOLIDATED=Y","FA_ADJUSTED=GAAP","Sort=A","Dates=H","DateFormat=P","Fill=—","Direction=H","UseDPDF=Y")</f>
        <v>5.8764000000000003</v>
      </c>
      <c r="Q18" s="18">
        <f>_xll.BDH("COXK IN Equity","PROF_MARGIN","FY 2019","FY 2019","Currency=INR","Period=FY","BEST_FPERIOD_OVERRIDE=FY","FILING_STATUS=MR","EQY_CONSOLIDATED=Y","FA_ADJUSTED=GAAP","Sort=A","Dates=H","DateFormat=P","Fill=—","Direction=H","UseDPDF=Y")</f>
        <v>29.677</v>
      </c>
      <c r="R18" s="18">
        <f>_xll.BDH("COXK IN Equity","PROF_MARGIN","FY 2020","FY 2020","Currency=INR","Period=FY","BEST_FPERIOD_OVERRIDE=FY","FILING_STATUS=MR","EQY_CONSOLIDATED=Y","FA_ADJUSTED=GAAP","Sort=A","Dates=H","DateFormat=P","Fill=—","Direction=H","UseDPDF=Y")</f>
        <v>-1349.5608</v>
      </c>
    </row>
    <row r="19" spans="1:18" x14ac:dyDescent="0.25">
      <c r="A19" s="3" t="s">
        <v>52</v>
      </c>
      <c r="B19" s="3" t="s">
        <v>53</v>
      </c>
      <c r="C19" s="18">
        <f>_xll.BDH("COXK IN Equity","NET_INCOME_TO_COMMON_MARGIN","FY 2005","FY 2005","Currency=INR","Period=FY","BEST_FPERIOD_OVERRIDE=FY","FILING_STATUS=MR","EQY_CONSOLIDATED=Y","FA_ADJUSTED=GAAP","Sort=A","Dates=H","DateFormat=P","Fill=—","Direction=H","UseDPDF=Y")</f>
        <v>24.0458</v>
      </c>
      <c r="D19" s="18">
        <f>_xll.BDH("COXK IN Equity","NET_INCOME_TO_COMMON_MARGIN","FY 2006","FY 2006","Currency=INR","Period=FY","BEST_FPERIOD_OVERRIDE=FY","FILING_STATUS=MR","EQY_CONSOLIDATED=Y","FA_ADJUSTED=GAAP","Sort=A","Dates=H","DateFormat=P","Fill=—","Direction=H","UseDPDF=Y")</f>
        <v>27.501200000000001</v>
      </c>
      <c r="E19" s="18">
        <f>_xll.BDH("COXK IN Equity","NET_INCOME_TO_COMMON_MARGIN","FY 2007","FY 2007","Currency=INR","Period=FY","BEST_FPERIOD_OVERRIDE=FY","FILING_STATUS=MR","EQY_CONSOLIDATED=Y","FA_ADJUSTED=GAAP","Sort=A","Dates=H","DateFormat=P","Fill=—","Direction=H","UseDPDF=Y")</f>
        <v>30.668099999999999</v>
      </c>
      <c r="F19" s="18">
        <f>_xll.BDH("COXK IN Equity","NET_INCOME_TO_COMMON_MARGIN","FY 2008","FY 2008","Currency=INR","Period=FY","BEST_FPERIOD_OVERRIDE=FY","FILING_STATUS=MR","EQY_CONSOLIDATED=Y","FA_ADJUSTED=GAAP","Sort=A","Dates=H","DateFormat=P","Fill=—","Direction=H","UseDPDF=Y")</f>
        <v>23.3933</v>
      </c>
      <c r="G19" s="18">
        <f>_xll.BDH("COXK IN Equity","NET_INCOME_TO_COMMON_MARGIN","FY 2009","FY 2009","Currency=INR","Period=FY","BEST_FPERIOD_OVERRIDE=FY","FILING_STATUS=MR","EQY_CONSOLIDATED=Y","FA_ADJUSTED=GAAP","Sort=A","Dates=H","DateFormat=P","Fill=—","Direction=H","UseDPDF=Y")</f>
        <v>22.566700000000001</v>
      </c>
      <c r="H19" s="18">
        <f>_xll.BDH("COXK IN Equity","NET_INCOME_TO_COMMON_MARGIN","FY 2010","FY 2010","Currency=INR","Period=FY","BEST_FPERIOD_OVERRIDE=FY","FILING_STATUS=MR","EQY_CONSOLIDATED=Y","FA_ADJUSTED=GAAP","Sort=A","Dates=H","DateFormat=P","Fill=—","Direction=H","UseDPDF=Y")</f>
        <v>34.354199999999999</v>
      </c>
      <c r="I19" s="18">
        <f>_xll.BDH("COXK IN Equity","NET_INCOME_TO_COMMON_MARGIN","FY 2011","FY 2011","Currency=INR","Period=FY","BEST_FPERIOD_OVERRIDE=FY","FILING_STATUS=MR","EQY_CONSOLIDATED=Y","FA_ADJUSTED=GAAP","Sort=A","Dates=H","DateFormat=P","Fill=—","Direction=H","UseDPDF=Y")</f>
        <v>26.661200000000001</v>
      </c>
      <c r="J19" s="18">
        <f>_xll.BDH("COXK IN Equity","NET_INCOME_TO_COMMON_MARGIN","FY 2012","FY 2012","Currency=INR","Period=FY","BEST_FPERIOD_OVERRIDE=FY","FILING_STATUS=MR","EQY_CONSOLIDATED=Y","FA_ADJUSTED=GAAP","Sort=A","Dates=H","DateFormat=P","Fill=—","Direction=H","UseDPDF=Y")</f>
        <v>5.0507999999999997</v>
      </c>
      <c r="K19" s="18">
        <f>_xll.BDH("COXK IN Equity","NET_INCOME_TO_COMMON_MARGIN","FY 2013","FY 2013","Currency=INR","Period=FY","BEST_FPERIOD_OVERRIDE=FY","FILING_STATUS=MR","EQY_CONSOLIDATED=Y","FA_ADJUSTED=GAAP","Sort=A","Dates=H","DateFormat=P","Fill=—","Direction=H","UseDPDF=Y")</f>
        <v>13.934799999999999</v>
      </c>
      <c r="L19" s="18">
        <f>_xll.BDH("COXK IN Equity","NET_INCOME_TO_COMMON_MARGIN","FY 2014","FY 2014","Currency=INR","Period=FY","BEST_FPERIOD_OVERRIDE=FY","FILING_STATUS=MR","EQY_CONSOLIDATED=Y","FA_ADJUSTED=GAAP","Sort=A","Dates=H","DateFormat=P","Fill=—","Direction=H","UseDPDF=Y")</f>
        <v>16.886199999999999</v>
      </c>
      <c r="M19" s="18">
        <f>_xll.BDH("COXK IN Equity","NET_INCOME_TO_COMMON_MARGIN","FY 2015","FY 2015","Currency=INR","Period=FY","BEST_FPERIOD_OVERRIDE=FY","FILING_STATUS=MR","EQY_CONSOLIDATED=Y","FA_ADJUSTED=GAAP","Sort=A","Dates=H","DateFormat=P","Fill=—","Direction=H","UseDPDF=Y")</f>
        <v>3.6452</v>
      </c>
      <c r="N19" s="18">
        <f>_xll.BDH("COXK IN Equity","NET_INCOME_TO_COMMON_MARGIN","FY 2016","FY 2016","Currency=INR","Period=FY","BEST_FPERIOD_OVERRIDE=FY","FILING_STATUS=MR","EQY_CONSOLIDATED=Y","FA_ADJUSTED=GAAP","Sort=A","Dates=H","DateFormat=P","Fill=—","Direction=H","UseDPDF=Y")</f>
        <v>0.67779999999999996</v>
      </c>
      <c r="O19" s="18">
        <f>_xll.BDH("COXK IN Equity","NET_INCOME_TO_COMMON_MARGIN","FY 2017","FY 2017","Currency=INR","Period=FY","BEST_FPERIOD_OVERRIDE=FY","FILING_STATUS=MR","EQY_CONSOLIDATED=Y","FA_ADJUSTED=GAAP","Sort=A","Dates=H","DateFormat=P","Fill=—","Direction=H","UseDPDF=Y")</f>
        <v>2.0545</v>
      </c>
      <c r="P19" s="18">
        <f>_xll.BDH("COXK IN Equity","NET_INCOME_TO_COMMON_MARGIN","FY 2018","FY 2018","Currency=INR","Period=FY","BEST_FPERIOD_OVERRIDE=FY","FILING_STATUS=MR","EQY_CONSOLIDATED=Y","FA_ADJUSTED=GAAP","Sort=A","Dates=H","DateFormat=P","Fill=—","Direction=H","UseDPDF=Y")</f>
        <v>5.8764000000000003</v>
      </c>
      <c r="Q19" s="18">
        <f>_xll.BDH("COXK IN Equity","NET_INCOME_TO_COMMON_MARGIN","FY 2019","FY 2019","Currency=INR","Period=FY","BEST_FPERIOD_OVERRIDE=FY","FILING_STATUS=MR","EQY_CONSOLIDATED=Y","FA_ADJUSTED=GAAP","Sort=A","Dates=H","DateFormat=P","Fill=—","Direction=H","UseDPDF=Y")</f>
        <v>29.677</v>
      </c>
      <c r="R19" s="18">
        <f>_xll.BDH("COXK IN Equity","NET_INCOME_TO_COMMON_MARGIN","FY 2020","FY 2020","Currency=INR","Period=FY","BEST_FPERIOD_OVERRIDE=FY","FILING_STATUS=MR","EQY_CONSOLIDATED=Y","FA_ADJUSTED=GAAP","Sort=A","Dates=H","DateFormat=P","Fill=—","Direction=H","UseDPDF=Y")</f>
        <v>-1349.5608</v>
      </c>
    </row>
    <row r="20" spans="1:18" x14ac:dyDescent="0.25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2" t="s">
        <v>54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A22" s="3" t="s">
        <v>55</v>
      </c>
      <c r="B22" s="3" t="s">
        <v>56</v>
      </c>
      <c r="C22" s="18">
        <f>_xll.BDH("COXK IN Equity","EFF_TAX_RATE","FY 2005","FY 2005","Currency=INR","Period=FY","BEST_FPERIOD_OVERRIDE=FY","FILING_STATUS=MR","EQY_CONSOLIDATED=Y","FA_ADJUSTED=GAAP","Sort=A","Dates=H","DateFormat=P","Fill=—","Direction=H","UseDPDF=Y")</f>
        <v>14.4658</v>
      </c>
      <c r="D22" s="18">
        <f>_xll.BDH("COXK IN Equity","EFF_TAX_RATE","FY 2006","FY 2006","Currency=INR","Period=FY","BEST_FPERIOD_OVERRIDE=FY","FILING_STATUS=MR","EQY_CONSOLIDATED=Y","FA_ADJUSTED=GAAP","Sort=A","Dates=H","DateFormat=P","Fill=—","Direction=H","UseDPDF=Y")</f>
        <v>40.033299999999997</v>
      </c>
      <c r="E22" s="18">
        <f>_xll.BDH("COXK IN Equity","EFF_TAX_RATE","FY 2007","FY 2007","Currency=INR","Period=FY","BEST_FPERIOD_OVERRIDE=FY","FILING_STATUS=MR","EQY_CONSOLIDATED=Y","FA_ADJUSTED=GAAP","Sort=A","Dates=H","DateFormat=P","Fill=—","Direction=H","UseDPDF=Y")</f>
        <v>30.5076</v>
      </c>
      <c r="F22" s="18">
        <f>_xll.BDH("COXK IN Equity","EFF_TAX_RATE","FY 2008","FY 2008","Currency=INR","Period=FY","BEST_FPERIOD_OVERRIDE=FY","FILING_STATUS=MR","EQY_CONSOLIDATED=Y","FA_ADJUSTED=GAAP","Sort=A","Dates=H","DateFormat=P","Fill=—","Direction=H","UseDPDF=Y")</f>
        <v>33.791200000000003</v>
      </c>
      <c r="G22" s="18">
        <f>_xll.BDH("COXK IN Equity","EFF_TAX_RATE","FY 2009","FY 2009","Currency=INR","Period=FY","BEST_FPERIOD_OVERRIDE=FY","FILING_STATUS=MR","EQY_CONSOLIDATED=Y","FA_ADJUSTED=GAAP","Sort=A","Dates=H","DateFormat=P","Fill=—","Direction=H","UseDPDF=Y")</f>
        <v>35.453299999999999</v>
      </c>
      <c r="H22" s="18">
        <f>_xll.BDH("COXK IN Equity","EFF_TAX_RATE","FY 2010","FY 2010","Currency=INR","Period=FY","BEST_FPERIOD_OVERRIDE=FY","FILING_STATUS=MR","EQY_CONSOLIDATED=Y","FA_ADJUSTED=GAAP","Sort=A","Dates=H","DateFormat=P","Fill=—","Direction=H","UseDPDF=Y")</f>
        <v>27.716699999999999</v>
      </c>
      <c r="I22" s="18">
        <f>_xll.BDH("COXK IN Equity","EFF_TAX_RATE","FY 2011","FY 2011","Currency=INR","Period=FY","BEST_FPERIOD_OVERRIDE=FY","FILING_STATUS=MR","EQY_CONSOLIDATED=Y","FA_ADJUSTED=GAAP","Sort=A","Dates=H","DateFormat=P","Fill=—","Direction=H","UseDPDF=Y")</f>
        <v>32.377000000000002</v>
      </c>
      <c r="J22" s="18">
        <f>_xll.BDH("COXK IN Equity","EFF_TAX_RATE","FY 2012","FY 2012","Currency=INR","Period=FY","BEST_FPERIOD_OVERRIDE=FY","FILING_STATUS=MR","EQY_CONSOLIDATED=Y","FA_ADJUSTED=GAAP","Sort=A","Dates=H","DateFormat=P","Fill=—","Direction=H","UseDPDF=Y")</f>
        <v>60.741799999999998</v>
      </c>
      <c r="K22" s="18">
        <f>_xll.BDH("COXK IN Equity","EFF_TAX_RATE","FY 2013","FY 2013","Currency=INR","Period=FY","BEST_FPERIOD_OVERRIDE=FY","FILING_STATUS=MR","EQY_CONSOLIDATED=Y","FA_ADJUSTED=GAAP","Sort=A","Dates=H","DateFormat=P","Fill=—","Direction=H","UseDPDF=Y")</f>
        <v>25.4619</v>
      </c>
      <c r="L22" s="18">
        <f>_xll.BDH("COXK IN Equity","EFF_TAX_RATE","FY 2014","FY 2014","Currency=INR","Period=FY","BEST_FPERIOD_OVERRIDE=FY","FILING_STATUS=MR","EQY_CONSOLIDATED=Y","FA_ADJUSTED=GAAP","Sort=A","Dates=H","DateFormat=P","Fill=—","Direction=H","UseDPDF=Y")</f>
        <v>26.7849</v>
      </c>
      <c r="M22" s="18">
        <f>_xll.BDH("COXK IN Equity","EFF_TAX_RATE","FY 2015","FY 2015","Currency=INR","Period=FY","BEST_FPERIOD_OVERRIDE=FY","FILING_STATUS=MR","EQY_CONSOLIDATED=Y","FA_ADJUSTED=GAAP","Sort=A","Dates=H","DateFormat=P","Fill=—","Direction=H","UseDPDF=Y")</f>
        <v>61.3123</v>
      </c>
      <c r="N22" s="18">
        <f>_xll.BDH("COXK IN Equity","EFF_TAX_RATE","FY 2016","FY 2016","Currency=INR","Period=FY","BEST_FPERIOD_OVERRIDE=FY","FILING_STATUS=MR","EQY_CONSOLIDATED=Y","FA_ADJUSTED=GAAP","Sort=A","Dates=H","DateFormat=P","Fill=—","Direction=H","UseDPDF=Y")</f>
        <v>105.9926</v>
      </c>
      <c r="O22" s="18">
        <f>_xll.BDH("COXK IN Equity","EFF_TAX_RATE","FY 2017","FY 2017","Currency=INR","Period=FY","BEST_FPERIOD_OVERRIDE=FY","FILING_STATUS=MR","EQY_CONSOLIDATED=Y","FA_ADJUSTED=GAAP","Sort=A","Dates=H","DateFormat=P","Fill=—","Direction=H","UseDPDF=Y")</f>
        <v>44.8551</v>
      </c>
      <c r="P22" s="18">
        <f>_xll.BDH("COXK IN Equity","EFF_TAX_RATE","FY 2018","FY 2018","Currency=INR","Period=FY","BEST_FPERIOD_OVERRIDE=FY","FILING_STATUS=MR","EQY_CONSOLIDATED=Y","FA_ADJUSTED=GAAP","Sort=A","Dates=H","DateFormat=P","Fill=—","Direction=H","UseDPDF=Y")</f>
        <v>33.359400000000001</v>
      </c>
      <c r="Q22" s="18">
        <f>_xll.BDH("COXK IN Equity","EFF_TAX_RATE","FY 2019","FY 2019","Currency=INR","Period=FY","BEST_FPERIOD_OVERRIDE=FY","FILING_STATUS=MR","EQY_CONSOLIDATED=Y","FA_ADJUSTED=GAAP","Sort=A","Dates=H","DateFormat=P","Fill=—","Direction=H","UseDPDF=Y")</f>
        <v>8.5419999999999998</v>
      </c>
      <c r="R22" s="18" t="str">
        <f>_xll.BDH("COXK IN Equity","EFF_TAX_RATE","FY 2020","FY 2020","Currency=INR","Period=FY","BEST_FPERIOD_OVERRIDE=FY","FILING_STATUS=MR","EQY_CONSOLIDATED=Y","FA_ADJUSTED=GAAP","Sort=A","Dates=H","DateFormat=P","Fill=—","Direction=H","UseDPDF=Y")</f>
        <v>—</v>
      </c>
    </row>
    <row r="23" spans="1:18" x14ac:dyDescent="0.25">
      <c r="A23" s="3" t="s">
        <v>57</v>
      </c>
      <c r="B23" s="3" t="s">
        <v>58</v>
      </c>
      <c r="C23" s="18">
        <f>_xll.BDH("COXK IN Equity","DVD_PAYOUT_RATIO","FY 2005","FY 2005","Currency=INR","Period=FY","BEST_FPERIOD_OVERRIDE=FY","FILING_STATUS=MR","EQY_CONSOLIDATED=Y","FA_ADJUSTED=GAAP","Sort=A","Dates=H","DateFormat=P","Fill=—","Direction=H","UseDPDF=Y")</f>
        <v>0.62309999999999999</v>
      </c>
      <c r="D23" s="18">
        <f>_xll.BDH("COXK IN Equity","DVD_PAYOUT_RATIO","FY 2006","FY 2006","Currency=INR","Period=FY","BEST_FPERIOD_OVERRIDE=FY","FILING_STATUS=MR","EQY_CONSOLIDATED=Y","FA_ADJUSTED=GAAP","Sort=A","Dates=H","DateFormat=P","Fill=—","Direction=H","UseDPDF=Y")</f>
        <v>3.5268000000000002</v>
      </c>
      <c r="E23" s="18">
        <f>_xll.BDH("COXK IN Equity","DVD_PAYOUT_RATIO","FY 2007","FY 2007","Currency=INR","Period=FY","BEST_FPERIOD_OVERRIDE=FY","FILING_STATUS=MR","EQY_CONSOLIDATED=Y","FA_ADJUSTED=GAAP","Sort=A","Dates=H","DateFormat=P","Fill=—","Direction=H","UseDPDF=Y")</f>
        <v>1.2814000000000001</v>
      </c>
      <c r="F23" s="18">
        <f>_xll.BDH("COXK IN Equity","DVD_PAYOUT_RATIO","FY 2008","FY 2008","Currency=INR","Period=FY","BEST_FPERIOD_OVERRIDE=FY","FILING_STATUS=MR","EQY_CONSOLIDATED=Y","FA_ADJUSTED=GAAP","Sort=A","Dates=H","DateFormat=P","Fill=—","Direction=H","UseDPDF=Y")</f>
        <v>1.3120000000000001</v>
      </c>
      <c r="G23" s="18">
        <f>_xll.BDH("COXK IN Equity","DVD_PAYOUT_RATIO","FY 2009","FY 2009","Currency=INR","Period=FY","BEST_FPERIOD_OVERRIDE=FY","FILING_STATUS=MR","EQY_CONSOLIDATED=Y","FA_ADJUSTED=GAAP","Sort=A","Dates=H","DateFormat=P","Fill=—","Direction=H","UseDPDF=Y")</f>
        <v>0.88919999999999999</v>
      </c>
      <c r="H23" s="18">
        <f>_xll.BDH("COXK IN Equity","DVD_PAYOUT_RATIO","FY 2010","FY 2010","Currency=INR","Period=FY","BEST_FPERIOD_OVERRIDE=FY","FILING_STATUS=MR","EQY_CONSOLIDATED=Y","FA_ADJUSTED=GAAP","Sort=A","Dates=H","DateFormat=P","Fill=—","Direction=H","UseDPDF=Y")</f>
        <v>4.7009999999999996</v>
      </c>
      <c r="I23" s="18">
        <f>_xll.BDH("COXK IN Equity","DVD_PAYOUT_RATIO","FY 2011","FY 2011","Currency=INR","Period=FY","BEST_FPERIOD_OVERRIDE=FY","FILING_STATUS=MR","EQY_CONSOLIDATED=Y","FA_ADJUSTED=GAAP","Sort=A","Dates=H","DateFormat=P","Fill=—","Direction=H","UseDPDF=Y")</f>
        <v>5.2912999999999997</v>
      </c>
      <c r="J23" s="18">
        <f>_xll.BDH("COXK IN Equity","DVD_PAYOUT_RATIO","FY 2012","FY 2012","Currency=INR","Period=FY","BEST_FPERIOD_OVERRIDE=FY","FILING_STATUS=MR","EQY_CONSOLIDATED=Y","FA_ADJUSTED=GAAP","Sort=A","Dates=H","DateFormat=P","Fill=—","Direction=H","UseDPDF=Y")</f>
        <v>32.804600000000001</v>
      </c>
      <c r="K23" s="18">
        <f>_xll.BDH("COXK IN Equity","DVD_PAYOUT_RATIO","FY 2013","FY 2013","Currency=INR","Period=FY","BEST_FPERIOD_OVERRIDE=FY","FILING_STATUS=MR","EQY_CONSOLIDATED=Y","FA_ADJUSTED=GAAP","Sort=A","Dates=H","DateFormat=P","Fill=—","Direction=H","UseDPDF=Y")</f>
        <v>5.4946999999999999</v>
      </c>
      <c r="L23" s="18">
        <f>_xll.BDH("COXK IN Equity","DVD_PAYOUT_RATIO","FY 2014","FY 2014","Currency=INR","Period=FY","BEST_FPERIOD_OVERRIDE=FY","FILING_STATUS=MR","EQY_CONSOLIDATED=Y","FA_ADJUSTED=GAAP","Sort=A","Dates=H","DateFormat=P","Fill=—","Direction=H","UseDPDF=Y")</f>
        <v>3.5623999999999998</v>
      </c>
      <c r="M23" s="18">
        <f>_xll.BDH("COXK IN Equity","DVD_PAYOUT_RATIO","FY 2015","FY 2015","Currency=INR","Period=FY","BEST_FPERIOD_OVERRIDE=FY","FILING_STATUS=MR","EQY_CONSOLIDATED=Y","FA_ADJUSTED=GAAP","Sort=A","Dates=H","DateFormat=P","Fill=—","Direction=H","UseDPDF=Y")</f>
        <v>18.446300000000001</v>
      </c>
      <c r="N23" s="18">
        <f>_xll.BDH("COXK IN Equity","DVD_PAYOUT_RATIO","FY 2016","FY 2016","Currency=INR","Period=FY","BEST_FPERIOD_OVERRIDE=FY","FILING_STATUS=MR","EQY_CONSOLIDATED=Y","FA_ADJUSTED=GAAP","Sort=A","Dates=H","DateFormat=P","Fill=—","Direction=H","UseDPDF=Y")</f>
        <v>33.405700000000003</v>
      </c>
      <c r="O23" s="18">
        <f>_xll.BDH("COXK IN Equity","DVD_PAYOUT_RATIO","FY 2017","FY 2017","Currency=INR","Period=FY","BEST_FPERIOD_OVERRIDE=FY","FILING_STATUS=MR","EQY_CONSOLIDATED=Y","FA_ADJUSTED=GAAP","Sort=A","Dates=H","DateFormat=P","Fill=—","Direction=H","UseDPDF=Y")</f>
        <v>12.013500000000001</v>
      </c>
      <c r="P23" s="18">
        <f>_xll.BDH("COXK IN Equity","DVD_PAYOUT_RATIO","FY 2018","FY 2018","Currency=INR","Period=FY","BEST_FPERIOD_OVERRIDE=FY","FILING_STATUS=MR","EQY_CONSOLIDATED=Y","FA_ADJUSTED=GAAP","Sort=A","Dates=H","DateFormat=P","Fill=—","Direction=H","UseDPDF=Y")</f>
        <v>4.6879999999999997</v>
      </c>
      <c r="Q23" s="18" t="str">
        <f>_xll.BDH("COXK IN Equity","DVD_PAYOUT_RATIO","FY 2019","FY 2019","Currency=INR","Period=FY","BEST_FPERIOD_OVERRIDE=FY","FILING_STATUS=MR","EQY_CONSOLIDATED=Y","FA_ADJUSTED=GAAP","Sort=A","Dates=H","DateFormat=P","Fill=—","Direction=H","UseDPDF=Y")</f>
        <v>—</v>
      </c>
      <c r="R23" s="18" t="str">
        <f>_xll.BDH("COXK IN Equity","DVD_PAYOUT_RATIO","FY 2020","FY 2020","Currency=INR","Period=FY","BEST_FPERIOD_OVERRIDE=FY","FILING_STATUS=MR","EQY_CONSOLIDATED=Y","FA_ADJUSTED=GAAP","Sort=A","Dates=H","DateFormat=P","Fill=—","Direction=H","UseDPDF=Y")</f>
        <v>—</v>
      </c>
    </row>
    <row r="24" spans="1:18" x14ac:dyDescent="0.25">
      <c r="A24" s="3" t="s">
        <v>59</v>
      </c>
      <c r="B24" s="3" t="s">
        <v>60</v>
      </c>
      <c r="C24" s="18" t="str">
        <f>_xll.BDH("COXK IN Equity","SUSTAIN_GROWTH_RT","FY 2005","FY 2005","Currency=INR","Period=FY","BEST_FPERIOD_OVERRIDE=FY","FILING_STATUS=MR","EQY_CONSOLIDATED=Y","FA_ADJUSTED=GAAP","Sort=A","Dates=H","DateFormat=P","Fill=—","Direction=H","UseDPDF=Y")</f>
        <v>—</v>
      </c>
      <c r="D24" s="18">
        <f>_xll.BDH("COXK IN Equity","SUSTAIN_GROWTH_RT","FY 2006","FY 2006","Currency=INR","Period=FY","BEST_FPERIOD_OVERRIDE=FY","FILING_STATUS=MR","EQY_CONSOLIDATED=Y","FA_ADJUSTED=GAAP","Sort=A","Dates=H","DateFormat=P","Fill=—","Direction=H","UseDPDF=Y")</f>
        <v>49.671700000000001</v>
      </c>
      <c r="E24" s="18">
        <f>_xll.BDH("COXK IN Equity","SUSTAIN_GROWTH_RT","FY 2007","FY 2007","Currency=INR","Period=FY","BEST_FPERIOD_OVERRIDE=FY","FILING_STATUS=MR","EQY_CONSOLIDATED=Y","FA_ADJUSTED=GAAP","Sort=A","Dates=H","DateFormat=P","Fill=—","Direction=H","UseDPDF=Y")</f>
        <v>43.0321</v>
      </c>
      <c r="F24" s="18">
        <f>_xll.BDH("COXK IN Equity","SUSTAIN_GROWTH_RT","FY 2008","FY 2008","Currency=INR","Period=FY","BEST_FPERIOD_OVERRIDE=FY","FILING_STATUS=MR","EQY_CONSOLIDATED=Y","FA_ADJUSTED=GAAP","Sort=A","Dates=H","DateFormat=P","Fill=—","Direction=H","UseDPDF=Y")</f>
        <v>33.803899999999999</v>
      </c>
      <c r="G24" s="18">
        <f>_xll.BDH("COXK IN Equity","SUSTAIN_GROWTH_RT","FY 2009","FY 2009","Currency=INR","Period=FY","BEST_FPERIOD_OVERRIDE=FY","FILING_STATUS=MR","EQY_CONSOLIDATED=Y","FA_ADJUSTED=GAAP","Sort=A","Dates=H","DateFormat=P","Fill=—","Direction=H","UseDPDF=Y")</f>
        <v>31.6556</v>
      </c>
      <c r="H24" s="18">
        <f>_xll.BDH("COXK IN Equity","SUSTAIN_GROWTH_RT","FY 2010","FY 2010","Currency=INR","Period=FY","BEST_FPERIOD_OVERRIDE=FY","FILING_STATUS=MR","EQY_CONSOLIDATED=Y","FA_ADJUSTED=GAAP","Sort=A","Dates=H","DateFormat=P","Fill=—","Direction=H","UseDPDF=Y")</f>
        <v>24.59</v>
      </c>
      <c r="I24" s="18">
        <f>_xll.BDH("COXK IN Equity","SUSTAIN_GROWTH_RT","FY 2011","FY 2011","Currency=INR","Period=FY","BEST_FPERIOD_OVERRIDE=FY","FILING_STATUS=MR","EQY_CONSOLIDATED=Y","FA_ADJUSTED=GAAP","Sort=A","Dates=H","DateFormat=P","Fill=—","Direction=H","UseDPDF=Y")</f>
        <v>12.116199999999999</v>
      </c>
      <c r="J24" s="18">
        <f>_xll.BDH("COXK IN Equity","SUSTAIN_GROWTH_RT","FY 2012","FY 2012","Currency=INR","Period=FY","BEST_FPERIOD_OVERRIDE=FY","FILING_STATUS=MR","EQY_CONSOLIDATED=Y","FA_ADJUSTED=GAAP","Sort=A","Dates=H","DateFormat=P","Fill=—","Direction=H","UseDPDF=Y")</f>
        <v>2.3298000000000001</v>
      </c>
      <c r="K24" s="18">
        <f>_xll.BDH("COXK IN Equity","SUSTAIN_GROWTH_RT","FY 2013","FY 2013","Currency=INR","Period=FY","BEST_FPERIOD_OVERRIDE=FY","FILING_STATUS=MR","EQY_CONSOLIDATED=Y","FA_ADJUSTED=GAAP","Sort=A","Dates=H","DateFormat=P","Fill=—","Direction=H","UseDPDF=Y")</f>
        <v>18.6449</v>
      </c>
      <c r="L24" s="18">
        <f>_xll.BDH("COXK IN Equity","SUSTAIN_GROWTH_RT","FY 2014","FY 2014","Currency=INR","Period=FY","BEST_FPERIOD_OVERRIDE=FY","FILING_STATUS=MR","EQY_CONSOLIDATED=Y","FA_ADJUSTED=GAAP","Sort=A","Dates=H","DateFormat=P","Fill=—","Direction=H","UseDPDF=Y")</f>
        <v>23.988099999999999</v>
      </c>
      <c r="M24" s="18">
        <f>_xll.BDH("COXK IN Equity","SUSTAIN_GROWTH_RT","FY 2015","FY 2015","Currency=INR","Period=FY","BEST_FPERIOD_OVERRIDE=FY","FILING_STATUS=MR","EQY_CONSOLIDATED=Y","FA_ADJUSTED=GAAP","Sort=A","Dates=H","DateFormat=P","Fill=—","Direction=H","UseDPDF=Y")</f>
        <v>3.4350999999999998</v>
      </c>
      <c r="N24" s="18">
        <f>_xll.BDH("COXK IN Equity","SUSTAIN_GROWTH_RT","FY 2016","FY 2016","Currency=INR","Period=FY","BEST_FPERIOD_OVERRIDE=FY","FILING_STATUS=MR","EQY_CONSOLIDATED=Y","FA_ADJUSTED=GAAP","Sort=A","Dates=H","DateFormat=P","Fill=—","Direction=H","UseDPDF=Y")</f>
        <v>1.3331999999999999</v>
      </c>
      <c r="O24" s="18">
        <f>_xll.BDH("COXK IN Equity","SUSTAIN_GROWTH_RT","FY 2017","FY 2017","Currency=INR","Period=FY","BEST_FPERIOD_OVERRIDE=FY","FILING_STATUS=MR","EQY_CONSOLIDATED=Y","FA_ADJUSTED=GAAP","Sort=A","Dates=H","DateFormat=P","Fill=—","Direction=H","UseDPDF=Y")</f>
        <v>5.1113</v>
      </c>
      <c r="P24" s="18">
        <f>_xll.BDH("COXK IN Equity","SUSTAIN_GROWTH_RT","FY 2018","FY 2018","Currency=INR","Period=FY","BEST_FPERIOD_OVERRIDE=FY","FILING_STATUS=MR","EQY_CONSOLIDATED=Y","FA_ADJUSTED=GAAP","Sort=A","Dates=H","DateFormat=P","Fill=—","Direction=H","UseDPDF=Y")</f>
        <v>12.2044</v>
      </c>
      <c r="Q24" s="18" t="str">
        <f>_xll.BDH("COXK IN Equity","SUSTAIN_GROWTH_RT","FY 2019","FY 2019","Currency=INR","Period=FY","BEST_FPERIOD_OVERRIDE=FY","FILING_STATUS=MR","EQY_CONSOLIDATED=Y","FA_ADJUSTED=GAAP","Sort=A","Dates=H","DateFormat=P","Fill=—","Direction=H","UseDPDF=Y")</f>
        <v>—</v>
      </c>
      <c r="R24" s="18" t="str">
        <f>_xll.BDH("COXK IN Equity","SUSTAIN_GROWTH_RT","FY 2020","FY 2020","Currency=INR","Period=FY","BEST_FPERIOD_OVERRIDE=FY","FILING_STATUS=MR","EQY_CONSOLIDATED=Y","FA_ADJUSTED=GAAP","Sort=A","Dates=H","DateFormat=P","Fill=—","Direction=H","UseDPDF=Y")</f>
        <v>—</v>
      </c>
    </row>
    <row r="25" spans="1:18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C545-8036-443F-9EFA-094C6E8D291D}">
  <dimension ref="A1:N25"/>
  <sheetViews>
    <sheetView workbookViewId="0">
      <selection activeCell="E34" sqref="E34"/>
    </sheetView>
  </sheetViews>
  <sheetFormatPr defaultRowHeight="15" x14ac:dyDescent="0.25"/>
  <cols>
    <col min="1" max="1" width="35.140625" customWidth="1"/>
    <col min="2" max="2" width="0" hidden="1" customWidth="1"/>
    <col min="3" max="14" width="11.85546875" customWidth="1"/>
  </cols>
  <sheetData>
    <row r="1" spans="1:14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20.25" x14ac:dyDescent="0.25">
      <c r="A2" s="14" t="s">
        <v>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6" t="s">
        <v>3</v>
      </c>
      <c r="B4" s="6"/>
      <c r="C4" s="5" t="s">
        <v>4</v>
      </c>
      <c r="D4" s="5" t="s">
        <v>5</v>
      </c>
      <c r="E4" s="5" t="s">
        <v>6</v>
      </c>
      <c r="F4" s="5" t="s">
        <v>1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</row>
    <row r="5" spans="1:14" x14ac:dyDescent="0.25">
      <c r="A5" s="15" t="s">
        <v>15</v>
      </c>
      <c r="B5" s="15"/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</row>
    <row r="6" spans="1:14" x14ac:dyDescent="0.25">
      <c r="A6" s="3" t="s">
        <v>63</v>
      </c>
      <c r="B6" s="3" t="s">
        <v>64</v>
      </c>
      <c r="C6" s="18">
        <f>_xll.BDH("SCS IN Equity","CASH_RATIO","FY 2002","FY 2002","Currency=INR","Period=FY","BEST_FPERIOD_OVERRIDE=FY","FILING_STATUS=MR","EQY_CONSOLIDATED=Y","Sort=A","Dates=H","DateFormat=P","Fill=—","Direction=H","UseDPDF=Y")</f>
        <v>4.0688000000000004</v>
      </c>
      <c r="D6" s="18">
        <f>_xll.BDH("SCS IN Equity","CASH_RATIO","FY 2003","FY 2003","Currency=INR","Period=FY","BEST_FPERIOD_OVERRIDE=FY","FILING_STATUS=MR","EQY_CONSOLIDATED=Y","Sort=A","Dates=H","DateFormat=P","Fill=—","Direction=H","UseDPDF=Y")</f>
        <v>4.0891000000000002</v>
      </c>
      <c r="E6" s="18">
        <f>_xll.BDH("SCS IN Equity","CASH_RATIO","FY 2004","FY 2004","Currency=INR","Period=FY","BEST_FPERIOD_OVERRIDE=FY","FILING_STATUS=MR","EQY_CONSOLIDATED=Y","Sort=A","Dates=H","DateFormat=P","Fill=—","Direction=H","UseDPDF=Y")</f>
        <v>5.4275000000000002</v>
      </c>
      <c r="F6" s="18">
        <f>_xll.BDH("SCS IN Equity","CASH_RATIO","FY 2005","FY 2005","Currency=INR","Period=FY","BEST_FPERIOD_OVERRIDE=FY","FILING_STATUS=MR","EQY_CONSOLIDATED=Y","Sort=A","Dates=H","DateFormat=P","Fill=—","Direction=H","UseDPDF=Y")</f>
        <v>5.1504000000000003</v>
      </c>
      <c r="G6" s="18">
        <f>_xll.BDH("SCS IN Equity","CASH_RATIO","FY 2006","FY 2006","Currency=INR","Period=FY","BEST_FPERIOD_OVERRIDE=FY","FILING_STATUS=MR","EQY_CONSOLIDATED=Y","Sort=A","Dates=H","DateFormat=P","Fill=—","Direction=H","UseDPDF=Y")</f>
        <v>4.1086999999999998</v>
      </c>
      <c r="H6" s="18">
        <f>_xll.BDH("SCS IN Equity","CASH_RATIO","FY 2007","FY 2007","Currency=INR","Period=FY","BEST_FPERIOD_OVERRIDE=FY","FILING_STATUS=MR","EQY_CONSOLIDATED=Y","Sort=A","Dates=H","DateFormat=P","Fill=—","Direction=H","UseDPDF=Y")</f>
        <v>3.9205000000000001</v>
      </c>
      <c r="I6" s="18">
        <f>_xll.BDH("SCS IN Equity","CASH_RATIO","FY 2008","FY 2008","Currency=INR","Period=FY","BEST_FPERIOD_OVERRIDE=FY","FILING_STATUS=MR","EQY_CONSOLIDATED=Y","Sort=A","Dates=H","DateFormat=P","Fill=—","Direction=H","UseDPDF=Y")</f>
        <v>2.8426</v>
      </c>
      <c r="J6" s="18">
        <f>_xll.BDH("SCS IN Equity","CASH_RATIO","FY 2009","FY 2009","Currency=INR","Period=FY","BEST_FPERIOD_OVERRIDE=FY","FILING_STATUS=MR","EQY_CONSOLIDATED=Y","Sort=A","Dates=H","DateFormat=P","Fill=—","Direction=H","UseDPDF=Y")</f>
        <v>0.14860000000000001</v>
      </c>
      <c r="K6" s="18">
        <f>_xll.BDH("SCS IN Equity","CASH_RATIO","FY 2010","FY 2010","Currency=INR","Period=FY","BEST_FPERIOD_OVERRIDE=FY","FILING_STATUS=MR","EQY_CONSOLIDATED=Y","Sort=A","Dates=H","DateFormat=P","Fill=—","Direction=H","UseDPDF=Y")</f>
        <v>1.1553</v>
      </c>
      <c r="L6" s="18">
        <f>_xll.BDH("SCS IN Equity","CASH_RATIO","FY 2011","FY 2011","Currency=INR","Period=FY","BEST_FPERIOD_OVERRIDE=FY","FILING_STATUS=MR","EQY_CONSOLIDATED=Y","Sort=A","Dates=H","DateFormat=P","Fill=—","Direction=H","UseDPDF=Y")</f>
        <v>1.2967</v>
      </c>
      <c r="M6" s="18">
        <f>_xll.BDH("SCS IN Equity","CASH_RATIO","FY 2012","FY 2012","Currency=INR","Period=FY","BEST_FPERIOD_OVERRIDE=FY","FILING_STATUS=MR","EQY_CONSOLIDATED=Y","Sort=A","Dates=H","DateFormat=P","Fill=—","Direction=H","UseDPDF=Y")</f>
        <v>1.2094</v>
      </c>
      <c r="N6" s="18">
        <f>_xll.BDH("SCS IN Equity","CASH_RATIO","FY 2013","FY 2013","Currency=INR","Period=FY","BEST_FPERIOD_OVERRIDE=FY","FILING_STATUS=MR","EQY_CONSOLIDATED=Y","Sort=A","Dates=H","DateFormat=P","Fill=—","Direction=H","UseDPDF=Y")</f>
        <v>1.2396</v>
      </c>
    </row>
    <row r="7" spans="1:14" x14ac:dyDescent="0.25">
      <c r="A7" s="3" t="s">
        <v>65</v>
      </c>
      <c r="B7" s="3" t="s">
        <v>66</v>
      </c>
      <c r="C7" s="18">
        <f>_xll.BDH("SCS IN Equity","CUR_RATIO","FY 2002","FY 2002","Currency=INR","Period=FY","BEST_FPERIOD_OVERRIDE=FY","FILING_STATUS=MR","EQY_CONSOLIDATED=Y","Sort=A","Dates=H","DateFormat=P","Fill=—","Direction=H","UseDPDF=Y")</f>
        <v>5.8855000000000004</v>
      </c>
      <c r="D7" s="18">
        <f>_xll.BDH("SCS IN Equity","CUR_RATIO","FY 2003","FY 2003","Currency=INR","Period=FY","BEST_FPERIOD_OVERRIDE=FY","FILING_STATUS=MR","EQY_CONSOLIDATED=Y","Sort=A","Dates=H","DateFormat=P","Fill=—","Direction=H","UseDPDF=Y")</f>
        <v>5.7171000000000003</v>
      </c>
      <c r="E7" s="18">
        <f>_xll.BDH("SCS IN Equity","CUR_RATIO","FY 2004","FY 2004","Currency=INR","Period=FY","BEST_FPERIOD_OVERRIDE=FY","FILING_STATUS=MR","EQY_CONSOLIDATED=Y","Sort=A","Dates=H","DateFormat=P","Fill=—","Direction=H","UseDPDF=Y")</f>
        <v>7.6029</v>
      </c>
      <c r="F7" s="18">
        <f>_xll.BDH("SCS IN Equity","CUR_RATIO","FY 2005","FY 2005","Currency=INR","Period=FY","BEST_FPERIOD_OVERRIDE=FY","FILING_STATUS=MR","EQY_CONSOLIDATED=Y","Sort=A","Dates=H","DateFormat=P","Fill=—","Direction=H","UseDPDF=Y")</f>
        <v>7.3708</v>
      </c>
      <c r="G7" s="18">
        <f>_xll.BDH("SCS IN Equity","CUR_RATIO","FY 2006","FY 2006","Currency=INR","Period=FY","BEST_FPERIOD_OVERRIDE=FY","FILING_STATUS=MR","EQY_CONSOLIDATED=Y","Sort=A","Dates=H","DateFormat=P","Fill=—","Direction=H","UseDPDF=Y")</f>
        <v>6.0510000000000002</v>
      </c>
      <c r="H7" s="18">
        <f>_xll.BDH("SCS IN Equity","CUR_RATIO","FY 2007","FY 2007","Currency=INR","Period=FY","BEST_FPERIOD_OVERRIDE=FY","FILING_STATUS=MR","EQY_CONSOLIDATED=Y","Sort=A","Dates=H","DateFormat=P","Fill=—","Direction=H","UseDPDF=Y")</f>
        <v>5.7912999999999997</v>
      </c>
      <c r="I7" s="18">
        <f>_xll.BDH("SCS IN Equity","CUR_RATIO","FY 2008","FY 2008","Currency=INR","Period=FY","BEST_FPERIOD_OVERRIDE=FY","FILING_STATUS=MR","EQY_CONSOLIDATED=Y","Sort=A","Dates=H","DateFormat=P","Fill=—","Direction=H","UseDPDF=Y")</f>
        <v>4.766</v>
      </c>
      <c r="J7" s="18">
        <f>_xll.BDH("SCS IN Equity","CUR_RATIO","FY 2009","FY 2009","Currency=INR","Period=FY","BEST_FPERIOD_OVERRIDE=FY","FILING_STATUS=MR","EQY_CONSOLIDATED=Y","Sort=A","Dates=H","DateFormat=P","Fill=—","Direction=H","UseDPDF=Y")</f>
        <v>0.83379999999999999</v>
      </c>
      <c r="K7" s="18">
        <f>_xll.BDH("SCS IN Equity","CUR_RATIO","FY 2010","FY 2010","Currency=INR","Period=FY","BEST_FPERIOD_OVERRIDE=FY","FILING_STATUS=MR","EQY_CONSOLIDATED=Y","Sort=A","Dates=H","DateFormat=P","Fill=—","Direction=H","UseDPDF=Y")</f>
        <v>1.8938999999999999</v>
      </c>
      <c r="L7" s="18">
        <f>_xll.BDH("SCS IN Equity","CUR_RATIO","FY 2011","FY 2011","Currency=INR","Period=FY","BEST_FPERIOD_OVERRIDE=FY","FILING_STATUS=MR","EQY_CONSOLIDATED=Y","Sort=A","Dates=H","DateFormat=P","Fill=—","Direction=H","UseDPDF=Y")</f>
        <v>2.0363000000000002</v>
      </c>
      <c r="M7" s="18">
        <f>_xll.BDH("SCS IN Equity","CUR_RATIO","FY 2012","FY 2012","Currency=INR","Period=FY","BEST_FPERIOD_OVERRIDE=FY","FILING_STATUS=MR","EQY_CONSOLIDATED=Y","Sort=A","Dates=H","DateFormat=P","Fill=—","Direction=H","UseDPDF=Y")</f>
        <v>2.3107000000000002</v>
      </c>
      <c r="N7" s="18">
        <f>_xll.BDH("SCS IN Equity","CUR_RATIO","FY 2013","FY 2013","Currency=INR","Period=FY","BEST_FPERIOD_OVERRIDE=FY","FILING_STATUS=MR","EQY_CONSOLIDATED=Y","Sort=A","Dates=H","DateFormat=P","Fill=—","Direction=H","UseDPDF=Y")</f>
        <v>2.6602000000000001</v>
      </c>
    </row>
    <row r="8" spans="1:14" x14ac:dyDescent="0.25">
      <c r="A8" s="3" t="s">
        <v>67</v>
      </c>
      <c r="B8" s="3" t="s">
        <v>68</v>
      </c>
      <c r="C8" s="18">
        <f>_xll.BDH("SCS IN Equity","QUICK_RATIO","FY 2002","FY 2002","Currency=INR","Period=FY","BEST_FPERIOD_OVERRIDE=FY","FILING_STATUS=MR","EQY_CONSOLIDATED=Y","Sort=A","Dates=H","DateFormat=P","Fill=—","Direction=H","UseDPDF=Y")</f>
        <v>5.6181999999999999</v>
      </c>
      <c r="D8" s="18">
        <f>_xll.BDH("SCS IN Equity","QUICK_RATIO","FY 2003","FY 2003","Currency=INR","Period=FY","BEST_FPERIOD_OVERRIDE=FY","FILING_STATUS=MR","EQY_CONSOLIDATED=Y","Sort=A","Dates=H","DateFormat=P","Fill=—","Direction=H","UseDPDF=Y")</f>
        <v>5.4009</v>
      </c>
      <c r="E8" s="18">
        <f>_xll.BDH("SCS IN Equity","QUICK_RATIO","FY 2004","FY 2004","Currency=INR","Period=FY","BEST_FPERIOD_OVERRIDE=FY","FILING_STATUS=MR","EQY_CONSOLIDATED=Y","Sort=A","Dates=H","DateFormat=P","Fill=—","Direction=H","UseDPDF=Y")</f>
        <v>7.1844999999999999</v>
      </c>
      <c r="F8" s="18">
        <f>_xll.BDH("SCS IN Equity","QUICK_RATIO","FY 2005","FY 2005","Currency=INR","Period=FY","BEST_FPERIOD_OVERRIDE=FY","FILING_STATUS=MR","EQY_CONSOLIDATED=Y","Sort=A","Dates=H","DateFormat=P","Fill=—","Direction=H","UseDPDF=Y")</f>
        <v>6.8989000000000003</v>
      </c>
      <c r="G8" s="18">
        <f>_xll.BDH("SCS IN Equity","QUICK_RATIO","FY 2006","FY 2006","Currency=INR","Period=FY","BEST_FPERIOD_OVERRIDE=FY","FILING_STATUS=MR","EQY_CONSOLIDATED=Y","Sort=A","Dates=H","DateFormat=P","Fill=—","Direction=H","UseDPDF=Y")</f>
        <v>5.6539999999999999</v>
      </c>
      <c r="H8" s="18">
        <f>_xll.BDH("SCS IN Equity","QUICK_RATIO","FY 2007","FY 2007","Currency=INR","Period=FY","BEST_FPERIOD_OVERRIDE=FY","FILING_STATUS=MR","EQY_CONSOLIDATED=Y","Sort=A","Dates=H","DateFormat=P","Fill=—","Direction=H","UseDPDF=Y")</f>
        <v>5.5949</v>
      </c>
      <c r="I8" s="18">
        <f>_xll.BDH("SCS IN Equity","QUICK_RATIO","FY 2008","FY 2008","Currency=INR","Period=FY","BEST_FPERIOD_OVERRIDE=FY","FILING_STATUS=MR","EQY_CONSOLIDATED=Y","Sort=A","Dates=H","DateFormat=P","Fill=—","Direction=H","UseDPDF=Y")</f>
        <v>4.3413000000000004</v>
      </c>
      <c r="J8" s="18">
        <f>_xll.BDH("SCS IN Equity","QUICK_RATIO","FY 2009","FY 2009","Currency=INR","Period=FY","BEST_FPERIOD_OVERRIDE=FY","FILING_STATUS=MR","EQY_CONSOLIDATED=Y","Sort=A","Dates=H","DateFormat=P","Fill=—","Direction=H","UseDPDF=Y")</f>
        <v>0.60880000000000001</v>
      </c>
      <c r="K8" s="18">
        <f>_xll.BDH("SCS IN Equity","QUICK_RATIO","FY 2010","FY 2010","Currency=INR","Period=FY","BEST_FPERIOD_OVERRIDE=FY","FILING_STATUS=MR","EQY_CONSOLIDATED=Y","Sort=A","Dates=H","DateFormat=P","Fill=—","Direction=H","UseDPDF=Y")</f>
        <v>1.5356000000000001</v>
      </c>
      <c r="L8" s="18">
        <f>_xll.BDH("SCS IN Equity","QUICK_RATIO","FY 2011","FY 2011","Currency=INR","Period=FY","BEST_FPERIOD_OVERRIDE=FY","FILING_STATUS=MR","EQY_CONSOLIDATED=Y","Sort=A","Dates=H","DateFormat=P","Fill=—","Direction=H","UseDPDF=Y")</f>
        <v>1.7559</v>
      </c>
      <c r="M8" s="18">
        <f>_xll.BDH("SCS IN Equity","QUICK_RATIO","FY 2012","FY 2012","Currency=INR","Period=FY","BEST_FPERIOD_OVERRIDE=FY","FILING_STATUS=MR","EQY_CONSOLIDATED=Y","Sort=A","Dates=H","DateFormat=P","Fill=—","Direction=H","UseDPDF=Y")</f>
        <v>1.7910999999999999</v>
      </c>
      <c r="N8" s="18">
        <f>_xll.BDH("SCS IN Equity","QUICK_RATIO","FY 2013","FY 2013","Currency=INR","Period=FY","BEST_FPERIOD_OVERRIDE=FY","FILING_STATUS=MR","EQY_CONSOLIDATED=Y","Sort=A","Dates=H","DateFormat=P","Fill=—","Direction=H","UseDPDF=Y")</f>
        <v>1.9948999999999999</v>
      </c>
    </row>
    <row r="9" spans="1:14" x14ac:dyDescent="0.25">
      <c r="A9" s="3" t="s">
        <v>69</v>
      </c>
      <c r="B9" s="3" t="s">
        <v>70</v>
      </c>
      <c r="C9" s="18" t="str">
        <f>_xll.BDH("SCS IN Equity","CFO_TO_AVG_CURRENT_LIABILITIES","FY 2002","FY 2002","Currency=INR","Period=FY","BEST_FPERIOD_OVERRIDE=FY","FILING_STATUS=MR","EQY_CONSOLIDATED=Y","Sort=A","Dates=H","DateFormat=P","Fill=—","Direction=H","UseDPDF=Y")</f>
        <v>—</v>
      </c>
      <c r="D9" s="18">
        <f>_xll.BDH("SCS IN Equity","CFO_TO_AVG_CURRENT_LIABILITIES","FY 2003","FY 2003","Currency=INR","Period=FY","BEST_FPERIOD_OVERRIDE=FY","FILING_STATUS=MR","EQY_CONSOLIDATED=Y","Sort=A","Dates=H","DateFormat=P","Fill=—","Direction=H","UseDPDF=Y")</f>
        <v>1.476</v>
      </c>
      <c r="E9" s="18">
        <f>_xll.BDH("SCS IN Equity","CFO_TO_AVG_CURRENT_LIABILITIES","FY 2004","FY 2004","Currency=INR","Period=FY","BEST_FPERIOD_OVERRIDE=FY","FILING_STATUS=MR","EQY_CONSOLIDATED=Y","Sort=A","Dates=H","DateFormat=P","Fill=—","Direction=H","UseDPDF=Y")</f>
        <v>1.2019</v>
      </c>
      <c r="F9" s="18">
        <f>_xll.BDH("SCS IN Equity","CFO_TO_AVG_CURRENT_LIABILITIES","FY 2005","FY 2005","Currency=INR","Period=FY","BEST_FPERIOD_OVERRIDE=FY","FILING_STATUS=MR","EQY_CONSOLIDATED=Y","Sort=A","Dates=H","DateFormat=P","Fill=—","Direction=H","UseDPDF=Y")</f>
        <v>1.964</v>
      </c>
      <c r="G9" s="18">
        <f>_xll.BDH("SCS IN Equity","CFO_TO_AVG_CURRENT_LIABILITIES","FY 2006","FY 2006","Currency=INR","Period=FY","BEST_FPERIOD_OVERRIDE=FY","FILING_STATUS=MR","EQY_CONSOLIDATED=Y","Sort=A","Dates=H","DateFormat=P","Fill=—","Direction=H","UseDPDF=Y")</f>
        <v>1.6698</v>
      </c>
      <c r="H9" s="18">
        <f>_xll.BDH("SCS IN Equity","CFO_TO_AVG_CURRENT_LIABILITIES","FY 2007","FY 2007","Currency=INR","Period=FY","BEST_FPERIOD_OVERRIDE=FY","FILING_STATUS=MR","EQY_CONSOLIDATED=Y","Sort=A","Dates=H","DateFormat=P","Fill=—","Direction=H","UseDPDF=Y")</f>
        <v>1.3274999999999999</v>
      </c>
      <c r="I9" s="18">
        <f>_xll.BDH("SCS IN Equity","CFO_TO_AVG_CURRENT_LIABILITIES","FY 2008","FY 2008","Currency=INR","Period=FY","BEST_FPERIOD_OVERRIDE=FY","FILING_STATUS=MR","EQY_CONSOLIDATED=Y","Sort=A","Dates=H","DateFormat=P","Fill=—","Direction=H","UseDPDF=Y")</f>
        <v>1.0463</v>
      </c>
      <c r="J9" s="18">
        <f>_xll.BDH("SCS IN Equity","CFO_TO_AVG_CURRENT_LIABILITIES","FY 2009","FY 2009","Currency=INR","Period=FY","BEST_FPERIOD_OVERRIDE=FY","FILING_STATUS=MR","EQY_CONSOLIDATED=Y","Sort=A","Dates=H","DateFormat=P","Fill=—","Direction=H","UseDPDF=Y")</f>
        <v>9.9599999999999994E-2</v>
      </c>
      <c r="K9" s="18">
        <f>_xll.BDH("SCS IN Equity","CFO_TO_AVG_CURRENT_LIABILITIES","FY 2010","FY 2010","Currency=INR","Period=FY","BEST_FPERIOD_OVERRIDE=FY","FILING_STATUS=MR","EQY_CONSOLIDATED=Y","Sort=A","Dates=H","DateFormat=P","Fill=—","Direction=H","UseDPDF=Y")</f>
        <v>-3.3E-3</v>
      </c>
      <c r="L9" s="18">
        <f>_xll.BDH("SCS IN Equity","CFO_TO_AVG_CURRENT_LIABILITIES","FY 2011","FY 2011","Currency=INR","Period=FY","BEST_FPERIOD_OVERRIDE=FY","FILING_STATUS=MR","EQY_CONSOLIDATED=Y","Sort=A","Dates=H","DateFormat=P","Fill=—","Direction=H","UseDPDF=Y")</f>
        <v>1.9900000000000001E-2</v>
      </c>
      <c r="M9" s="18">
        <f>_xll.BDH("SCS IN Equity","CFO_TO_AVG_CURRENT_LIABILITIES","FY 2012","FY 2012","Currency=INR","Period=FY","BEST_FPERIOD_OVERRIDE=FY","FILING_STATUS=MR","EQY_CONSOLIDATED=Y","Sort=A","Dates=H","DateFormat=P","Fill=—","Direction=H","UseDPDF=Y")</f>
        <v>0.1076</v>
      </c>
      <c r="N9" s="18" t="str">
        <f>_xll.BDH("SCS IN Equity","CFO_TO_AVG_CURRENT_LIABILITIES","FY 2013","FY 2013","Currency=INR","Period=FY","BEST_FPERIOD_OVERRIDE=FY","FILING_STATUS=MR","EQY_CONSOLIDATED=Y","Sort=A","Dates=H","DateFormat=P","Fill=—","Direction=H","UseDPDF=Y")</f>
        <v>—</v>
      </c>
    </row>
    <row r="10" spans="1:14" x14ac:dyDescent="0.25">
      <c r="A10" s="3" t="s">
        <v>71</v>
      </c>
      <c r="B10" s="3" t="s">
        <v>72</v>
      </c>
      <c r="C10" s="18">
        <f>_xll.BDH("SCS IN Equity","COM_EQY_TO_TOT_ASSET","FY 2002","FY 2002","Currency=INR","Period=FY","BEST_FPERIOD_OVERRIDE=FY","FILING_STATUS=MR","EQY_CONSOLIDATED=Y","Sort=A","Dates=H","DateFormat=P","Fill=—","Direction=H","UseDPDF=Y")</f>
        <v>80.236000000000004</v>
      </c>
      <c r="D10" s="18">
        <f>_xll.BDH("SCS IN Equity","COM_EQY_TO_TOT_ASSET","FY 2003","FY 2003","Currency=INR","Period=FY","BEST_FPERIOD_OVERRIDE=FY","FILING_STATUS=MR","EQY_CONSOLIDATED=Y","Sort=A","Dates=H","DateFormat=P","Fill=—","Direction=H","UseDPDF=Y")</f>
        <v>84.797300000000007</v>
      </c>
      <c r="E10" s="18">
        <f>_xll.BDH("SCS IN Equity","COM_EQY_TO_TOT_ASSET","FY 2004","FY 2004","Currency=INR","Period=FY","BEST_FPERIOD_OVERRIDE=FY","FILING_STATUS=MR","EQY_CONSOLIDATED=Y","Sort=A","Dates=H","DateFormat=P","Fill=—","Direction=H","UseDPDF=Y")</f>
        <v>88.381699999999995</v>
      </c>
      <c r="F10" s="18">
        <f>_xll.BDH("SCS IN Equity","COM_EQY_TO_TOT_ASSET","FY 2005","FY 2005","Currency=INR","Period=FY","BEST_FPERIOD_OVERRIDE=FY","FILING_STATUS=MR","EQY_CONSOLIDATED=Y","Sort=A","Dates=H","DateFormat=P","Fill=—","Direction=H","UseDPDF=Y")</f>
        <v>85.411699999999996</v>
      </c>
      <c r="G10" s="18">
        <f>_xll.BDH("SCS IN Equity","COM_EQY_TO_TOT_ASSET","FY 2006","FY 2006","Currency=INR","Period=FY","BEST_FPERIOD_OVERRIDE=FY","FILING_STATUS=MR","EQY_CONSOLIDATED=Y","Sort=A","Dates=H","DateFormat=P","Fill=—","Direction=H","UseDPDF=Y")</f>
        <v>82.269000000000005</v>
      </c>
      <c r="H10" s="18">
        <f>_xll.BDH("SCS IN Equity","COM_EQY_TO_TOT_ASSET","FY 2007","FY 2007","Currency=INR","Period=FY","BEST_FPERIOD_OVERRIDE=FY","FILING_STATUS=MR","EQY_CONSOLIDATED=Y","Sort=A","Dates=H","DateFormat=P","Fill=—","Direction=H","UseDPDF=Y")</f>
        <v>83.4298</v>
      </c>
      <c r="I10" s="18">
        <f>_xll.BDH("SCS IN Equity","COM_EQY_TO_TOT_ASSET","FY 2008","FY 2008","Currency=INR","Period=FY","BEST_FPERIOD_OVERRIDE=FY","FILING_STATUS=MR","EQY_CONSOLIDATED=Y","Sort=A","Dates=H","DateFormat=P","Fill=—","Direction=H","UseDPDF=Y")</f>
        <v>81.304599999999994</v>
      </c>
      <c r="J10" s="18">
        <f>_xll.BDH("SCS IN Equity","COM_EQY_TO_TOT_ASSET","FY 2009","FY 2009","Currency=INR","Period=FY","BEST_FPERIOD_OVERRIDE=FY","FILING_STATUS=MR","EQY_CONSOLIDATED=Y","Sort=A","Dates=H","DateFormat=P","Fill=—","Direction=H","UseDPDF=Y")</f>
        <v>26.111799999999999</v>
      </c>
      <c r="K10" s="18">
        <f>_xll.BDH("SCS IN Equity","COM_EQY_TO_TOT_ASSET","FY 2010","FY 2010","Currency=INR","Period=FY","BEST_FPERIOD_OVERRIDE=FY","FILING_STATUS=MR","EQY_CONSOLIDATED=Y","Sort=A","Dates=H","DateFormat=P","Fill=—","Direction=H","UseDPDF=Y")</f>
        <v>55.5276</v>
      </c>
      <c r="L10" s="18">
        <f>_xll.BDH("SCS IN Equity","COM_EQY_TO_TOT_ASSET","FY 2011","FY 2011","Currency=INR","Period=FY","BEST_FPERIOD_OVERRIDE=FY","FILING_STATUS=MR","EQY_CONSOLIDATED=Y","Sort=A","Dates=H","DateFormat=P","Fill=—","Direction=H","UseDPDF=Y")</f>
        <v>28.229399999999998</v>
      </c>
      <c r="M10" s="18">
        <f>_xll.BDH("SCS IN Equity","COM_EQY_TO_TOT_ASSET","FY 2012","FY 2012","Currency=INR","Period=FY","BEST_FPERIOD_OVERRIDE=FY","FILING_STATUS=MR","EQY_CONSOLIDATED=Y","Sort=A","Dates=H","DateFormat=P","Fill=—","Direction=H","UseDPDF=Y")</f>
        <v>42.896900000000002</v>
      </c>
      <c r="N10" s="18">
        <f>_xll.BDH("SCS IN Equity","COM_EQY_TO_TOT_ASSET","FY 2013","FY 2013","Currency=INR","Period=FY","BEST_FPERIOD_OVERRIDE=FY","FILING_STATUS=MR","EQY_CONSOLIDATED=Y","Sort=A","Dates=H","DateFormat=P","Fill=—","Direction=H","UseDPDF=Y")</f>
        <v>51.878599999999999</v>
      </c>
    </row>
    <row r="11" spans="1:14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3" t="s">
        <v>73</v>
      </c>
      <c r="B12" s="3" t="s">
        <v>74</v>
      </c>
      <c r="C12" s="18">
        <f>_xll.BDH("SCS IN Equity","LT_DEBT_TO_TOT_EQY","FY 2002","FY 2002","Currency=INR","Period=FY","BEST_FPERIOD_OVERRIDE=FY","FILING_STATUS=MR","EQY_CONSOLIDATED=Y","Sort=A","Dates=H","DateFormat=P","Fill=—","Direction=H","UseDPDF=Y")</f>
        <v>0.30459999999999998</v>
      </c>
      <c r="D12" s="18">
        <f>_xll.BDH("SCS IN Equity","LT_DEBT_TO_TOT_EQY","FY 2003","FY 2003","Currency=INR","Period=FY","BEST_FPERIOD_OVERRIDE=FY","FILING_STATUS=MR","EQY_CONSOLIDATED=Y","Sort=A","Dates=H","DateFormat=P","Fill=—","Direction=H","UseDPDF=Y")</f>
        <v>0.8831</v>
      </c>
      <c r="E12" s="18">
        <f>_xll.BDH("SCS IN Equity","LT_DEBT_TO_TOT_EQY","FY 2004","FY 2004","Currency=INR","Period=FY","BEST_FPERIOD_OVERRIDE=FY","FILING_STATUS=MR","EQY_CONSOLIDATED=Y","Sort=A","Dates=H","DateFormat=P","Fill=—","Direction=H","UseDPDF=Y")</f>
        <v>0.29099999999999998</v>
      </c>
      <c r="F12" s="18">
        <f>_xll.BDH("SCS IN Equity","LT_DEBT_TO_TOT_EQY","FY 2005","FY 2005","Currency=INR","Period=FY","BEST_FPERIOD_OVERRIDE=FY","FILING_STATUS=MR","EQY_CONSOLIDATED=Y","Sort=A","Dates=H","DateFormat=P","Fill=—","Direction=H","UseDPDF=Y")</f>
        <v>0.3155</v>
      </c>
      <c r="G12" s="18">
        <f>_xll.BDH("SCS IN Equity","LT_DEBT_TO_TOT_EQY","FY 2006","FY 2006","Currency=INR","Period=FY","BEST_FPERIOD_OVERRIDE=FY","FILING_STATUS=MR","EQY_CONSOLIDATED=Y","Sort=A","Dates=H","DateFormat=P","Fill=—","Direction=H","UseDPDF=Y")</f>
        <v>1.379</v>
      </c>
      <c r="H12" s="18">
        <f>_xll.BDH("SCS IN Equity","LT_DEBT_TO_TOT_EQY","FY 2007","FY 2007","Currency=INR","Period=FY","BEST_FPERIOD_OVERRIDE=FY","FILING_STATUS=MR","EQY_CONSOLIDATED=Y","Sort=A","Dates=H","DateFormat=P","Fill=—","Direction=H","UseDPDF=Y")</f>
        <v>1.7639</v>
      </c>
      <c r="I12" s="18">
        <f>_xll.BDH("SCS IN Equity","LT_DEBT_TO_TOT_EQY","FY 2008","FY 2008","Currency=INR","Period=FY","BEST_FPERIOD_OVERRIDE=FY","FILING_STATUS=MR","EQY_CONSOLIDATED=Y","Sort=A","Dates=H","DateFormat=P","Fill=—","Direction=H","UseDPDF=Y")</f>
        <v>1.1483000000000001</v>
      </c>
      <c r="J12" s="18">
        <f>_xll.BDH("SCS IN Equity","LT_DEBT_TO_TOT_EQY","FY 2009","FY 2009","Currency=INR","Period=FY","BEST_FPERIOD_OVERRIDE=FY","FILING_STATUS=MR","EQY_CONSOLIDATED=Y","Sort=A","Dates=H","DateFormat=P","Fill=—","Direction=H","UseDPDF=Y")</f>
        <v>17.590699999999998</v>
      </c>
      <c r="K12" s="18">
        <f>_xll.BDH("SCS IN Equity","LT_DEBT_TO_TOT_EQY","FY 2010","FY 2010","Currency=INR","Period=FY","BEST_FPERIOD_OVERRIDE=FY","FILING_STATUS=MR","EQY_CONSOLIDATED=Y","Sort=A","Dates=H","DateFormat=P","Fill=—","Direction=H","UseDPDF=Y")</f>
        <v>0.5806</v>
      </c>
      <c r="L12" s="18">
        <f>_xll.BDH("SCS IN Equity","LT_DEBT_TO_TOT_EQY","FY 2011","FY 2011","Currency=INR","Period=FY","BEST_FPERIOD_OVERRIDE=FY","FILING_STATUS=MR","EQY_CONSOLIDATED=Y","Sort=A","Dates=H","DateFormat=P","Fill=—","Direction=H","UseDPDF=Y")</f>
        <v>1.2584</v>
      </c>
      <c r="M12" s="18">
        <f>_xll.BDH("SCS IN Equity","LT_DEBT_TO_TOT_EQY","FY 2012","FY 2012","Currency=INR","Period=FY","BEST_FPERIOD_OVERRIDE=FY","FILING_STATUS=MR","EQY_CONSOLIDATED=Y","Sort=A","Dates=H","DateFormat=P","Fill=—","Direction=H","UseDPDF=Y")</f>
        <v>0.77610000000000001</v>
      </c>
      <c r="N12" s="18">
        <f>_xll.BDH("SCS IN Equity","LT_DEBT_TO_TOT_EQY","FY 2013","FY 2013","Currency=INR","Period=FY","BEST_FPERIOD_OVERRIDE=FY","FILING_STATUS=MR","EQY_CONSOLIDATED=Y","Sort=A","Dates=H","DateFormat=P","Fill=—","Direction=H","UseDPDF=Y")</f>
        <v>0.51680000000000004</v>
      </c>
    </row>
    <row r="13" spans="1:14" x14ac:dyDescent="0.25">
      <c r="A13" s="3" t="s">
        <v>75</v>
      </c>
      <c r="B13" s="3" t="s">
        <v>76</v>
      </c>
      <c r="C13" s="18">
        <f>_xll.BDH("SCS IN Equity","LT_DEBT_TO_TOT_CAP","FY 2002","FY 2002","Currency=INR","Period=FY","BEST_FPERIOD_OVERRIDE=FY","FILING_STATUS=MR","EQY_CONSOLIDATED=Y","Sort=A","Dates=H","DateFormat=P","Fill=—","Direction=H","UseDPDF=Y")</f>
        <v>0.30359999999999998</v>
      </c>
      <c r="D13" s="18">
        <f>_xll.BDH("SCS IN Equity","LT_DEBT_TO_TOT_CAP","FY 2003","FY 2003","Currency=INR","Period=FY","BEST_FPERIOD_OVERRIDE=FY","FILING_STATUS=MR","EQY_CONSOLIDATED=Y","Sort=A","Dates=H","DateFormat=P","Fill=—","Direction=H","UseDPDF=Y")</f>
        <v>0.87539999999999996</v>
      </c>
      <c r="E13" s="18">
        <f>_xll.BDH("SCS IN Equity","LT_DEBT_TO_TOT_CAP","FY 2004","FY 2004","Currency=INR","Period=FY","BEST_FPERIOD_OVERRIDE=FY","FILING_STATUS=MR","EQY_CONSOLIDATED=Y","Sort=A","Dates=H","DateFormat=P","Fill=—","Direction=H","UseDPDF=Y")</f>
        <v>0.29010000000000002</v>
      </c>
      <c r="F13" s="18">
        <f>_xll.BDH("SCS IN Equity","LT_DEBT_TO_TOT_CAP","FY 2005","FY 2005","Currency=INR","Period=FY","BEST_FPERIOD_OVERRIDE=FY","FILING_STATUS=MR","EQY_CONSOLIDATED=Y","Sort=A","Dates=H","DateFormat=P","Fill=—","Direction=H","UseDPDF=Y")</f>
        <v>0.31369999999999998</v>
      </c>
      <c r="G13" s="18">
        <f>_xll.BDH("SCS IN Equity","LT_DEBT_TO_TOT_CAP","FY 2006","FY 2006","Currency=INR","Period=FY","BEST_FPERIOD_OVERRIDE=FY","FILING_STATUS=MR","EQY_CONSOLIDATED=Y","Sort=A","Dates=H","DateFormat=P","Fill=—","Direction=H","UseDPDF=Y")</f>
        <v>1.3469</v>
      </c>
      <c r="H13" s="18">
        <f>_xll.BDH("SCS IN Equity","LT_DEBT_TO_TOT_CAP","FY 2007","FY 2007","Currency=INR","Period=FY","BEST_FPERIOD_OVERRIDE=FY","FILING_STATUS=MR","EQY_CONSOLIDATED=Y","Sort=A","Dates=H","DateFormat=P","Fill=—","Direction=H","UseDPDF=Y")</f>
        <v>1.7197</v>
      </c>
      <c r="I13" s="18">
        <f>_xll.BDH("SCS IN Equity","LT_DEBT_TO_TOT_CAP","FY 2008","FY 2008","Currency=INR","Period=FY","BEST_FPERIOD_OVERRIDE=FY","FILING_STATUS=MR","EQY_CONSOLIDATED=Y","Sort=A","Dates=H","DateFormat=P","Fill=—","Direction=H","UseDPDF=Y")</f>
        <v>1.1151</v>
      </c>
      <c r="J13" s="18">
        <f>_xll.BDH("SCS IN Equity","LT_DEBT_TO_TOT_CAP","FY 2009","FY 2009","Currency=INR","Period=FY","BEST_FPERIOD_OVERRIDE=FY","FILING_STATUS=MR","EQY_CONSOLIDATED=Y","Sort=A","Dates=H","DateFormat=P","Fill=—","Direction=H","UseDPDF=Y")</f>
        <v>12.035500000000001</v>
      </c>
      <c r="K13" s="18">
        <f>_xll.BDH("SCS IN Equity","LT_DEBT_TO_TOT_CAP","FY 2010","FY 2010","Currency=INR","Period=FY","BEST_FPERIOD_OVERRIDE=FY","FILING_STATUS=MR","EQY_CONSOLIDATED=Y","Sort=A","Dates=H","DateFormat=P","Fill=—","Direction=H","UseDPDF=Y")</f>
        <v>0.57540000000000002</v>
      </c>
      <c r="L13" s="18">
        <f>_xll.BDH("SCS IN Equity","LT_DEBT_TO_TOT_CAP","FY 2011","FY 2011","Currency=INR","Period=FY","BEST_FPERIOD_OVERRIDE=FY","FILING_STATUS=MR","EQY_CONSOLIDATED=Y","Sort=A","Dates=H","DateFormat=P","Fill=—","Direction=H","UseDPDF=Y")</f>
        <v>1.2361</v>
      </c>
      <c r="M13" s="18">
        <f>_xll.BDH("SCS IN Equity","LT_DEBT_TO_TOT_CAP","FY 2012","FY 2012","Currency=INR","Period=FY","BEST_FPERIOD_OVERRIDE=FY","FILING_STATUS=MR","EQY_CONSOLIDATED=Y","Sort=A","Dates=H","DateFormat=P","Fill=—","Direction=H","UseDPDF=Y")</f>
        <v>0.76859999999999995</v>
      </c>
      <c r="N13" s="18">
        <f>_xll.BDH("SCS IN Equity","LT_DEBT_TO_TOT_CAP","FY 2013","FY 2013","Currency=INR","Period=FY","BEST_FPERIOD_OVERRIDE=FY","FILING_STATUS=MR","EQY_CONSOLIDATED=Y","Sort=A","Dates=H","DateFormat=P","Fill=—","Direction=H","UseDPDF=Y")</f>
        <v>0.51400000000000001</v>
      </c>
    </row>
    <row r="14" spans="1:14" x14ac:dyDescent="0.25">
      <c r="A14" s="3" t="s">
        <v>77</v>
      </c>
      <c r="B14" s="3" t="s">
        <v>78</v>
      </c>
      <c r="C14" s="18">
        <f>_xll.BDH("SCS IN Equity","LT_DEBT_TO_TOT_ASSET","FY 2002","FY 2002","Currency=INR","Period=FY","BEST_FPERIOD_OVERRIDE=FY","FILING_STATUS=MR","EQY_CONSOLIDATED=Y","Sort=A","Dates=H","DateFormat=P","Fill=—","Direction=H","UseDPDF=Y")</f>
        <v>0.26650000000000001</v>
      </c>
      <c r="D14" s="18">
        <f>_xll.BDH("SCS IN Equity","LT_DEBT_TO_TOT_ASSET","FY 2003","FY 2003","Currency=INR","Period=FY","BEST_FPERIOD_OVERRIDE=FY","FILING_STATUS=MR","EQY_CONSOLIDATED=Y","Sort=A","Dates=H","DateFormat=P","Fill=—","Direction=H","UseDPDF=Y")</f>
        <v>0.74890000000000001</v>
      </c>
      <c r="E14" s="18">
        <f>_xll.BDH("SCS IN Equity","LT_DEBT_TO_TOT_ASSET","FY 2004","FY 2004","Currency=INR","Period=FY","BEST_FPERIOD_OVERRIDE=FY","FILING_STATUS=MR","EQY_CONSOLIDATED=Y","Sort=A","Dates=H","DateFormat=P","Fill=—","Direction=H","UseDPDF=Y")</f>
        <v>0.25719999999999998</v>
      </c>
      <c r="F14" s="18">
        <f>_xll.BDH("SCS IN Equity","LT_DEBT_TO_TOT_ASSET","FY 2005","FY 2005","Currency=INR","Period=FY","BEST_FPERIOD_OVERRIDE=FY","FILING_STATUS=MR","EQY_CONSOLIDATED=Y","Sort=A","Dates=H","DateFormat=P","Fill=—","Direction=H","UseDPDF=Y")</f>
        <v>0.27710000000000001</v>
      </c>
      <c r="G14" s="18">
        <f>_xll.BDH("SCS IN Equity","LT_DEBT_TO_TOT_ASSET","FY 2006","FY 2006","Currency=INR","Period=FY","BEST_FPERIOD_OVERRIDE=FY","FILING_STATUS=MR","EQY_CONSOLIDATED=Y","Sort=A","Dates=H","DateFormat=P","Fill=—","Direction=H","UseDPDF=Y")</f>
        <v>1.1599999999999999</v>
      </c>
      <c r="H14" s="18">
        <f>_xll.BDH("SCS IN Equity","LT_DEBT_TO_TOT_ASSET","FY 2007","FY 2007","Currency=INR","Period=FY","BEST_FPERIOD_OVERRIDE=FY","FILING_STATUS=MR","EQY_CONSOLIDATED=Y","Sort=A","Dates=H","DateFormat=P","Fill=—","Direction=H","UseDPDF=Y")</f>
        <v>1.4716</v>
      </c>
      <c r="I14" s="18">
        <f>_xll.BDH("SCS IN Equity","LT_DEBT_TO_TOT_ASSET","FY 2008","FY 2008","Currency=INR","Period=FY","BEST_FPERIOD_OVERRIDE=FY","FILING_STATUS=MR","EQY_CONSOLIDATED=Y","Sort=A","Dates=H","DateFormat=P","Fill=—","Direction=H","UseDPDF=Y")</f>
        <v>0.93359999999999999</v>
      </c>
      <c r="J14" s="18">
        <f>_xll.BDH("SCS IN Equity","LT_DEBT_TO_TOT_ASSET","FY 2009","FY 2009","Currency=INR","Period=FY","BEST_FPERIOD_OVERRIDE=FY","FILING_STATUS=MR","EQY_CONSOLIDATED=Y","Sort=A","Dates=H","DateFormat=P","Fill=—","Direction=H","UseDPDF=Y")</f>
        <v>4.6445999999999996</v>
      </c>
      <c r="K14" s="18">
        <f>_xll.BDH("SCS IN Equity","LT_DEBT_TO_TOT_ASSET","FY 2010","FY 2010","Currency=INR","Period=FY","BEST_FPERIOD_OVERRIDE=FY","FILING_STATUS=MR","EQY_CONSOLIDATED=Y","Sort=A","Dates=H","DateFormat=P","Fill=—","Direction=H","UseDPDF=Y")</f>
        <v>0.32379999999999998</v>
      </c>
      <c r="L14" s="18">
        <f>_xll.BDH("SCS IN Equity","LT_DEBT_TO_TOT_ASSET","FY 2011","FY 2011","Currency=INR","Period=FY","BEST_FPERIOD_OVERRIDE=FY","FILING_STATUS=MR","EQY_CONSOLIDATED=Y","Sort=A","Dates=H","DateFormat=P","Fill=—","Direction=H","UseDPDF=Y")</f>
        <v>0.36</v>
      </c>
      <c r="M14" s="18">
        <f>_xll.BDH("SCS IN Equity","LT_DEBT_TO_TOT_ASSET","FY 2012","FY 2012","Currency=INR","Period=FY","BEST_FPERIOD_OVERRIDE=FY","FILING_STATUS=MR","EQY_CONSOLIDATED=Y","Sort=A","Dates=H","DateFormat=P","Fill=—","Direction=H","UseDPDF=Y")</f>
        <v>0.33460000000000001</v>
      </c>
      <c r="N14" s="18">
        <f>_xll.BDH("SCS IN Equity","LT_DEBT_TO_TOT_ASSET","FY 2013","FY 2013","Currency=INR","Period=FY","BEST_FPERIOD_OVERRIDE=FY","FILING_STATUS=MR","EQY_CONSOLIDATED=Y","Sort=A","Dates=H","DateFormat=P","Fill=—","Direction=H","UseDPDF=Y")</f>
        <v>0.2697</v>
      </c>
    </row>
    <row r="15" spans="1:14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3" t="s">
        <v>79</v>
      </c>
      <c r="B16" s="3" t="s">
        <v>80</v>
      </c>
      <c r="C16" s="18">
        <f>_xll.BDH("SCS IN Equity","TOT_DEBT_TO_TOT_EQY","FY 2002","FY 2002","Currency=INR","Period=FY","BEST_FPERIOD_OVERRIDE=FY","FILING_STATUS=MR","EQY_CONSOLIDATED=Y","Sort=A","Dates=H","DateFormat=P","Fill=—","Direction=H","UseDPDF=Y")</f>
        <v>0.30459999999999998</v>
      </c>
      <c r="D16" s="18">
        <f>_xll.BDH("SCS IN Equity","TOT_DEBT_TO_TOT_EQY","FY 2003","FY 2003","Currency=INR","Period=FY","BEST_FPERIOD_OVERRIDE=FY","FILING_STATUS=MR","EQY_CONSOLIDATED=Y","Sort=A","Dates=H","DateFormat=P","Fill=—","Direction=H","UseDPDF=Y")</f>
        <v>0.8831</v>
      </c>
      <c r="E16" s="18">
        <f>_xll.BDH("SCS IN Equity","TOT_DEBT_TO_TOT_EQY","FY 2004","FY 2004","Currency=INR","Period=FY","BEST_FPERIOD_OVERRIDE=FY","FILING_STATUS=MR","EQY_CONSOLIDATED=Y","Sort=A","Dates=H","DateFormat=P","Fill=—","Direction=H","UseDPDF=Y")</f>
        <v>0.309</v>
      </c>
      <c r="F16" s="18">
        <f>_xll.BDH("SCS IN Equity","TOT_DEBT_TO_TOT_EQY","FY 2005","FY 2005","Currency=INR","Period=FY","BEST_FPERIOD_OVERRIDE=FY","FILING_STATUS=MR","EQY_CONSOLIDATED=Y","Sort=A","Dates=H","DateFormat=P","Fill=—","Direction=H","UseDPDF=Y")</f>
        <v>0.57369999999999999</v>
      </c>
      <c r="G16" s="18">
        <f>_xll.BDH("SCS IN Equity","TOT_DEBT_TO_TOT_EQY","FY 2006","FY 2006","Currency=INR","Period=FY","BEST_FPERIOD_OVERRIDE=FY","FILING_STATUS=MR","EQY_CONSOLIDATED=Y","Sort=A","Dates=H","DateFormat=P","Fill=—","Direction=H","UseDPDF=Y")</f>
        <v>2.3767999999999998</v>
      </c>
      <c r="H16" s="18">
        <f>_xll.BDH("SCS IN Equity","TOT_DEBT_TO_TOT_EQY","FY 2007","FY 2007","Currency=INR","Period=FY","BEST_FPERIOD_OVERRIDE=FY","FILING_STATUS=MR","EQY_CONSOLIDATED=Y","Sort=A","Dates=H","DateFormat=P","Fill=—","Direction=H","UseDPDF=Y")</f>
        <v>2.5707</v>
      </c>
      <c r="I16" s="18">
        <f>_xll.BDH("SCS IN Equity","TOT_DEBT_TO_TOT_EQY","FY 2008","FY 2008","Currency=INR","Period=FY","BEST_FPERIOD_OVERRIDE=FY","FILING_STATUS=MR","EQY_CONSOLIDATED=Y","Sort=A","Dates=H","DateFormat=P","Fill=—","Direction=H","UseDPDF=Y")</f>
        <v>2.9830999999999999</v>
      </c>
      <c r="J16" s="18">
        <f>_xll.BDH("SCS IN Equity","TOT_DEBT_TO_TOT_EQY","FY 2009","FY 2009","Currency=INR","Period=FY","BEST_FPERIOD_OVERRIDE=FY","FILING_STATUS=MR","EQY_CONSOLIDATED=Y","Sort=A","Dates=H","DateFormat=P","Fill=—","Direction=H","UseDPDF=Y")</f>
        <v>46.156500000000001</v>
      </c>
      <c r="K16" s="18">
        <f>_xll.BDH("SCS IN Equity","TOT_DEBT_TO_TOT_EQY","FY 2010","FY 2010","Currency=INR","Period=FY","BEST_FPERIOD_OVERRIDE=FY","FILING_STATUS=MR","EQY_CONSOLIDATED=Y","Sort=A","Dates=H","DateFormat=P","Fill=—","Direction=H","UseDPDF=Y")</f>
        <v>0.90749999999999997</v>
      </c>
      <c r="L16" s="18">
        <f>_xll.BDH("SCS IN Equity","TOT_DEBT_TO_TOT_EQY","FY 2011","FY 2011","Currency=INR","Period=FY","BEST_FPERIOD_OVERRIDE=FY","FILING_STATUS=MR","EQY_CONSOLIDATED=Y","Sort=A","Dates=H","DateFormat=P","Fill=—","Direction=H","UseDPDF=Y")</f>
        <v>1.8018000000000001</v>
      </c>
      <c r="M16" s="18">
        <f>_xll.BDH("SCS IN Equity","TOT_DEBT_TO_TOT_EQY","FY 2012","FY 2012","Currency=INR","Period=FY","BEST_FPERIOD_OVERRIDE=FY","FILING_STATUS=MR","EQY_CONSOLIDATED=Y","Sort=A","Dates=H","DateFormat=P","Fill=—","Direction=H","UseDPDF=Y")</f>
        <v>0.97589999999999999</v>
      </c>
      <c r="N16" s="18">
        <f>_xll.BDH("SCS IN Equity","TOT_DEBT_TO_TOT_EQY","FY 2013","FY 2013","Currency=INR","Period=FY","BEST_FPERIOD_OVERRIDE=FY","FILING_STATUS=MR","EQY_CONSOLIDATED=Y","Sort=A","Dates=H","DateFormat=P","Fill=—","Direction=H","UseDPDF=Y")</f>
        <v>0.53390000000000004</v>
      </c>
    </row>
    <row r="17" spans="1:14" x14ac:dyDescent="0.25">
      <c r="A17" s="3" t="s">
        <v>81</v>
      </c>
      <c r="B17" s="3" t="s">
        <v>82</v>
      </c>
      <c r="C17" s="18">
        <f>_xll.BDH("SCS IN Equity","TOT_DEBT_TO_TOT_CAP","FY 2002","FY 2002","Currency=INR","Period=FY","BEST_FPERIOD_OVERRIDE=FY","FILING_STATUS=MR","EQY_CONSOLIDATED=Y","Sort=A","Dates=H","DateFormat=P","Fill=—","Direction=H","UseDPDF=Y")</f>
        <v>0.30359999999999998</v>
      </c>
      <c r="D17" s="18">
        <f>_xll.BDH("SCS IN Equity","TOT_DEBT_TO_TOT_CAP","FY 2003","FY 2003","Currency=INR","Period=FY","BEST_FPERIOD_OVERRIDE=FY","FILING_STATUS=MR","EQY_CONSOLIDATED=Y","Sort=A","Dates=H","DateFormat=P","Fill=—","Direction=H","UseDPDF=Y")</f>
        <v>0.87539999999999996</v>
      </c>
      <c r="E17" s="18">
        <f>_xll.BDH("SCS IN Equity","TOT_DEBT_TO_TOT_CAP","FY 2004","FY 2004","Currency=INR","Period=FY","BEST_FPERIOD_OVERRIDE=FY","FILING_STATUS=MR","EQY_CONSOLIDATED=Y","Sort=A","Dates=H","DateFormat=P","Fill=—","Direction=H","UseDPDF=Y")</f>
        <v>0.308</v>
      </c>
      <c r="F17" s="18">
        <f>_xll.BDH("SCS IN Equity","TOT_DEBT_TO_TOT_CAP","FY 2005","FY 2005","Currency=INR","Period=FY","BEST_FPERIOD_OVERRIDE=FY","FILING_STATUS=MR","EQY_CONSOLIDATED=Y","Sort=A","Dates=H","DateFormat=P","Fill=—","Direction=H","UseDPDF=Y")</f>
        <v>0.57040000000000002</v>
      </c>
      <c r="G17" s="18">
        <f>_xll.BDH("SCS IN Equity","TOT_DEBT_TO_TOT_CAP","FY 2006","FY 2006","Currency=INR","Period=FY","BEST_FPERIOD_OVERRIDE=FY","FILING_STATUS=MR","EQY_CONSOLIDATED=Y","Sort=A","Dates=H","DateFormat=P","Fill=—","Direction=H","UseDPDF=Y")</f>
        <v>2.3216000000000001</v>
      </c>
      <c r="H17" s="18">
        <f>_xll.BDH("SCS IN Equity","TOT_DEBT_TO_TOT_CAP","FY 2007","FY 2007","Currency=INR","Period=FY","BEST_FPERIOD_OVERRIDE=FY","FILING_STATUS=MR","EQY_CONSOLIDATED=Y","Sort=A","Dates=H","DateFormat=P","Fill=—","Direction=H","UseDPDF=Y")</f>
        <v>2.5062000000000002</v>
      </c>
      <c r="I17" s="18">
        <f>_xll.BDH("SCS IN Equity","TOT_DEBT_TO_TOT_CAP","FY 2008","FY 2008","Currency=INR","Period=FY","BEST_FPERIOD_OVERRIDE=FY","FILING_STATUS=MR","EQY_CONSOLIDATED=Y","Sort=A","Dates=H","DateFormat=P","Fill=—","Direction=H","UseDPDF=Y")</f>
        <v>2.8967000000000001</v>
      </c>
      <c r="J17" s="18">
        <f>_xll.BDH("SCS IN Equity","TOT_DEBT_TO_TOT_CAP","FY 2009","FY 2009","Currency=INR","Period=FY","BEST_FPERIOD_OVERRIDE=FY","FILING_STATUS=MR","EQY_CONSOLIDATED=Y","Sort=A","Dates=H","DateFormat=P","Fill=—","Direction=H","UseDPDF=Y")</f>
        <v>31.580200000000001</v>
      </c>
      <c r="K17" s="18">
        <f>_xll.BDH("SCS IN Equity","TOT_DEBT_TO_TOT_CAP","FY 2010","FY 2010","Currency=INR","Period=FY","BEST_FPERIOD_OVERRIDE=FY","FILING_STATUS=MR","EQY_CONSOLIDATED=Y","Sort=A","Dates=H","DateFormat=P","Fill=—","Direction=H","UseDPDF=Y")</f>
        <v>0.89929999999999999</v>
      </c>
      <c r="L17" s="18">
        <f>_xll.BDH("SCS IN Equity","TOT_DEBT_TO_TOT_CAP","FY 2011","FY 2011","Currency=INR","Period=FY","BEST_FPERIOD_OVERRIDE=FY","FILING_STATUS=MR","EQY_CONSOLIDATED=Y","Sort=A","Dates=H","DateFormat=P","Fill=—","Direction=H","UseDPDF=Y")</f>
        <v>1.7699</v>
      </c>
      <c r="M17" s="18">
        <f>_xll.BDH("SCS IN Equity","TOT_DEBT_TO_TOT_CAP","FY 2012","FY 2012","Currency=INR","Period=FY","BEST_FPERIOD_OVERRIDE=FY","FILING_STATUS=MR","EQY_CONSOLIDATED=Y","Sort=A","Dates=H","DateFormat=P","Fill=—","Direction=H","UseDPDF=Y")</f>
        <v>0.96650000000000003</v>
      </c>
      <c r="N17" s="18">
        <f>_xll.BDH("SCS IN Equity","TOT_DEBT_TO_TOT_CAP","FY 2013","FY 2013","Currency=INR","Period=FY","BEST_FPERIOD_OVERRIDE=FY","FILING_STATUS=MR","EQY_CONSOLIDATED=Y","Sort=A","Dates=H","DateFormat=P","Fill=—","Direction=H","UseDPDF=Y")</f>
        <v>0.53100000000000003</v>
      </c>
    </row>
    <row r="18" spans="1:14" x14ac:dyDescent="0.25">
      <c r="A18" s="3" t="s">
        <v>83</v>
      </c>
      <c r="B18" s="3" t="s">
        <v>84</v>
      </c>
      <c r="C18" s="18">
        <f>_xll.BDH("SCS IN Equity","TOT_DEBT_TO_TOT_ASSET","FY 2002","FY 2002","Currency=INR","Period=FY","BEST_FPERIOD_OVERRIDE=FY","FILING_STATUS=MR","EQY_CONSOLIDATED=Y","Sort=A","Dates=H","DateFormat=P","Fill=—","Direction=H","UseDPDF=Y")</f>
        <v>0.26650000000000001</v>
      </c>
      <c r="D18" s="18">
        <f>_xll.BDH("SCS IN Equity","TOT_DEBT_TO_TOT_ASSET","FY 2003","FY 2003","Currency=INR","Period=FY","BEST_FPERIOD_OVERRIDE=FY","FILING_STATUS=MR","EQY_CONSOLIDATED=Y","Sort=A","Dates=H","DateFormat=P","Fill=—","Direction=H","UseDPDF=Y")</f>
        <v>0.74890000000000001</v>
      </c>
      <c r="E18" s="18">
        <f>_xll.BDH("SCS IN Equity","TOT_DEBT_TO_TOT_ASSET","FY 2004","FY 2004","Currency=INR","Period=FY","BEST_FPERIOD_OVERRIDE=FY","FILING_STATUS=MR","EQY_CONSOLIDATED=Y","Sort=A","Dates=H","DateFormat=P","Fill=—","Direction=H","UseDPDF=Y")</f>
        <v>0.27310000000000001</v>
      </c>
      <c r="F18" s="18">
        <f>_xll.BDH("SCS IN Equity","TOT_DEBT_TO_TOT_ASSET","FY 2005","FY 2005","Currency=INR","Period=FY","BEST_FPERIOD_OVERRIDE=FY","FILING_STATUS=MR","EQY_CONSOLIDATED=Y","Sort=A","Dates=H","DateFormat=P","Fill=—","Direction=H","UseDPDF=Y")</f>
        <v>0.50390000000000001</v>
      </c>
      <c r="G18" s="18">
        <f>_xll.BDH("SCS IN Equity","TOT_DEBT_TO_TOT_ASSET","FY 2006","FY 2006","Currency=INR","Period=FY","BEST_FPERIOD_OVERRIDE=FY","FILING_STATUS=MR","EQY_CONSOLIDATED=Y","Sort=A","Dates=H","DateFormat=P","Fill=—","Direction=H","UseDPDF=Y")</f>
        <v>1.9994000000000001</v>
      </c>
      <c r="H18" s="18">
        <f>_xll.BDH("SCS IN Equity","TOT_DEBT_TO_TOT_ASSET","FY 2007","FY 2007","Currency=INR","Period=FY","BEST_FPERIOD_OVERRIDE=FY","FILING_STATUS=MR","EQY_CONSOLIDATED=Y","Sort=A","Dates=H","DateFormat=P","Fill=—","Direction=H","UseDPDF=Y")</f>
        <v>2.1446999999999998</v>
      </c>
      <c r="I18" s="18">
        <f>_xll.BDH("SCS IN Equity","TOT_DEBT_TO_TOT_ASSET","FY 2008","FY 2008","Currency=INR","Period=FY","BEST_FPERIOD_OVERRIDE=FY","FILING_STATUS=MR","EQY_CONSOLIDATED=Y","Sort=A","Dates=H","DateFormat=P","Fill=—","Direction=H","UseDPDF=Y")</f>
        <v>2.4253999999999998</v>
      </c>
      <c r="J18" s="18">
        <f>_xll.BDH("SCS IN Equity","TOT_DEBT_TO_TOT_ASSET","FY 2009","FY 2009","Currency=INR","Period=FY","BEST_FPERIOD_OVERRIDE=FY","FILING_STATUS=MR","EQY_CONSOLIDATED=Y","Sort=A","Dates=H","DateFormat=P","Fill=—","Direction=H","UseDPDF=Y")</f>
        <v>12.186999999999999</v>
      </c>
      <c r="K18" s="18">
        <f>_xll.BDH("SCS IN Equity","TOT_DEBT_TO_TOT_ASSET","FY 2010","FY 2010","Currency=INR","Period=FY","BEST_FPERIOD_OVERRIDE=FY","FILING_STATUS=MR","EQY_CONSOLIDATED=Y","Sort=A","Dates=H","DateFormat=P","Fill=—","Direction=H","UseDPDF=Y")</f>
        <v>0.50609999999999999</v>
      </c>
      <c r="L18" s="18">
        <f>_xll.BDH("SCS IN Equity","TOT_DEBT_TO_TOT_ASSET","FY 2011","FY 2011","Currency=INR","Period=FY","BEST_FPERIOD_OVERRIDE=FY","FILING_STATUS=MR","EQY_CONSOLIDATED=Y","Sort=A","Dates=H","DateFormat=P","Fill=—","Direction=H","UseDPDF=Y")</f>
        <v>0.51549999999999996</v>
      </c>
      <c r="M18" s="18">
        <f>_xll.BDH("SCS IN Equity","TOT_DEBT_TO_TOT_ASSET","FY 2012","FY 2012","Currency=INR","Period=FY","BEST_FPERIOD_OVERRIDE=FY","FILING_STATUS=MR","EQY_CONSOLIDATED=Y","Sort=A","Dates=H","DateFormat=P","Fill=—","Direction=H","UseDPDF=Y")</f>
        <v>0.42070000000000002</v>
      </c>
      <c r="N18" s="18">
        <f>_xll.BDH("SCS IN Equity","TOT_DEBT_TO_TOT_ASSET","FY 2013","FY 2013","Currency=INR","Period=FY","BEST_FPERIOD_OVERRIDE=FY","FILING_STATUS=MR","EQY_CONSOLIDATED=Y","Sort=A","Dates=H","DateFormat=P","Fill=—","Direction=H","UseDPDF=Y")</f>
        <v>0.2787</v>
      </c>
    </row>
    <row r="19" spans="1:14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3" t="s">
        <v>85</v>
      </c>
      <c r="B20" s="3" t="s">
        <v>86</v>
      </c>
      <c r="C20" s="18">
        <f>_xll.BDH("SCS IN Equity","CASH_FLOW_TO_TOT_LIAB","FY 2002","FY 2002","Currency=INR","Period=FY","BEST_FPERIOD_OVERRIDE=FY","FILING_STATUS=MR","EQY_CONSOLIDATED=Y","Sort=A","Dates=H","DateFormat=P","Fill=—","Direction=H","UseDPDF=Y")</f>
        <v>168.3546</v>
      </c>
      <c r="D20" s="18">
        <f>_xll.BDH("SCS IN Equity","CASH_FLOW_TO_TOT_LIAB","FY 2003","FY 2003","Currency=INR","Period=FY","BEST_FPERIOD_OVERRIDE=FY","FILING_STATUS=MR","EQY_CONSOLIDATED=Y","Sort=A","Dates=H","DateFormat=P","Fill=—","Direction=H","UseDPDF=Y")</f>
        <v>126.2529</v>
      </c>
      <c r="E20" s="18">
        <f>_xll.BDH("SCS IN Equity","CASH_FLOW_TO_TOT_LIAB","FY 2004","FY 2004","Currency=INR","Period=FY","BEST_FPERIOD_OVERRIDE=FY","FILING_STATUS=MR","EQY_CONSOLIDATED=Y","Sort=A","Dates=H","DateFormat=P","Fill=—","Direction=H","UseDPDF=Y")</f>
        <v>123.30929999999999</v>
      </c>
      <c r="F20" s="18">
        <f>_xll.BDH("SCS IN Equity","CASH_FLOW_TO_TOT_LIAB","FY 2005","FY 2005","Currency=INR","Period=FY","BEST_FPERIOD_OVERRIDE=FY","FILING_STATUS=MR","EQY_CONSOLIDATED=Y","Sort=A","Dates=H","DateFormat=P","Fill=—","Direction=H","UseDPDF=Y")</f>
        <v>169.30260000000001</v>
      </c>
      <c r="G20" s="18">
        <f>_xll.BDH("SCS IN Equity","CASH_FLOW_TO_TOT_LIAB","FY 2006","FY 2006","Currency=INR","Period=FY","BEST_FPERIOD_OVERRIDE=FY","FILING_STATUS=MR","EQY_CONSOLIDATED=Y","Sort=A","Dates=H","DateFormat=P","Fill=—","Direction=H","UseDPDF=Y")</f>
        <v>123.07470000000001</v>
      </c>
      <c r="H20" s="18">
        <f>_xll.BDH("SCS IN Equity","CASH_FLOW_TO_TOT_LIAB","FY 2007","FY 2007","Currency=INR","Period=FY","BEST_FPERIOD_OVERRIDE=FY","FILING_STATUS=MR","EQY_CONSOLIDATED=Y","Sort=A","Dates=H","DateFormat=P","Fill=—","Direction=H","UseDPDF=Y")</f>
        <v>104.4025</v>
      </c>
      <c r="I20" s="18">
        <f>_xll.BDH("SCS IN Equity","CASH_FLOW_TO_TOT_LIAB","FY 2008","FY 2008","Currency=INR","Period=FY","BEST_FPERIOD_OVERRIDE=FY","FILING_STATUS=MR","EQY_CONSOLIDATED=Y","Sort=A","Dates=H","DateFormat=P","Fill=—","Direction=H","UseDPDF=Y")</f>
        <v>82.424599999999998</v>
      </c>
      <c r="J20" s="18">
        <f>_xll.BDH("SCS IN Equity","CASH_FLOW_TO_TOT_LIAB","FY 2009","FY 2009","Currency=INR","Period=FY","BEST_FPERIOD_OVERRIDE=FY","FILING_STATUS=MR","EQY_CONSOLIDATED=Y","Sort=A","Dates=H","DateFormat=P","Fill=—","Direction=H","UseDPDF=Y")</f>
        <v>5.0153999999999996</v>
      </c>
      <c r="K20" s="18">
        <f>_xll.BDH("SCS IN Equity","CASH_FLOW_TO_TOT_LIAB","FY 2010","FY 2010","Currency=INR","Period=FY","BEST_FPERIOD_OVERRIDE=FY","FILING_STATUS=MR","EQY_CONSOLIDATED=Y","Sort=A","Dates=H","DateFormat=P","Fill=—","Direction=H","UseDPDF=Y")</f>
        <v>-0.2576</v>
      </c>
      <c r="L20" s="18">
        <f>_xll.BDH("SCS IN Equity","CASH_FLOW_TO_TOT_LIAB","FY 2011","FY 2011","Currency=INR","Period=FY","BEST_FPERIOD_OVERRIDE=FY","FILING_STATUS=MR","EQY_CONSOLIDATED=Y","Sort=A","Dates=H","DateFormat=P","Fill=—","Direction=H","UseDPDF=Y")</f>
        <v>1.1119000000000001</v>
      </c>
      <c r="M20" s="18">
        <f>_xll.BDH("SCS IN Equity","CASH_FLOW_TO_TOT_LIAB","FY 2012","FY 2012","Currency=INR","Period=FY","BEST_FPERIOD_OVERRIDE=FY","FILING_STATUS=MR","EQY_CONSOLIDATED=Y","Sort=A","Dates=H","DateFormat=P","Fill=—","Direction=H","UseDPDF=Y")</f>
        <v>6.6033999999999997</v>
      </c>
      <c r="N20" s="18" t="str">
        <f>_xll.BDH("SCS IN Equity","CASH_FLOW_TO_TOT_LIAB","FY 2013","FY 2013","Currency=INR","Period=FY","BEST_FPERIOD_OVERRIDE=FY","FILING_STATUS=MR","EQY_CONSOLIDATED=Y","Sort=A","Dates=H","DateFormat=P","Fill=—","Direction=H","UseDPDF=Y")</f>
        <v>—</v>
      </c>
    </row>
    <row r="21" spans="1:14" x14ac:dyDescent="0.25">
      <c r="A21" s="3" t="s">
        <v>87</v>
      </c>
      <c r="B21" s="3" t="s">
        <v>88</v>
      </c>
      <c r="C21" s="18">
        <f>_xll.BDH("SCS IN Equity","CAP_EXPEND_RATIO","FY 2002","FY 2002","Currency=INR","Period=FY","BEST_FPERIOD_OVERRIDE=FY","FILING_STATUS=MR","EQY_CONSOLIDATED=Y","Sort=A","Dates=H","DateFormat=P","Fill=—","Direction=H","UseDPDF=Y")</f>
        <v>2.8860000000000001</v>
      </c>
      <c r="D21" s="18">
        <f>_xll.BDH("SCS IN Equity","CAP_EXPEND_RATIO","FY 2003","FY 2003","Currency=INR","Period=FY","BEST_FPERIOD_OVERRIDE=FY","FILING_STATUS=MR","EQY_CONSOLIDATED=Y","Sort=A","Dates=H","DateFormat=P","Fill=—","Direction=H","UseDPDF=Y")</f>
        <v>8.0081000000000007</v>
      </c>
      <c r="E21" s="18">
        <f>_xll.BDH("SCS IN Equity","CAP_EXPEND_RATIO","FY 2004","FY 2004","Currency=INR","Period=FY","BEST_FPERIOD_OVERRIDE=FY","FILING_STATUS=MR","EQY_CONSOLIDATED=Y","Sort=A","Dates=H","DateFormat=P","Fill=—","Direction=H","UseDPDF=Y")</f>
        <v>5.1281999999999996</v>
      </c>
      <c r="F21" s="18">
        <f>_xll.BDH("SCS IN Equity","CAP_EXPEND_RATIO","FY 2005","FY 2005","Currency=INR","Period=FY","BEST_FPERIOD_OVERRIDE=FY","FILING_STATUS=MR","EQY_CONSOLIDATED=Y","Sort=A","Dates=H","DateFormat=P","Fill=—","Direction=H","UseDPDF=Y")</f>
        <v>4.1436000000000002</v>
      </c>
      <c r="G21" s="18">
        <f>_xll.BDH("SCS IN Equity","CAP_EXPEND_RATIO","FY 2006","FY 2006","Currency=INR","Period=FY","BEST_FPERIOD_OVERRIDE=FY","FILING_STATUS=MR","EQY_CONSOLIDATED=Y","Sort=A","Dates=H","DateFormat=P","Fill=—","Direction=H","UseDPDF=Y")</f>
        <v>4.0762</v>
      </c>
      <c r="H21" s="18">
        <f>_xll.BDH("SCS IN Equity","CAP_EXPEND_RATIO","FY 2007","FY 2007","Currency=INR","Period=FY","BEST_FPERIOD_OVERRIDE=FY","FILING_STATUS=MR","EQY_CONSOLIDATED=Y","Sort=A","Dates=H","DateFormat=P","Fill=—","Direction=H","UseDPDF=Y")</f>
        <v>3.0954000000000002</v>
      </c>
      <c r="I21" s="18">
        <f>_xll.BDH("SCS IN Equity","CAP_EXPEND_RATIO","FY 2008","FY 2008","Currency=INR","Period=FY","BEST_FPERIOD_OVERRIDE=FY","FILING_STATUS=MR","EQY_CONSOLIDATED=Y","Sort=A","Dates=H","DateFormat=P","Fill=—","Direction=H","UseDPDF=Y")</f>
        <v>3.8260999999999998</v>
      </c>
      <c r="J21" s="18">
        <f>_xll.BDH("SCS IN Equity","CAP_EXPEND_RATIO","FY 2009","FY 2009","Currency=INR","Period=FY","BEST_FPERIOD_OVERRIDE=FY","FILING_STATUS=MR","EQY_CONSOLIDATED=Y","Sort=A","Dates=H","DateFormat=P","Fill=—","Direction=H","UseDPDF=Y")</f>
        <v>0.30690000000000001</v>
      </c>
      <c r="K21" s="18">
        <f>_xll.BDH("SCS IN Equity","CAP_EXPEND_RATIO","FY 2010","FY 2010","Currency=INR","Period=FY","BEST_FPERIOD_OVERRIDE=FY","FILING_STATUS=MR","EQY_CONSOLIDATED=Y","Sort=A","Dates=H","DateFormat=P","Fill=—","Direction=H","UseDPDF=Y")</f>
        <v>-0.06</v>
      </c>
      <c r="L21" s="18">
        <f>_xll.BDH("SCS IN Equity","CAP_EXPEND_RATIO","FY 2011","FY 2011","Currency=INR","Period=FY","BEST_FPERIOD_OVERRIDE=FY","FILING_STATUS=MR","EQY_CONSOLIDATED=Y","Sort=A","Dates=H","DateFormat=P","Fill=—","Direction=H","UseDPDF=Y")</f>
        <v>0.1905</v>
      </c>
      <c r="M21" s="18">
        <f>_xll.BDH("SCS IN Equity","CAP_EXPEND_RATIO","FY 2012","FY 2012","Currency=INR","Period=FY","BEST_FPERIOD_OVERRIDE=FY","FILING_STATUS=MR","EQY_CONSOLIDATED=Y","Sort=A","Dates=H","DateFormat=P","Fill=—","Direction=H","UseDPDF=Y")</f>
        <v>0.94469999999999998</v>
      </c>
      <c r="N21" s="18" t="str">
        <f>_xll.BDH("SCS IN Equity","CAP_EXPEND_RATIO","FY 2013","FY 2013","Currency=INR","Period=FY","BEST_FPERIOD_OVERRIDE=FY","FILING_STATUS=MR","EQY_CONSOLIDATED=Y","Sort=A","Dates=H","DateFormat=P","Fill=—","Direction=H","UseDPDF=Y")</f>
        <v>—</v>
      </c>
    </row>
    <row r="22" spans="1:14" x14ac:dyDescent="0.25">
      <c r="A22" s="3" t="s">
        <v>89</v>
      </c>
      <c r="B22" s="3" t="s">
        <v>90</v>
      </c>
      <c r="C22" s="18">
        <f>_xll.BDH("SCS IN Equity","ALTMAN_Z_SCORE","FY 2002","FY 2002","Currency=INR","Period=FY","BEST_FPERIOD_OVERRIDE=FY","FILING_STATUS=MR","EQY_CONSOLIDATED=Y","Sort=A","Dates=H","DateFormat=P","Fill=—","Direction=H","UseDPDF=Y")</f>
        <v>24.320799999999998</v>
      </c>
      <c r="D22" s="18">
        <f>_xll.BDH("SCS IN Equity","ALTMAN_Z_SCORE","FY 2003","FY 2003","Currency=INR","Period=FY","BEST_FPERIOD_OVERRIDE=FY","FILING_STATUS=MR","EQY_CONSOLIDATED=Y","Sort=A","Dates=H","DateFormat=P","Fill=—","Direction=H","UseDPDF=Y")</f>
        <v>10.906599999999999</v>
      </c>
      <c r="E22" s="18">
        <f>_xll.BDH("SCS IN Equity","ALTMAN_Z_SCORE","FY 2004","FY 2004","Currency=INR","Period=FY","BEST_FPERIOD_OVERRIDE=FY","FILING_STATUS=MR","EQY_CONSOLIDATED=Y","Sort=A","Dates=H","DateFormat=P","Fill=—","Direction=H","UseDPDF=Y")</f>
        <v>18.716200000000001</v>
      </c>
      <c r="F22" s="18">
        <f>_xll.BDH("SCS IN Equity","ALTMAN_Z_SCORE","FY 2005","FY 2005","Currency=INR","Period=FY","BEST_FPERIOD_OVERRIDE=FY","FILING_STATUS=MR","EQY_CONSOLIDATED=Y","Sort=A","Dates=H","DateFormat=P","Fill=—","Direction=H","UseDPDF=Y")</f>
        <v>20.143999999999998</v>
      </c>
      <c r="G22" s="18">
        <f>_xll.BDH("SCS IN Equity","ALTMAN_Z_SCORE","FY 2006","FY 2006","Currency=INR","Period=FY","BEST_FPERIOD_OVERRIDE=FY","FILING_STATUS=MR","EQY_CONSOLIDATED=Y","Sort=A","Dates=H","DateFormat=P","Fill=—","Direction=H","UseDPDF=Y")</f>
        <v>23.327000000000002</v>
      </c>
      <c r="H22" s="18">
        <f>_xll.BDH("SCS IN Equity","ALTMAN_Z_SCORE","FY 2007","FY 2007","Currency=INR","Period=FY","BEST_FPERIOD_OVERRIDE=FY","FILING_STATUS=MR","EQY_CONSOLIDATED=Y","Sort=A","Dates=H","DateFormat=P","Fill=—","Direction=H","UseDPDF=Y")</f>
        <v>19.348299999999998</v>
      </c>
      <c r="I22" s="18">
        <f>_xll.BDH("SCS IN Equity","ALTMAN_Z_SCORE","FY 2008","FY 2008","Currency=INR","Period=FY","BEST_FPERIOD_OVERRIDE=FY","FILING_STATUS=MR","EQY_CONSOLIDATED=Y","Sort=A","Dates=H","DateFormat=P","Fill=—","Direction=H","UseDPDF=Y")</f>
        <v>12.7418</v>
      </c>
      <c r="J22" s="18">
        <f>_xll.BDH("SCS IN Equity","ALTMAN_Z_SCORE","FY 2009","FY 2009","Currency=INR","Period=FY","BEST_FPERIOD_OVERRIDE=FY","FILING_STATUS=MR","EQY_CONSOLIDATED=Y","Sort=A","Dates=H","DateFormat=P","Fill=—","Direction=H","UseDPDF=Y")</f>
        <v>0.67679999999999996</v>
      </c>
      <c r="K22" s="18">
        <f>_xll.BDH("SCS IN Equity","ALTMAN_Z_SCORE","FY 2010","FY 2010","Currency=INR","Period=FY","BEST_FPERIOD_OVERRIDE=FY","FILING_STATUS=MR","EQY_CONSOLIDATED=Y","Sort=A","Dates=H","DateFormat=P","Fill=—","Direction=H","UseDPDF=Y")</f>
        <v>2.8784999999999998</v>
      </c>
      <c r="L22" s="18">
        <f>_xll.BDH("SCS IN Equity","ALTMAN_Z_SCORE","FY 2011","FY 2011","Currency=INR","Period=FY","BEST_FPERIOD_OVERRIDE=FY","FILING_STATUS=MR","EQY_CONSOLIDATED=Y","Sort=A","Dates=H","DateFormat=P","Fill=—","Direction=H","UseDPDF=Y")</f>
        <v>2.5661999999999998</v>
      </c>
      <c r="M22" s="18">
        <f>_xll.BDH("SCS IN Equity","ALTMAN_Z_SCORE","FY 2012","FY 2012","Currency=INR","Period=FY","BEST_FPERIOD_OVERRIDE=FY","FILING_STATUS=MR","EQY_CONSOLIDATED=Y","Sort=A","Dates=H","DateFormat=P","Fill=—","Direction=H","UseDPDF=Y")</f>
        <v>3.3212000000000002</v>
      </c>
      <c r="N22" s="18">
        <f>_xll.BDH("SCS IN Equity","ALTMAN_Z_SCORE","FY 2013","FY 2013","Currency=INR","Period=FY","BEST_FPERIOD_OVERRIDE=FY","FILING_STATUS=MR","EQY_CONSOLIDATED=Y","Sort=A","Dates=H","DateFormat=P","Fill=—","Direction=H","UseDPDF=Y")</f>
        <v>5.2786999999999997</v>
      </c>
    </row>
    <row r="23" spans="1:14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3" t="s">
        <v>61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3515-353F-452B-BA4C-98E9D1789689}">
  <dimension ref="A1:R26"/>
  <sheetViews>
    <sheetView workbookViewId="0">
      <selection activeCell="F30" sqref="F30"/>
    </sheetView>
  </sheetViews>
  <sheetFormatPr defaultRowHeight="15" x14ac:dyDescent="0.25"/>
  <cols>
    <col min="1" max="1" width="35.140625" customWidth="1"/>
    <col min="2" max="2" width="0" hidden="1" customWidth="1"/>
    <col min="3" max="18" width="11.85546875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0.25" x14ac:dyDescent="0.25">
      <c r="A2" s="14" t="s">
        <v>108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6" t="s">
        <v>3</v>
      </c>
      <c r="B4" s="6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92</v>
      </c>
      <c r="L4" s="5" t="s">
        <v>93</v>
      </c>
      <c r="M4" s="5" t="s">
        <v>94</v>
      </c>
      <c r="N4" s="5" t="s">
        <v>95</v>
      </c>
      <c r="O4" s="5" t="s">
        <v>96</v>
      </c>
      <c r="P4" s="5" t="s">
        <v>97</v>
      </c>
      <c r="Q4" s="5" t="s">
        <v>98</v>
      </c>
      <c r="R4" s="5" t="s">
        <v>99</v>
      </c>
    </row>
    <row r="5" spans="1:18" x14ac:dyDescent="0.25">
      <c r="A5" s="15" t="s">
        <v>15</v>
      </c>
      <c r="B5" s="15"/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100</v>
      </c>
      <c r="L5" s="4" t="s">
        <v>101</v>
      </c>
      <c r="M5" s="4" t="s">
        <v>102</v>
      </c>
      <c r="N5" s="4" t="s">
        <v>103</v>
      </c>
      <c r="O5" s="4" t="s">
        <v>104</v>
      </c>
      <c r="P5" s="4" t="s">
        <v>105</v>
      </c>
      <c r="Q5" s="4" t="s">
        <v>106</v>
      </c>
      <c r="R5" s="4" t="s">
        <v>107</v>
      </c>
    </row>
    <row r="6" spans="1:18" x14ac:dyDescent="0.25">
      <c r="A6" s="3" t="s">
        <v>63</v>
      </c>
      <c r="B6" s="3" t="s">
        <v>64</v>
      </c>
      <c r="C6" s="18">
        <f>_xll.BDH("TATASTL IN Equity","CASH_RATIO","FY 2006","FY 2006","Currency=INR","Period=FY","BEST_FPERIOD_OVERRIDE=FY","FILING_STATUS=MR","EQY_CONSOLIDATED=Y","Sort=A","Dates=H","DateFormat=P","Fill=—","Direction=H","UseDPDF=Y")</f>
        <v>0.10100000000000001</v>
      </c>
      <c r="D6" s="18">
        <f>_xll.BDH("TATASTL IN Equity","CASH_RATIO","FY 2007","FY 2007","Currency=INR","Period=FY","BEST_FPERIOD_OVERRIDE=FY","FILING_STATUS=MR","EQY_CONSOLIDATED=Y","Sort=A","Dates=H","DateFormat=P","Fill=—","Direction=H","UseDPDF=Y")</f>
        <v>7.5800000000000006E-2</v>
      </c>
      <c r="E6" s="18">
        <f>_xll.BDH("TATASTL IN Equity","CASH_RATIO","FY 2008","FY 2008","Currency=INR","Period=FY","BEST_FPERIOD_OVERRIDE=FY","FILING_STATUS=MR","EQY_CONSOLIDATED=Y","Sort=A","Dates=H","DateFormat=P","Fill=—","Direction=H","UseDPDF=Y")</f>
        <v>3.0700000000000002E-2</v>
      </c>
      <c r="F6" s="18">
        <f>_xll.BDH("TATASTL IN Equity","CASH_RATIO","FY 2009","FY 2009","Currency=INR","Period=FY","BEST_FPERIOD_OVERRIDE=FY","FILING_STATUS=MR","EQY_CONSOLIDATED=Y","Sort=A","Dates=H","DateFormat=P","Fill=—","Direction=H","UseDPDF=Y")</f>
        <v>9.8799999999999999E-2</v>
      </c>
      <c r="G6" s="18">
        <f>_xll.BDH("TATASTL IN Equity","CASH_RATIO","FY 2010","FY 2010","Currency=INR","Period=FY","BEST_FPERIOD_OVERRIDE=FY","FILING_STATUS=MR","EQY_CONSOLIDATED=Y","Sort=A","Dates=H","DateFormat=P","Fill=—","Direction=H","UseDPDF=Y")</f>
        <v>0.15659999999999999</v>
      </c>
      <c r="H6" s="18">
        <f>_xll.BDH("TATASTL IN Equity","CASH_RATIO","FY 2011","FY 2011","Currency=INR","Period=FY","BEST_FPERIOD_OVERRIDE=FY","FILING_STATUS=MR","EQY_CONSOLIDATED=Y","Sort=A","Dates=H","DateFormat=P","Fill=—","Direction=H","UseDPDF=Y")</f>
        <v>8.9999999999999993E-3</v>
      </c>
      <c r="I6" s="18">
        <f>_xll.BDH("TATASTL IN Equity","CASH_RATIO","FY 2012","FY 2012","Currency=INR","Period=FY","BEST_FPERIOD_OVERRIDE=FY","FILING_STATUS=MR","EQY_CONSOLIDATED=Y","Sort=A","Dates=H","DateFormat=P","Fill=—","Direction=H","UseDPDF=Y")</f>
        <v>5.2200000000000003E-2</v>
      </c>
      <c r="J6" s="18">
        <f>_xll.BDH("TATASTL IN Equity","CASH_RATIO","FY 2013","FY 2013","Currency=INR","Period=FY","BEST_FPERIOD_OVERRIDE=FY","FILING_STATUS=MR","EQY_CONSOLIDATED=Y","Sort=A","Dates=H","DateFormat=P","Fill=—","Direction=H","UseDPDF=Y")</f>
        <v>2.0799999999999999E-2</v>
      </c>
      <c r="K6" s="18">
        <f>_xll.BDH("TATASTL IN Equity","CASH_RATIO","FY 2014","FY 2014","Currency=INR","Period=FY","BEST_FPERIOD_OVERRIDE=FY","FILING_STATUS=MR","EQY_CONSOLIDATED=Y","Sort=A","Dates=H","DateFormat=P","Fill=—","Direction=H","UseDPDF=Y")</f>
        <v>6.6E-3</v>
      </c>
      <c r="L6" s="18">
        <f>_xll.BDH("TATASTL IN Equity","CASH_RATIO","FY 2015","FY 2015","Currency=INR","Period=FY","BEST_FPERIOD_OVERRIDE=FY","FILING_STATUS=MR","EQY_CONSOLIDATED=Y","Sort=A","Dates=H","DateFormat=P","Fill=—","Direction=H","UseDPDF=Y")</f>
        <v>7.3000000000000001E-3</v>
      </c>
      <c r="M6" s="18">
        <f>_xll.BDH("TATASTL IN Equity","CASH_RATIO","FY 2016","FY 2016","Currency=INR","Period=FY","BEST_FPERIOD_OVERRIDE=FY","FILING_STATUS=MR","EQY_CONSOLIDATED=Y","Sort=A","Dates=H","DateFormat=P","Fill=—","Direction=H","UseDPDF=Y")</f>
        <v>1.5E-3</v>
      </c>
      <c r="N6" s="18">
        <f>_xll.BDH("TATASTL IN Equity","CASH_RATIO","FY 2017","FY 2017","Currency=INR","Period=FY","BEST_FPERIOD_OVERRIDE=FY","FILING_STATUS=MR","EQY_CONSOLIDATED=Y","Sort=A","Dates=H","DateFormat=P","Fill=—","Direction=H","UseDPDF=Y")</f>
        <v>5.7000000000000002E-3</v>
      </c>
      <c r="O6" s="18">
        <f>_xll.BDH("TATASTL IN Equity","CASH_RATIO","FY 2018","FY 2018","Currency=INR","Period=FY","BEST_FPERIOD_OVERRIDE=FY","FILING_STATUS=MR","EQY_CONSOLIDATED=Y","Sort=A","Dates=H","DateFormat=P","Fill=—","Direction=H","UseDPDF=Y")</f>
        <v>1.41E-2</v>
      </c>
      <c r="P6" s="18">
        <f>_xll.BDH("TATASTL IN Equity","CASH_RATIO","FY 2019","FY 2019","Currency=INR","Period=FY","BEST_FPERIOD_OVERRIDE=FY","FILING_STATUS=MR","EQY_CONSOLIDATED=Y","Sort=A","Dates=H","DateFormat=P","Fill=—","Direction=H","UseDPDF=Y")</f>
        <v>0.47849999999999998</v>
      </c>
      <c r="Q6" s="18">
        <f>_xll.BDH("TATASTL IN Equity","CASH_RATIO","FY 2020","FY 2020","Currency=INR","Period=FY","BEST_FPERIOD_OVERRIDE=FY","FILING_STATUS=MR","EQY_CONSOLIDATED=Y","Sort=A","Dates=H","DateFormat=P","Fill=—","Direction=H","UseDPDF=Y")</f>
        <v>0.1908</v>
      </c>
      <c r="R6" s="18">
        <f>_xll.BDH("TATASTL IN Equity","CASH_RATIO","FY 2021","FY 2021","Currency=INR","Period=FY","BEST_FPERIOD_OVERRIDE=FY","FILING_STATUS=MR","EQY_CONSOLIDATED=Y","Sort=A","Dates=H","DateFormat=P","Fill=—","Direction=H","UseDPDF=Y")</f>
        <v>0.2586</v>
      </c>
    </row>
    <row r="7" spans="1:18" x14ac:dyDescent="0.25">
      <c r="A7" s="3" t="s">
        <v>65</v>
      </c>
      <c r="B7" s="3" t="s">
        <v>66</v>
      </c>
      <c r="C7" s="18">
        <f>_xll.BDH("TATASTL IN Equity","CUR_RATIO","FY 2006","FY 2006","Currency=INR","Period=FY","BEST_FPERIOD_OVERRIDE=FY","FILING_STATUS=MR","EQY_CONSOLIDATED=Y","Sort=A","Dates=H","DateFormat=P","Fill=—","Direction=H","UseDPDF=Y")</f>
        <v>1.4884999999999999</v>
      </c>
      <c r="D7" s="18">
        <f>_xll.BDH("TATASTL IN Equity","CUR_RATIO","FY 2007","FY 2007","Currency=INR","Period=FY","BEST_FPERIOD_OVERRIDE=FY","FILING_STATUS=MR","EQY_CONSOLIDATED=Y","Sort=A","Dates=H","DateFormat=P","Fill=—","Direction=H","UseDPDF=Y")</f>
        <v>1.3346</v>
      </c>
      <c r="E7" s="18">
        <f>_xll.BDH("TATASTL IN Equity","CUR_RATIO","FY 2008","FY 2008","Currency=INR","Period=FY","BEST_FPERIOD_OVERRIDE=FY","FILING_STATUS=MR","EQY_CONSOLIDATED=Y","Sort=A","Dates=H","DateFormat=P","Fill=—","Direction=H","UseDPDF=Y")</f>
        <v>1.2988999999999999</v>
      </c>
      <c r="F7" s="18">
        <f>_xll.BDH("TATASTL IN Equity","CUR_RATIO","FY 2009","FY 2009","Currency=INR","Period=FY","BEST_FPERIOD_OVERRIDE=FY","FILING_STATUS=MR","EQY_CONSOLIDATED=Y","Sort=A","Dates=H","DateFormat=P","Fill=—","Direction=H","UseDPDF=Y")</f>
        <v>1.7921</v>
      </c>
      <c r="G7" s="18">
        <f>_xll.BDH("TATASTL IN Equity","CUR_RATIO","FY 2010","FY 2010","Currency=INR","Period=FY","BEST_FPERIOD_OVERRIDE=FY","FILING_STATUS=MR","EQY_CONSOLIDATED=Y","Sort=A","Dates=H","DateFormat=P","Fill=—","Direction=H","UseDPDF=Y")</f>
        <v>2.0390000000000001</v>
      </c>
      <c r="H7" s="18">
        <f>_xll.BDH("TATASTL IN Equity","CUR_RATIO","FY 2011","FY 2011","Currency=INR","Period=FY","BEST_FPERIOD_OVERRIDE=FY","FILING_STATUS=MR","EQY_CONSOLIDATED=Y","Sort=A","Dates=H","DateFormat=P","Fill=—","Direction=H","UseDPDF=Y")</f>
        <v>0.61809999999999998</v>
      </c>
      <c r="I7" s="18">
        <f>_xll.BDH("TATASTL IN Equity","CUR_RATIO","FY 2012","FY 2012","Currency=INR","Period=FY","BEST_FPERIOD_OVERRIDE=FY","FILING_STATUS=MR","EQY_CONSOLIDATED=Y","Sort=A","Dates=H","DateFormat=P","Fill=—","Direction=H","UseDPDF=Y")</f>
        <v>0.73019999999999996</v>
      </c>
      <c r="J7" s="18">
        <f>_xll.BDH("TATASTL IN Equity","CUR_RATIO","FY 2013","FY 2013","Currency=INR","Period=FY","BEST_FPERIOD_OVERRIDE=FY","FILING_STATUS=MR","EQY_CONSOLIDATED=Y","Sort=A","Dates=H","DateFormat=P","Fill=—","Direction=H","UseDPDF=Y")</f>
        <v>1.0634999999999999</v>
      </c>
      <c r="K7" s="18">
        <f>_xll.BDH("TATASTL IN Equity","CUR_RATIO","FY 2014","FY 2014","Currency=INR","Period=FY","BEST_FPERIOD_OVERRIDE=FY","FILING_STATUS=MR","EQY_CONSOLIDATED=Y","Sort=A","Dates=H","DateFormat=P","Fill=—","Direction=H","UseDPDF=Y")</f>
        <v>0.8165</v>
      </c>
      <c r="L7" s="18">
        <f>_xll.BDH("TATASTL IN Equity","CUR_RATIO","FY 2015","FY 2015","Currency=INR","Period=FY","BEST_FPERIOD_OVERRIDE=FY","FILING_STATUS=MR","EQY_CONSOLIDATED=Y","Sort=A","Dates=H","DateFormat=P","Fill=—","Direction=H","UseDPDF=Y")</f>
        <v>0.96509999999999996</v>
      </c>
      <c r="M7" s="18">
        <f>_xll.BDH("TATASTL IN Equity","CUR_RATIO","FY 2016","FY 2016","Currency=INR","Period=FY","BEST_FPERIOD_OVERRIDE=FY","FILING_STATUS=MR","EQY_CONSOLIDATED=Y","Sort=A","Dates=H","DateFormat=P","Fill=—","Direction=H","UseDPDF=Y")</f>
        <v>0.19320000000000001</v>
      </c>
      <c r="N7" s="18">
        <f>_xll.BDH("TATASTL IN Equity","CUR_RATIO","FY 2017","FY 2017","Currency=INR","Period=FY","BEST_FPERIOD_OVERRIDE=FY","FILING_STATUS=MR","EQY_CONSOLIDATED=Y","Sort=A","Dates=H","DateFormat=P","Fill=—","Direction=H","UseDPDF=Y")</f>
        <v>0.21060000000000001</v>
      </c>
      <c r="O7" s="18">
        <f>_xll.BDH("TATASTL IN Equity","CUR_RATIO","FY 2018","FY 2018","Currency=INR","Period=FY","BEST_FPERIOD_OVERRIDE=FY","FILING_STATUS=MR","EQY_CONSOLIDATED=Y","Sort=A","Dates=H","DateFormat=P","Fill=—","Direction=H","UseDPDF=Y")</f>
        <v>0.10639999999999999</v>
      </c>
      <c r="P7" s="18">
        <f>_xll.BDH("TATASTL IN Equity","CUR_RATIO","FY 2019","FY 2019","Currency=INR","Period=FY","BEST_FPERIOD_OVERRIDE=FY","FILING_STATUS=MR","EQY_CONSOLIDATED=Y","Sort=A","Dates=H","DateFormat=P","Fill=—","Direction=H","UseDPDF=Y")</f>
        <v>1.9023000000000001</v>
      </c>
      <c r="Q7" s="18">
        <f>_xll.BDH("TATASTL IN Equity","CUR_RATIO","FY 2020","FY 2020","Currency=INR","Period=FY","BEST_FPERIOD_OVERRIDE=FY","FILING_STATUS=MR","EQY_CONSOLIDATED=Y","Sort=A","Dates=H","DateFormat=P","Fill=—","Direction=H","UseDPDF=Y")</f>
        <v>1.6155999999999999</v>
      </c>
      <c r="R7" s="18">
        <f>_xll.BDH("TATASTL IN Equity","CUR_RATIO","FY 2021","FY 2021","Currency=INR","Period=FY","BEST_FPERIOD_OVERRIDE=FY","FILING_STATUS=MR","EQY_CONSOLIDATED=Y","Sort=A","Dates=H","DateFormat=P","Fill=—","Direction=H","UseDPDF=Y")</f>
        <v>1.2533000000000001</v>
      </c>
    </row>
    <row r="8" spans="1:18" x14ac:dyDescent="0.25">
      <c r="A8" s="3" t="s">
        <v>67</v>
      </c>
      <c r="B8" s="3" t="s">
        <v>68</v>
      </c>
      <c r="C8" s="18">
        <f>_xll.BDH("TATASTL IN Equity","QUICK_RATIO","FY 2006","FY 2006","Currency=INR","Period=FY","BEST_FPERIOD_OVERRIDE=FY","FILING_STATUS=MR","EQY_CONSOLIDATED=Y","Sort=A","Dates=H","DateFormat=P","Fill=—","Direction=H","UseDPDF=Y")</f>
        <v>0.60189999999999999</v>
      </c>
      <c r="D8" s="18">
        <f>_xll.BDH("TATASTL IN Equity","QUICK_RATIO","FY 2007","FY 2007","Currency=INR","Period=FY","BEST_FPERIOD_OVERRIDE=FY","FILING_STATUS=MR","EQY_CONSOLIDATED=Y","Sort=A","Dates=H","DateFormat=P","Fill=—","Direction=H","UseDPDF=Y")</f>
        <v>0.48380000000000001</v>
      </c>
      <c r="E8" s="18">
        <f>_xll.BDH("TATASTL IN Equity","QUICK_RATIO","FY 2008","FY 2008","Currency=INR","Period=FY","BEST_FPERIOD_OVERRIDE=FY","FILING_STATUS=MR","EQY_CONSOLIDATED=Y","Sort=A","Dates=H","DateFormat=P","Fill=—","Direction=H","UseDPDF=Y")</f>
        <v>0.35820000000000002</v>
      </c>
      <c r="F8" s="18">
        <f>_xll.BDH("TATASTL IN Equity","QUICK_RATIO","FY 2009","FY 2009","Currency=INR","Period=FY","BEST_FPERIOD_OVERRIDE=FY","FILING_STATUS=MR","EQY_CONSOLIDATED=Y","Sort=A","Dates=H","DateFormat=P","Fill=—","Direction=H","UseDPDF=Y")</f>
        <v>0.50260000000000005</v>
      </c>
      <c r="G8" s="18">
        <f>_xll.BDH("TATASTL IN Equity","QUICK_RATIO","FY 2010","FY 2010","Currency=INR","Period=FY","BEST_FPERIOD_OVERRIDE=FY","FILING_STATUS=MR","EQY_CONSOLIDATED=Y","Sort=A","Dates=H","DateFormat=P","Fill=—","Direction=H","UseDPDF=Y")</f>
        <v>0.54069999999999996</v>
      </c>
      <c r="H8" s="18">
        <f>_xll.BDH("TATASTL IN Equity","QUICK_RATIO","FY 2011","FY 2011","Currency=INR","Period=FY","BEST_FPERIOD_OVERRIDE=FY","FILING_STATUS=MR","EQY_CONSOLIDATED=Y","Sort=A","Dates=H","DateFormat=P","Fill=—","Direction=H","UseDPDF=Y")</f>
        <v>7.7899999999999997E-2</v>
      </c>
      <c r="I8" s="18">
        <f>_xll.BDH("TATASTL IN Equity","QUICK_RATIO","FY 2012","FY 2012","Currency=INR","Period=FY","BEST_FPERIOD_OVERRIDE=FY","FILING_STATUS=MR","EQY_CONSOLIDATED=Y","Sort=A","Dates=H","DateFormat=P","Fill=—","Direction=H","UseDPDF=Y")</f>
        <v>0.2127</v>
      </c>
      <c r="J8" s="18">
        <f>_xll.BDH("TATASTL IN Equity","QUICK_RATIO","FY 2013","FY 2013","Currency=INR","Period=FY","BEST_FPERIOD_OVERRIDE=FY","FILING_STATUS=MR","EQY_CONSOLIDATED=Y","Sort=A","Dates=H","DateFormat=P","Fill=—","Direction=H","UseDPDF=Y")</f>
        <v>0.27989999999999998</v>
      </c>
      <c r="K8" s="18">
        <f>_xll.BDH("TATASTL IN Equity","QUICK_RATIO","FY 2014","FY 2014","Currency=INR","Period=FY","BEST_FPERIOD_OVERRIDE=FY","FILING_STATUS=MR","EQY_CONSOLIDATED=Y","Sort=A","Dates=H","DateFormat=P","Fill=—","Direction=H","UseDPDF=Y")</f>
        <v>0.1991</v>
      </c>
      <c r="L8" s="18">
        <f>_xll.BDH("TATASTL IN Equity","QUICK_RATIO","FY 2015","FY 2015","Currency=INR","Period=FY","BEST_FPERIOD_OVERRIDE=FY","FILING_STATUS=MR","EQY_CONSOLIDATED=Y","Sort=A","Dates=H","DateFormat=P","Fill=—","Direction=H","UseDPDF=Y")</f>
        <v>0.2056</v>
      </c>
      <c r="M8" s="18">
        <f>_xll.BDH("TATASTL IN Equity","QUICK_RATIO","FY 2016","FY 2016","Currency=INR","Period=FY","BEST_FPERIOD_OVERRIDE=FY","FILING_STATUS=MR","EQY_CONSOLIDATED=Y","Sort=A","Dates=H","DateFormat=P","Fill=—","Direction=H","UseDPDF=Y")</f>
        <v>5.7099999999999998E-2</v>
      </c>
      <c r="N8" s="18">
        <f>_xll.BDH("TATASTL IN Equity","QUICK_RATIO","FY 2017","FY 2017","Currency=INR","Period=FY","BEST_FPERIOD_OVERRIDE=FY","FILING_STATUS=MR","EQY_CONSOLIDATED=Y","Sort=A","Dates=H","DateFormat=P","Fill=—","Direction=H","UseDPDF=Y")</f>
        <v>6.1100000000000002E-2</v>
      </c>
      <c r="O8" s="18">
        <f>_xll.BDH("TATASTL IN Equity","QUICK_RATIO","FY 2018","FY 2018","Currency=INR","Period=FY","BEST_FPERIOD_OVERRIDE=FY","FILING_STATUS=MR","EQY_CONSOLIDATED=Y","Sort=A","Dates=H","DateFormat=P","Fill=—","Direction=H","UseDPDF=Y")</f>
        <v>3.2800000000000003E-2</v>
      </c>
      <c r="P8" s="18">
        <f>_xll.BDH("TATASTL IN Equity","QUICK_RATIO","FY 2019","FY 2019","Currency=INR","Period=FY","BEST_FPERIOD_OVERRIDE=FY","FILING_STATUS=MR","EQY_CONSOLIDATED=Y","Sort=A","Dates=H","DateFormat=P","Fill=—","Direction=H","UseDPDF=Y")</f>
        <v>0.64539999999999997</v>
      </c>
      <c r="Q8" s="18">
        <f>_xll.BDH("TATASTL IN Equity","QUICK_RATIO","FY 2020","FY 2020","Currency=INR","Period=FY","BEST_FPERIOD_OVERRIDE=FY","FILING_STATUS=MR","EQY_CONSOLIDATED=Y","Sort=A","Dates=H","DateFormat=P","Fill=—","Direction=H","UseDPDF=Y")</f>
        <v>0.34789999999999999</v>
      </c>
      <c r="R8" s="18">
        <f>_xll.BDH("TATASTL IN Equity","QUICK_RATIO","FY 2021","FY 2021","Currency=INR","Period=FY","BEST_FPERIOD_OVERRIDE=FY","FILING_STATUS=MR","EQY_CONSOLIDATED=Y","Sort=A","Dates=H","DateFormat=P","Fill=—","Direction=H","UseDPDF=Y")</f>
        <v>0.3347</v>
      </c>
    </row>
    <row r="9" spans="1:18" x14ac:dyDescent="0.25">
      <c r="A9" s="3" t="s">
        <v>69</v>
      </c>
      <c r="B9" s="3" t="s">
        <v>70</v>
      </c>
      <c r="C9" s="18" t="str">
        <f>_xll.BDH("TATASTL IN Equity","CFO_TO_AVG_CURRENT_LIABILITIES","FY 2006","FY 2006","Currency=INR","Period=FY","BEST_FPERIOD_OVERRIDE=FY","FILING_STATUS=MR","EQY_CONSOLIDATED=Y","Sort=A","Dates=H","DateFormat=P","Fill=—","Direction=H","UseDPDF=Y")</f>
        <v>—</v>
      </c>
      <c r="D9" s="18">
        <f>_xll.BDH("TATASTL IN Equity","CFO_TO_AVG_CURRENT_LIABILITIES","FY 2007","FY 2007","Currency=INR","Period=FY","BEST_FPERIOD_OVERRIDE=FY","FILING_STATUS=MR","EQY_CONSOLIDATED=Y","Sort=A","Dates=H","DateFormat=P","Fill=—","Direction=H","UseDPDF=Y")</f>
        <v>9.8699999999999996E-2</v>
      </c>
      <c r="E9" s="18">
        <f>_xll.BDH("TATASTL IN Equity","CFO_TO_AVG_CURRENT_LIABILITIES","FY 2008","FY 2008","Currency=INR","Period=FY","BEST_FPERIOD_OVERRIDE=FY","FILING_STATUS=MR","EQY_CONSOLIDATED=Y","Sort=A","Dates=H","DateFormat=P","Fill=—","Direction=H","UseDPDF=Y")</f>
        <v>-2.47E-2</v>
      </c>
      <c r="F9" s="18">
        <f>_xll.BDH("TATASTL IN Equity","CFO_TO_AVG_CURRENT_LIABILITIES","FY 2009","FY 2009","Currency=INR","Period=FY","BEST_FPERIOD_OVERRIDE=FY","FILING_STATUS=MR","EQY_CONSOLIDATED=Y","Sort=A","Dates=H","DateFormat=P","Fill=—","Direction=H","UseDPDF=Y")</f>
        <v>-0.25209999999999999</v>
      </c>
      <c r="G9" s="18">
        <f>_xll.BDH("TATASTL IN Equity","CFO_TO_AVG_CURRENT_LIABILITIES","FY 2010","FY 2010","Currency=INR","Period=FY","BEST_FPERIOD_OVERRIDE=FY","FILING_STATUS=MR","EQY_CONSOLIDATED=Y","Sort=A","Dates=H","DateFormat=P","Fill=—","Direction=H","UseDPDF=Y")</f>
        <v>-0.32929999999999998</v>
      </c>
      <c r="H9" s="18">
        <f>_xll.BDH("TATASTL IN Equity","CFO_TO_AVG_CURRENT_LIABILITIES","FY 2011","FY 2011","Currency=INR","Period=FY","BEST_FPERIOD_OVERRIDE=FY","FILING_STATUS=MR","EQY_CONSOLIDATED=Y","Sort=A","Dates=H","DateFormat=P","Fill=—","Direction=H","UseDPDF=Y")</f>
        <v>-0.13159999999999999</v>
      </c>
      <c r="I9" s="18">
        <f>_xll.BDH("TATASTL IN Equity","CFO_TO_AVG_CURRENT_LIABILITIES","FY 2012","FY 2012","Currency=INR","Period=FY","BEST_FPERIOD_OVERRIDE=FY","FILING_STATUS=MR","EQY_CONSOLIDATED=Y","Sort=A","Dates=H","DateFormat=P","Fill=—","Direction=H","UseDPDF=Y")</f>
        <v>1.6500000000000001E-2</v>
      </c>
      <c r="J9" s="18">
        <f>_xll.BDH("TATASTL IN Equity","CFO_TO_AVG_CURRENT_LIABILITIES","FY 2013","FY 2013","Currency=INR","Period=FY","BEST_FPERIOD_OVERRIDE=FY","FILING_STATUS=MR","EQY_CONSOLIDATED=Y","Sort=A","Dates=H","DateFormat=P","Fill=—","Direction=H","UseDPDF=Y")</f>
        <v>-0.3468</v>
      </c>
      <c r="K9" s="18">
        <f>_xll.BDH("TATASTL IN Equity","CFO_TO_AVG_CURRENT_LIABILITIES","FY 2014","FY 2014","Currency=INR","Period=FY","BEST_FPERIOD_OVERRIDE=FY","FILING_STATUS=MR","EQY_CONSOLIDATED=Y","Sort=A","Dates=H","DateFormat=P","Fill=—","Direction=H","UseDPDF=Y")</f>
        <v>-7.4300000000000005E-2</v>
      </c>
      <c r="L9" s="18">
        <f>_xll.BDH("TATASTL IN Equity","CFO_TO_AVG_CURRENT_LIABILITIES","FY 2015","FY 2015","Currency=INR","Period=FY","BEST_FPERIOD_OVERRIDE=FY","FILING_STATUS=MR","EQY_CONSOLIDATED=Y","Sort=A","Dates=H","DateFormat=P","Fill=—","Direction=H","UseDPDF=Y")</f>
        <v>-0.17280000000000001</v>
      </c>
      <c r="M9" s="18">
        <f>_xll.BDH("TATASTL IN Equity","CFO_TO_AVG_CURRENT_LIABILITIES","FY 2016","FY 2016","Currency=INR","Period=FY","BEST_FPERIOD_OVERRIDE=FY","FILING_STATUS=MR","EQY_CONSOLIDATED=Y","Sort=A","Dates=H","DateFormat=P","Fill=—","Direction=H","UseDPDF=Y")</f>
        <v>-0.18340000000000001</v>
      </c>
      <c r="N9" s="18">
        <f>_xll.BDH("TATASTL IN Equity","CFO_TO_AVG_CURRENT_LIABILITIES","FY 2017","FY 2017","Currency=INR","Period=FY","BEST_FPERIOD_OVERRIDE=FY","FILING_STATUS=MR","EQY_CONSOLIDATED=Y","Sort=A","Dates=H","DateFormat=P","Fill=—","Direction=H","UseDPDF=Y")</f>
        <v>-2.8199999999999999E-2</v>
      </c>
      <c r="O9" s="18">
        <f>_xll.BDH("TATASTL IN Equity","CFO_TO_AVG_CURRENT_LIABILITIES","FY 2018","FY 2018","Currency=INR","Period=FY","BEST_FPERIOD_OVERRIDE=FY","FILING_STATUS=MR","EQY_CONSOLIDATED=Y","Sort=A","Dates=H","DateFormat=P","Fill=—","Direction=H","UseDPDF=Y")</f>
        <v>1.46E-2</v>
      </c>
      <c r="P9" s="18">
        <f>_xll.BDH("TATASTL IN Equity","CFO_TO_AVG_CURRENT_LIABILITIES","FY 2019","FY 2019","Currency=INR","Period=FY","BEST_FPERIOD_OVERRIDE=FY","FILING_STATUS=MR","EQY_CONSOLIDATED=Y","Sort=A","Dates=H","DateFormat=P","Fill=—","Direction=H","UseDPDF=Y")</f>
        <v>-0.18870000000000001</v>
      </c>
      <c r="Q9" s="18">
        <f>_xll.BDH("TATASTL IN Equity","CFO_TO_AVG_CURRENT_LIABILITIES","FY 2020","FY 2020","Currency=INR","Period=FY","BEST_FPERIOD_OVERRIDE=FY","FILING_STATUS=MR","EQY_CONSOLIDATED=Y","Sort=A","Dates=H","DateFormat=P","Fill=—","Direction=H","UseDPDF=Y")</f>
        <v>0.1232</v>
      </c>
      <c r="R9" s="18">
        <f>_xll.BDH("TATASTL IN Equity","CFO_TO_AVG_CURRENT_LIABILITIES","FY 2021","FY 2021","Currency=INR","Period=FY","BEST_FPERIOD_OVERRIDE=FY","FILING_STATUS=MR","EQY_CONSOLIDATED=Y","Sort=A","Dates=H","DateFormat=P","Fill=—","Direction=H","UseDPDF=Y")</f>
        <v>1.3888</v>
      </c>
    </row>
    <row r="10" spans="1:18" x14ac:dyDescent="0.25">
      <c r="A10" s="3" t="s">
        <v>71</v>
      </c>
      <c r="B10" s="3" t="s">
        <v>72</v>
      </c>
      <c r="C10" s="18">
        <f>_xll.BDH("TATASTL IN Equity","COM_EQY_TO_TOT_ASSET","FY 2006","FY 2006","Currency=INR","Period=FY","BEST_FPERIOD_OVERRIDE=FY","FILING_STATUS=MR","EQY_CONSOLIDATED=Y","Sort=A","Dates=H","DateFormat=P","Fill=—","Direction=H","UseDPDF=Y")</f>
        <v>25.2593</v>
      </c>
      <c r="D10" s="18">
        <f>_xll.BDH("TATASTL IN Equity","COM_EQY_TO_TOT_ASSET","FY 2007","FY 2007","Currency=INR","Period=FY","BEST_FPERIOD_OVERRIDE=FY","FILING_STATUS=MR","EQY_CONSOLIDATED=Y","Sort=A","Dates=H","DateFormat=P","Fill=—","Direction=H","UseDPDF=Y")</f>
        <v>22.494299999999999</v>
      </c>
      <c r="E10" s="18">
        <f>_xll.BDH("TATASTL IN Equity","COM_EQY_TO_TOT_ASSET","FY 2008","FY 2008","Currency=INR","Period=FY","BEST_FPERIOD_OVERRIDE=FY","FILING_STATUS=MR","EQY_CONSOLIDATED=Y","Sort=A","Dates=H","DateFormat=P","Fill=—","Direction=H","UseDPDF=Y")</f>
        <v>18.462</v>
      </c>
      <c r="F10" s="18">
        <f>_xll.BDH("TATASTL IN Equity","COM_EQY_TO_TOT_ASSET","FY 2009","FY 2009","Currency=INR","Period=FY","BEST_FPERIOD_OVERRIDE=FY","FILING_STATUS=MR","EQY_CONSOLIDATED=Y","Sort=A","Dates=H","DateFormat=P","Fill=—","Direction=H","UseDPDF=Y")</f>
        <v>16.764199999999999</v>
      </c>
      <c r="G10" s="18">
        <f>_xll.BDH("TATASTL IN Equity","COM_EQY_TO_TOT_ASSET","FY 2010","FY 2010","Currency=INR","Period=FY","BEST_FPERIOD_OVERRIDE=FY","FILING_STATUS=MR","EQY_CONSOLIDATED=Y","Sort=A","Dates=H","DateFormat=P","Fill=—","Direction=H","UseDPDF=Y")</f>
        <v>22.741299999999999</v>
      </c>
      <c r="H10" s="18">
        <f>_xll.BDH("TATASTL IN Equity","COM_EQY_TO_TOT_ASSET","FY 2011","FY 2011","Currency=INR","Period=FY","BEST_FPERIOD_OVERRIDE=FY","FILING_STATUS=MR","EQY_CONSOLIDATED=Y","Sort=A","Dates=H","DateFormat=P","Fill=—","Direction=H","UseDPDF=Y")</f>
        <v>23.058599999999998</v>
      </c>
      <c r="I10" s="18">
        <f>_xll.BDH("TATASTL IN Equity","COM_EQY_TO_TOT_ASSET","FY 2012","FY 2012","Currency=INR","Period=FY","BEST_FPERIOD_OVERRIDE=FY","FILING_STATUS=MR","EQY_CONSOLIDATED=Y","Sort=A","Dates=H","DateFormat=P","Fill=—","Direction=H","UseDPDF=Y")</f>
        <v>22.2</v>
      </c>
      <c r="J10" s="18">
        <f>_xll.BDH("TATASTL IN Equity","COM_EQY_TO_TOT_ASSET","FY 2013","FY 2013","Currency=INR","Period=FY","BEST_FPERIOD_OVERRIDE=FY","FILING_STATUS=MR","EQY_CONSOLIDATED=Y","Sort=A","Dates=H","DateFormat=P","Fill=—","Direction=H","UseDPDF=Y")</f>
        <v>20.954000000000001</v>
      </c>
      <c r="K10" s="18">
        <f>_xll.BDH("TATASTL IN Equity","COM_EQY_TO_TOT_ASSET","FY 2014","FY 2014","Currency=INR","Period=FY","BEST_FPERIOD_OVERRIDE=FY","FILING_STATUS=MR","EQY_CONSOLIDATED=Y","Sort=A","Dates=H","DateFormat=P","Fill=—","Direction=H","UseDPDF=Y")</f>
        <v>17.722300000000001</v>
      </c>
      <c r="L10" s="18">
        <f>_xll.BDH("TATASTL IN Equity","COM_EQY_TO_TOT_ASSET","FY 2015","FY 2015","Currency=INR","Period=FY","BEST_FPERIOD_OVERRIDE=FY","FILING_STATUS=MR","EQY_CONSOLIDATED=Y","Sort=A","Dates=H","DateFormat=P","Fill=—","Direction=H","UseDPDF=Y")</f>
        <v>14.6471</v>
      </c>
      <c r="M10" s="18">
        <f>_xll.BDH("TATASTL IN Equity","COM_EQY_TO_TOT_ASSET","FY 2016","FY 2016","Currency=INR","Period=FY","BEST_FPERIOD_OVERRIDE=FY","FILING_STATUS=MR","EQY_CONSOLIDATED=Y","Sort=A","Dates=H","DateFormat=P","Fill=—","Direction=H","UseDPDF=Y")</f>
        <v>3.5562</v>
      </c>
      <c r="N10" s="18">
        <f>_xll.BDH("TATASTL IN Equity","COM_EQY_TO_TOT_ASSET","FY 2017","FY 2017","Currency=INR","Period=FY","BEST_FPERIOD_OVERRIDE=FY","FILING_STATUS=MR","EQY_CONSOLIDATED=Y","Sort=A","Dates=H","DateFormat=P","Fill=—","Direction=H","UseDPDF=Y")</f>
        <v>-2.4626999999999999</v>
      </c>
      <c r="O10" s="18">
        <f>_xll.BDH("TATASTL IN Equity","COM_EQY_TO_TOT_ASSET","FY 2018","FY 2018","Currency=INR","Period=FY","BEST_FPERIOD_OVERRIDE=FY","FILING_STATUS=MR","EQY_CONSOLIDATED=Y","Sort=A","Dates=H","DateFormat=P","Fill=—","Direction=H","UseDPDF=Y")</f>
        <v>-65.386099999999999</v>
      </c>
      <c r="P10" s="18">
        <f>_xll.BDH("TATASTL IN Equity","COM_EQY_TO_TOT_ASSET","FY 2019","FY 2019","Currency=INR","Period=FY","BEST_FPERIOD_OVERRIDE=FY","FILING_STATUS=MR","EQY_CONSOLIDATED=Y","Sort=A","Dates=H","DateFormat=P","Fill=—","Direction=H","UseDPDF=Y")</f>
        <v>46.2789</v>
      </c>
      <c r="Q10" s="18">
        <f>_xll.BDH("TATASTL IN Equity","COM_EQY_TO_TOT_ASSET","FY 2020","FY 2020","Currency=INR","Period=FY","BEST_FPERIOD_OVERRIDE=FY","FILING_STATUS=MR","EQY_CONSOLIDATED=Y","Sort=A","Dates=H","DateFormat=P","Fill=—","Direction=H","UseDPDF=Y")</f>
        <v>47.638500000000001</v>
      </c>
      <c r="R10" s="18">
        <f>_xll.BDH("TATASTL IN Equity","COM_EQY_TO_TOT_ASSET","FY 2021","FY 2021","Currency=INR","Period=FY","BEST_FPERIOD_OVERRIDE=FY","FILING_STATUS=MR","EQY_CONSOLIDATED=Y","Sort=A","Dates=H","DateFormat=P","Fill=—","Direction=H","UseDPDF=Y")</f>
        <v>56.591000000000001</v>
      </c>
    </row>
    <row r="11" spans="1:18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73</v>
      </c>
      <c r="B12" s="3" t="s">
        <v>74</v>
      </c>
      <c r="C12" s="18">
        <f>_xll.BDH("TATASTL IN Equity","LT_DEBT_TO_TOT_EQY","FY 2006","FY 2006","Currency=INR","Period=FY","BEST_FPERIOD_OVERRIDE=FY","FILING_STATUS=MR","EQY_CONSOLIDATED=Y","Sort=A","Dates=H","DateFormat=P","Fill=—","Direction=H","UseDPDF=Y")</f>
        <v>198.07650000000001</v>
      </c>
      <c r="D12" s="18">
        <f>_xll.BDH("TATASTL IN Equity","LT_DEBT_TO_TOT_EQY","FY 2007","FY 2007","Currency=INR","Period=FY","BEST_FPERIOD_OVERRIDE=FY","FILING_STATUS=MR","EQY_CONSOLIDATED=Y","Sort=A","Dates=H","DateFormat=P","Fill=—","Direction=H","UseDPDF=Y")</f>
        <v>225.61250000000001</v>
      </c>
      <c r="E12" s="18">
        <f>_xll.BDH("TATASTL IN Equity","LT_DEBT_TO_TOT_EQY","FY 2008","FY 2008","Currency=INR","Period=FY","BEST_FPERIOD_OVERRIDE=FY","FILING_STATUS=MR","EQY_CONSOLIDATED=Y","Sort=A","Dates=H","DateFormat=P","Fill=—","Direction=H","UseDPDF=Y")</f>
        <v>313.56020000000001</v>
      </c>
      <c r="F12" s="18">
        <f>_xll.BDH("TATASTL IN Equity","LT_DEBT_TO_TOT_EQY","FY 2009","FY 2009","Currency=INR","Period=FY","BEST_FPERIOD_OVERRIDE=FY","FILING_STATUS=MR","EQY_CONSOLIDATED=Y","Sort=A","Dates=H","DateFormat=P","Fill=—","Direction=H","UseDPDF=Y")</f>
        <v>324.67230000000001</v>
      </c>
      <c r="G12" s="18">
        <f>_xll.BDH("TATASTL IN Equity","LT_DEBT_TO_TOT_EQY","FY 2010","FY 2010","Currency=INR","Period=FY","BEST_FPERIOD_OVERRIDE=FY","FILING_STATUS=MR","EQY_CONSOLIDATED=Y","Sort=A","Dates=H","DateFormat=P","Fill=—","Direction=H","UseDPDF=Y")</f>
        <v>276.00110000000001</v>
      </c>
      <c r="H12" s="18">
        <f>_xll.BDH("TATASTL IN Equity","LT_DEBT_TO_TOT_EQY","FY 2011","FY 2011","Currency=INR","Period=FY","BEST_FPERIOD_OVERRIDE=FY","FILING_STATUS=MR","EQY_CONSOLIDATED=Y","Sort=A","Dates=H","DateFormat=P","Fill=—","Direction=H","UseDPDF=Y")</f>
        <v>185.00919999999999</v>
      </c>
      <c r="I12" s="18">
        <f>_xll.BDH("TATASTL IN Equity","LT_DEBT_TO_TOT_EQY","FY 2012","FY 2012","Currency=INR","Period=FY","BEST_FPERIOD_OVERRIDE=FY","FILING_STATUS=MR","EQY_CONSOLIDATED=Y","Sort=A","Dates=H","DateFormat=P","Fill=—","Direction=H","UseDPDF=Y")</f>
        <v>193.0266</v>
      </c>
      <c r="J12" s="18">
        <f>_xll.BDH("TATASTL IN Equity","LT_DEBT_TO_TOT_EQY","FY 2013","FY 2013","Currency=INR","Period=FY","BEST_FPERIOD_OVERRIDE=FY","FILING_STATUS=MR","EQY_CONSOLIDATED=Y","Sort=A","Dates=H","DateFormat=P","Fill=—","Direction=H","UseDPDF=Y")</f>
        <v>232.8905</v>
      </c>
      <c r="K12" s="18">
        <f>_xll.BDH("TATASTL IN Equity","LT_DEBT_TO_TOT_EQY","FY 2014","FY 2014","Currency=INR","Period=FY","BEST_FPERIOD_OVERRIDE=FY","FILING_STATUS=MR","EQY_CONSOLIDATED=Y","Sort=A","Dates=H","DateFormat=P","Fill=—","Direction=H","UseDPDF=Y")</f>
        <v>278.04669999999999</v>
      </c>
      <c r="L12" s="18">
        <f>_xll.BDH("TATASTL IN Equity","LT_DEBT_TO_TOT_EQY","FY 2015","FY 2015","Currency=INR","Period=FY","BEST_FPERIOD_OVERRIDE=FY","FILING_STATUS=MR","EQY_CONSOLIDATED=Y","Sort=A","Dates=H","DateFormat=P","Fill=—","Direction=H","UseDPDF=Y")</f>
        <v>390.54559999999998</v>
      </c>
      <c r="M12" s="18">
        <f>_xll.BDH("TATASTL IN Equity","LT_DEBT_TO_TOT_EQY","FY 2016","FY 2016","Currency=INR","Period=FY","BEST_FPERIOD_OVERRIDE=FY","FILING_STATUS=MR","EQY_CONSOLIDATED=Y","Sort=A","Dates=H","DateFormat=P","Fill=—","Direction=H","UseDPDF=Y")</f>
        <v>1510.9402</v>
      </c>
      <c r="N12" s="18" t="str">
        <f>_xll.BDH("TATASTL IN Equity","LT_DEBT_TO_TOT_EQY","FY 2017","FY 2017","Currency=INR","Period=FY","BEST_FPERIOD_OVERRIDE=FY","FILING_STATUS=MR","EQY_CONSOLIDATED=Y","Sort=A","Dates=H","DateFormat=P","Fill=—","Direction=H","UseDPDF=Y")</f>
        <v>—</v>
      </c>
      <c r="O12" s="18" t="str">
        <f>_xll.BDH("TATASTL IN Equity","LT_DEBT_TO_TOT_EQY","FY 2018","FY 2018","Currency=INR","Period=FY","BEST_FPERIOD_OVERRIDE=FY","FILING_STATUS=MR","EQY_CONSOLIDATED=Y","Sort=A","Dates=H","DateFormat=P","Fill=—","Direction=H","UseDPDF=Y")</f>
        <v>—</v>
      </c>
      <c r="P12" s="18">
        <f>_xll.BDH("TATASTL IN Equity","LT_DEBT_TO_TOT_EQY","FY 2019","FY 2019","Currency=INR","Period=FY","BEST_FPERIOD_OVERRIDE=FY","FILING_STATUS=MR","EQY_CONSOLIDATED=Y","Sort=A","Dates=H","DateFormat=P","Fill=—","Direction=H","UseDPDF=Y")</f>
        <v>92.651300000000006</v>
      </c>
      <c r="Q12" s="18">
        <f>_xll.BDH("TATASTL IN Equity","LT_DEBT_TO_TOT_EQY","FY 2020","FY 2020","Currency=INR","Period=FY","BEST_FPERIOD_OVERRIDE=FY","FILING_STATUS=MR","EQY_CONSOLIDATED=Y","Sort=A","Dates=H","DateFormat=P","Fill=—","Direction=H","UseDPDF=Y")</f>
        <v>85.107500000000002</v>
      </c>
      <c r="R12" s="18">
        <f>_xll.BDH("TATASTL IN Equity","LT_DEBT_TO_TOT_EQY","FY 2021","FY 2021","Currency=INR","Period=FY","BEST_FPERIOD_OVERRIDE=FY","FILING_STATUS=MR","EQY_CONSOLIDATED=Y","Sort=A","Dates=H","DateFormat=P","Fill=—","Direction=H","UseDPDF=Y")</f>
        <v>49.640999999999998</v>
      </c>
    </row>
    <row r="13" spans="1:18" x14ac:dyDescent="0.25">
      <c r="A13" s="3" t="s">
        <v>75</v>
      </c>
      <c r="B13" s="3" t="s">
        <v>76</v>
      </c>
      <c r="C13" s="18">
        <f>_xll.BDH("TATASTL IN Equity","LT_DEBT_TO_TOT_CAP","FY 2006","FY 2006","Currency=INR","Period=FY","BEST_FPERIOD_OVERRIDE=FY","FILING_STATUS=MR","EQY_CONSOLIDATED=Y","Sort=A","Dates=H","DateFormat=P","Fill=—","Direction=H","UseDPDF=Y")</f>
        <v>60.398899999999998</v>
      </c>
      <c r="D13" s="18">
        <f>_xll.BDH("TATASTL IN Equity","LT_DEBT_TO_TOT_CAP","FY 2007","FY 2007","Currency=INR","Period=FY","BEST_FPERIOD_OVERRIDE=FY","FILING_STATUS=MR","EQY_CONSOLIDATED=Y","Sort=A","Dates=H","DateFormat=P","Fill=—","Direction=H","UseDPDF=Y")</f>
        <v>61.485100000000003</v>
      </c>
      <c r="E13" s="18">
        <f>_xll.BDH("TATASTL IN Equity","LT_DEBT_TO_TOT_CAP","FY 2008","FY 2008","Currency=INR","Period=FY","BEST_FPERIOD_OVERRIDE=FY","FILING_STATUS=MR","EQY_CONSOLIDATED=Y","Sort=A","Dates=H","DateFormat=P","Fill=—","Direction=H","UseDPDF=Y")</f>
        <v>69.4011</v>
      </c>
      <c r="F13" s="18">
        <f>_xll.BDH("TATASTL IN Equity","LT_DEBT_TO_TOT_CAP","FY 2009","FY 2009","Currency=INR","Period=FY","BEST_FPERIOD_OVERRIDE=FY","FILING_STATUS=MR","EQY_CONSOLIDATED=Y","Sort=A","Dates=H","DateFormat=P","Fill=—","Direction=H","UseDPDF=Y")</f>
        <v>75.358199999999997</v>
      </c>
      <c r="G13" s="18">
        <f>_xll.BDH("TATASTL IN Equity","LT_DEBT_TO_TOT_CAP","FY 2010","FY 2010","Currency=INR","Period=FY","BEST_FPERIOD_OVERRIDE=FY","FILING_STATUS=MR","EQY_CONSOLIDATED=Y","Sort=A","Dates=H","DateFormat=P","Fill=—","Direction=H","UseDPDF=Y")</f>
        <v>71.901499999999999</v>
      </c>
      <c r="H13" s="18">
        <f>_xll.BDH("TATASTL IN Equity","LT_DEBT_TO_TOT_CAP","FY 2011","FY 2011","Currency=INR","Period=FY","BEST_FPERIOD_OVERRIDE=FY","FILING_STATUS=MR","EQY_CONSOLIDATED=Y","Sort=A","Dates=H","DateFormat=P","Fill=—","Direction=H","UseDPDF=Y")</f>
        <v>48.774000000000001</v>
      </c>
      <c r="I13" s="18">
        <f>_xll.BDH("TATASTL IN Equity","LT_DEBT_TO_TOT_CAP","FY 2012","FY 2012","Currency=INR","Period=FY","BEST_FPERIOD_OVERRIDE=FY","FILING_STATUS=MR","EQY_CONSOLIDATED=Y","Sort=A","Dates=H","DateFormat=P","Fill=—","Direction=H","UseDPDF=Y")</f>
        <v>52.8264</v>
      </c>
      <c r="J13" s="18">
        <f>_xll.BDH("TATASTL IN Equity","LT_DEBT_TO_TOT_CAP","FY 2013","FY 2013","Currency=INR","Period=FY","BEST_FPERIOD_OVERRIDE=FY","FILING_STATUS=MR","EQY_CONSOLIDATED=Y","Sort=A","Dates=H","DateFormat=P","Fill=—","Direction=H","UseDPDF=Y")</f>
        <v>57.273800000000001</v>
      </c>
      <c r="K13" s="18">
        <f>_xll.BDH("TATASTL IN Equity","LT_DEBT_TO_TOT_CAP","FY 2014","FY 2014","Currency=INR","Period=FY","BEST_FPERIOD_OVERRIDE=FY","FILING_STATUS=MR","EQY_CONSOLIDATED=Y","Sort=A","Dates=H","DateFormat=P","Fill=—","Direction=H","UseDPDF=Y")</f>
        <v>57.556600000000003</v>
      </c>
      <c r="L13" s="18">
        <f>_xll.BDH("TATASTL IN Equity","LT_DEBT_TO_TOT_CAP","FY 2015","FY 2015","Currency=INR","Period=FY","BEST_FPERIOD_OVERRIDE=FY","FILING_STATUS=MR","EQY_CONSOLIDATED=Y","Sort=A","Dates=H","DateFormat=P","Fill=—","Direction=H","UseDPDF=Y")</f>
        <v>65.806799999999996</v>
      </c>
      <c r="M13" s="18">
        <f>_xll.BDH("TATASTL IN Equity","LT_DEBT_TO_TOT_CAP","FY 2016","FY 2016","Currency=INR","Period=FY","BEST_FPERIOD_OVERRIDE=FY","FILING_STATUS=MR","EQY_CONSOLIDATED=Y","Sort=A","Dates=H","DateFormat=P","Fill=—","Direction=H","UseDPDF=Y")</f>
        <v>65.418000000000006</v>
      </c>
      <c r="N13" s="18">
        <f>_xll.BDH("TATASTL IN Equity","LT_DEBT_TO_TOT_CAP","FY 2017","FY 2017","Currency=INR","Period=FY","BEST_FPERIOD_OVERRIDE=FY","FILING_STATUS=MR","EQY_CONSOLIDATED=Y","Sort=A","Dates=H","DateFormat=P","Fill=—","Direction=H","UseDPDF=Y")</f>
        <v>63.085099999999997</v>
      </c>
      <c r="O13" s="18">
        <f>_xll.BDH("TATASTL IN Equity","LT_DEBT_TO_TOT_CAP","FY 2018","FY 2018","Currency=INR","Period=FY","BEST_FPERIOD_OVERRIDE=FY","FILING_STATUS=MR","EQY_CONSOLIDATED=Y","Sort=A","Dates=H","DateFormat=P","Fill=—","Direction=H","UseDPDF=Y")</f>
        <v>2.9931000000000001</v>
      </c>
      <c r="P13" s="18">
        <f>_xll.BDH("TATASTL IN Equity","LT_DEBT_TO_TOT_CAP","FY 2019","FY 2019","Currency=INR","Period=FY","BEST_FPERIOD_OVERRIDE=FY","FILING_STATUS=MR","EQY_CONSOLIDATED=Y","Sort=A","Dates=H","DateFormat=P","Fill=—","Direction=H","UseDPDF=Y")</f>
        <v>48.007100000000001</v>
      </c>
      <c r="Q13" s="18">
        <f>_xll.BDH("TATASTL IN Equity","LT_DEBT_TO_TOT_CAP","FY 2020","FY 2020","Currency=INR","Period=FY","BEST_FPERIOD_OVERRIDE=FY","FILING_STATUS=MR","EQY_CONSOLIDATED=Y","Sort=A","Dates=H","DateFormat=P","Fill=—","Direction=H","UseDPDF=Y")</f>
        <v>44.664700000000003</v>
      </c>
      <c r="R13" s="18">
        <f>_xll.BDH("TATASTL IN Equity","LT_DEBT_TO_TOT_CAP","FY 2021","FY 2021","Currency=INR","Period=FY","BEST_FPERIOD_OVERRIDE=FY","FILING_STATUS=MR","EQY_CONSOLIDATED=Y","Sort=A","Dates=H","DateFormat=P","Fill=—","Direction=H","UseDPDF=Y")</f>
        <v>32.767600000000002</v>
      </c>
    </row>
    <row r="14" spans="1:18" x14ac:dyDescent="0.25">
      <c r="A14" s="3" t="s">
        <v>77</v>
      </c>
      <c r="B14" s="3" t="s">
        <v>78</v>
      </c>
      <c r="C14" s="18">
        <f>_xll.BDH("TATASTL IN Equity","LT_DEBT_TO_TOT_ASSET","FY 2006","FY 2006","Currency=INR","Period=FY","BEST_FPERIOD_OVERRIDE=FY","FILING_STATUS=MR","EQY_CONSOLIDATED=Y","Sort=A","Dates=H","DateFormat=P","Fill=—","Direction=H","UseDPDF=Y")</f>
        <v>50.032800000000002</v>
      </c>
      <c r="D14" s="18">
        <f>_xll.BDH("TATASTL IN Equity","LT_DEBT_TO_TOT_ASSET","FY 2007","FY 2007","Currency=INR","Period=FY","BEST_FPERIOD_OVERRIDE=FY","FILING_STATUS=MR","EQY_CONSOLIDATED=Y","Sort=A","Dates=H","DateFormat=P","Fill=—","Direction=H","UseDPDF=Y")</f>
        <v>50.749899999999997</v>
      </c>
      <c r="E14" s="18">
        <f>_xll.BDH("TATASTL IN Equity","LT_DEBT_TO_TOT_ASSET","FY 2008","FY 2008","Currency=INR","Period=FY","BEST_FPERIOD_OVERRIDE=FY","FILING_STATUS=MR","EQY_CONSOLIDATED=Y","Sort=A","Dates=H","DateFormat=P","Fill=—","Direction=H","UseDPDF=Y")</f>
        <v>57.889499999999998</v>
      </c>
      <c r="F14" s="18">
        <f>_xll.BDH("TATASTL IN Equity","LT_DEBT_TO_TOT_ASSET","FY 2009","FY 2009","Currency=INR","Period=FY","BEST_FPERIOD_OVERRIDE=FY","FILING_STATUS=MR","EQY_CONSOLIDATED=Y","Sort=A","Dates=H","DateFormat=P","Fill=—","Direction=H","UseDPDF=Y")</f>
        <v>65.124799999999993</v>
      </c>
      <c r="G14" s="18">
        <f>_xll.BDH("TATASTL IN Equity","LT_DEBT_TO_TOT_ASSET","FY 2010","FY 2010","Currency=INR","Period=FY","BEST_FPERIOD_OVERRIDE=FY","FILING_STATUS=MR","EQY_CONSOLIDATED=Y","Sort=A","Dates=H","DateFormat=P","Fill=—","Direction=H","UseDPDF=Y")</f>
        <v>63.744599999999998</v>
      </c>
      <c r="H14" s="18">
        <f>_xll.BDH("TATASTL IN Equity","LT_DEBT_TO_TOT_ASSET","FY 2011","FY 2011","Currency=INR","Period=FY","BEST_FPERIOD_OVERRIDE=FY","FILING_STATUS=MR","EQY_CONSOLIDATED=Y","Sort=A","Dates=H","DateFormat=P","Fill=—","Direction=H","UseDPDF=Y")</f>
        <v>43.312899999999999</v>
      </c>
      <c r="I14" s="18">
        <f>_xll.BDH("TATASTL IN Equity","LT_DEBT_TO_TOT_ASSET","FY 2012","FY 2012","Currency=INR","Period=FY","BEST_FPERIOD_OVERRIDE=FY","FILING_STATUS=MR","EQY_CONSOLIDATED=Y","Sort=A","Dates=H","DateFormat=P","Fill=—","Direction=H","UseDPDF=Y")</f>
        <v>46.046399999999998</v>
      </c>
      <c r="J14" s="18">
        <f>_xll.BDH("TATASTL IN Equity","LT_DEBT_TO_TOT_ASSET","FY 2013","FY 2013","Currency=INR","Period=FY","BEST_FPERIOD_OVERRIDE=FY","FILING_STATUS=MR","EQY_CONSOLIDATED=Y","Sort=A","Dates=H","DateFormat=P","Fill=—","Direction=H","UseDPDF=Y")</f>
        <v>49.757199999999997</v>
      </c>
      <c r="K14" s="18">
        <f>_xll.BDH("TATASTL IN Equity","LT_DEBT_TO_TOT_ASSET","FY 2014","FY 2014","Currency=INR","Period=FY","BEST_FPERIOD_OVERRIDE=FY","FILING_STATUS=MR","EQY_CONSOLIDATED=Y","Sort=A","Dates=H","DateFormat=P","Fill=—","Direction=H","UseDPDF=Y")</f>
        <v>50.021599999999999</v>
      </c>
      <c r="L14" s="18">
        <f>_xll.BDH("TATASTL IN Equity","LT_DEBT_TO_TOT_ASSET","FY 2015","FY 2015","Currency=INR","Period=FY","BEST_FPERIOD_OVERRIDE=FY","FILING_STATUS=MR","EQY_CONSOLIDATED=Y","Sort=A","Dates=H","DateFormat=P","Fill=—","Direction=H","UseDPDF=Y")</f>
        <v>58.407299999999999</v>
      </c>
      <c r="M14" s="18">
        <f>_xll.BDH("TATASTL IN Equity","LT_DEBT_TO_TOT_ASSET","FY 2016","FY 2016","Currency=INR","Period=FY","BEST_FPERIOD_OVERRIDE=FY","FILING_STATUS=MR","EQY_CONSOLIDATED=Y","Sort=A","Dates=H","DateFormat=P","Fill=—","Direction=H","UseDPDF=Y")</f>
        <v>53.923900000000003</v>
      </c>
      <c r="N14" s="18">
        <f>_xll.BDH("TATASTL IN Equity","LT_DEBT_TO_TOT_ASSET","FY 2017","FY 2017","Currency=INR","Period=FY","BEST_FPERIOD_OVERRIDE=FY","FILING_STATUS=MR","EQY_CONSOLIDATED=Y","Sort=A","Dates=H","DateFormat=P","Fill=—","Direction=H","UseDPDF=Y")</f>
        <v>50.782800000000002</v>
      </c>
      <c r="O14" s="18">
        <f>_xll.BDH("TATASTL IN Equity","LT_DEBT_TO_TOT_ASSET","FY 2018","FY 2018","Currency=INR","Period=FY","BEST_FPERIOD_OVERRIDE=FY","FILING_STATUS=MR","EQY_CONSOLIDATED=Y","Sort=A","Dates=H","DateFormat=P","Fill=—","Direction=H","UseDPDF=Y")</f>
        <v>1.7733000000000001</v>
      </c>
      <c r="P14" s="18">
        <f>_xll.BDH("TATASTL IN Equity","LT_DEBT_TO_TOT_ASSET","FY 2019","FY 2019","Currency=INR","Period=FY","BEST_FPERIOD_OVERRIDE=FY","FILING_STATUS=MR","EQY_CONSOLIDATED=Y","Sort=A","Dates=H","DateFormat=P","Fill=—","Direction=H","UseDPDF=Y")</f>
        <v>42.874499999999998</v>
      </c>
      <c r="Q14" s="18">
        <f>_xll.BDH("TATASTL IN Equity","LT_DEBT_TO_TOT_ASSET","FY 2020","FY 2020","Currency=INR","Period=FY","BEST_FPERIOD_OVERRIDE=FY","FILING_STATUS=MR","EQY_CONSOLIDATED=Y","Sort=A","Dates=H","DateFormat=P","Fill=—","Direction=H","UseDPDF=Y")</f>
        <v>40.543999999999997</v>
      </c>
      <c r="R14" s="18">
        <f>_xll.BDH("TATASTL IN Equity","LT_DEBT_TO_TOT_ASSET","FY 2021","FY 2021","Currency=INR","Period=FY","BEST_FPERIOD_OVERRIDE=FY","FILING_STATUS=MR","EQY_CONSOLIDATED=Y","Sort=A","Dates=H","DateFormat=P","Fill=—","Direction=H","UseDPDF=Y")</f>
        <v>28.092300000000002</v>
      </c>
    </row>
    <row r="15" spans="1:18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3" t="s">
        <v>79</v>
      </c>
      <c r="B16" s="3" t="s">
        <v>80</v>
      </c>
      <c r="C16" s="18">
        <f>_xll.BDH("TATASTL IN Equity","TOT_DEBT_TO_TOT_EQY","FY 2006","FY 2006","Currency=INR","Period=FY","BEST_FPERIOD_OVERRIDE=FY","FILING_STATUS=MR","EQY_CONSOLIDATED=Y","Sort=A","Dates=H","DateFormat=P","Fill=—","Direction=H","UseDPDF=Y")</f>
        <v>227.94730000000001</v>
      </c>
      <c r="D16" s="18">
        <f>_xll.BDH("TATASTL IN Equity","TOT_DEBT_TO_TOT_EQY","FY 2007","FY 2007","Currency=INR","Period=FY","BEST_FPERIOD_OVERRIDE=FY","FILING_STATUS=MR","EQY_CONSOLIDATED=Y","Sort=A","Dates=H","DateFormat=P","Fill=—","Direction=H","UseDPDF=Y")</f>
        <v>266.93819999999999</v>
      </c>
      <c r="E16" s="18">
        <f>_xll.BDH("TATASTL IN Equity","TOT_DEBT_TO_TOT_EQY","FY 2008","FY 2008","Currency=INR","Period=FY","BEST_FPERIOD_OVERRIDE=FY","FILING_STATUS=MR","EQY_CONSOLIDATED=Y","Sort=A","Dates=H","DateFormat=P","Fill=—","Direction=H","UseDPDF=Y")</f>
        <v>351.80869999999999</v>
      </c>
      <c r="F16" s="18">
        <f>_xll.BDH("TATASTL IN Equity","TOT_DEBT_TO_TOT_EQY","FY 2009","FY 2009","Currency=INR","Period=FY","BEST_FPERIOD_OVERRIDE=FY","FILING_STATUS=MR","EQY_CONSOLIDATED=Y","Sort=A","Dates=H","DateFormat=P","Fill=—","Direction=H","UseDPDF=Y")</f>
        <v>330.83859999999999</v>
      </c>
      <c r="G16" s="18">
        <f>_xll.BDH("TATASTL IN Equity","TOT_DEBT_TO_TOT_EQY","FY 2010","FY 2010","Currency=INR","Period=FY","BEST_FPERIOD_OVERRIDE=FY","FILING_STATUS=MR","EQY_CONSOLIDATED=Y","Sort=A","Dates=H","DateFormat=P","Fill=—","Direction=H","UseDPDF=Y")</f>
        <v>283.86</v>
      </c>
      <c r="H16" s="18">
        <f>_xll.BDH("TATASTL IN Equity","TOT_DEBT_TO_TOT_EQY","FY 2011","FY 2011","Currency=INR","Period=FY","BEST_FPERIOD_OVERRIDE=FY","FILING_STATUS=MR","EQY_CONSOLIDATED=Y","Sort=A","Dates=H","DateFormat=P","Fill=—","Direction=H","UseDPDF=Y")</f>
        <v>279.31939999999997</v>
      </c>
      <c r="I16" s="18">
        <f>_xll.BDH("TATASTL IN Equity","TOT_DEBT_TO_TOT_EQY","FY 2012","FY 2012","Currency=INR","Period=FY","BEST_FPERIOD_OVERRIDE=FY","FILING_STATUS=MR","EQY_CONSOLIDATED=Y","Sort=A","Dates=H","DateFormat=P","Fill=—","Direction=H","UseDPDF=Y")</f>
        <v>265.39789999999999</v>
      </c>
      <c r="J16" s="18">
        <f>_xll.BDH("TATASTL IN Equity","TOT_DEBT_TO_TOT_EQY","FY 2013","FY 2013","Currency=INR","Period=FY","BEST_FPERIOD_OVERRIDE=FY","FILING_STATUS=MR","EQY_CONSOLIDATED=Y","Sort=A","Dates=H","DateFormat=P","Fill=—","Direction=H","UseDPDF=Y")</f>
        <v>306.6268</v>
      </c>
      <c r="K16" s="18">
        <f>_xll.BDH("TATASTL IN Equity","TOT_DEBT_TO_TOT_EQY","FY 2014","FY 2014","Currency=INR","Period=FY","BEST_FPERIOD_OVERRIDE=FY","FILING_STATUS=MR","EQY_CONSOLIDATED=Y","Sort=A","Dates=H","DateFormat=P","Fill=—","Direction=H","UseDPDF=Y")</f>
        <v>383.08370000000002</v>
      </c>
      <c r="L16" s="18">
        <f>_xll.BDH("TATASTL IN Equity","TOT_DEBT_TO_TOT_EQY","FY 2015","FY 2015","Currency=INR","Period=FY","BEST_FPERIOD_OVERRIDE=FY","FILING_STATUS=MR","EQY_CONSOLIDATED=Y","Sort=A","Dates=H","DateFormat=P","Fill=—","Direction=H","UseDPDF=Y")</f>
        <v>493.47300000000001</v>
      </c>
      <c r="M16" s="18">
        <f>_xll.BDH("TATASTL IN Equity","TOT_DEBT_TO_TOT_EQY","FY 2016","FY 2016","Currency=INR","Period=FY","BEST_FPERIOD_OVERRIDE=FY","FILING_STATUS=MR","EQY_CONSOLIDATED=Y","Sort=A","Dates=H","DateFormat=P","Fill=—","Direction=H","UseDPDF=Y")</f>
        <v>2209.6709999999998</v>
      </c>
      <c r="N16" s="18" t="str">
        <f>_xll.BDH("TATASTL IN Equity","TOT_DEBT_TO_TOT_EQY","FY 2017","FY 2017","Currency=INR","Period=FY","BEST_FPERIOD_OVERRIDE=FY","FILING_STATUS=MR","EQY_CONSOLIDATED=Y","Sort=A","Dates=H","DateFormat=P","Fill=—","Direction=H","UseDPDF=Y")</f>
        <v>—</v>
      </c>
      <c r="O16" s="18" t="str">
        <f>_xll.BDH("TATASTL IN Equity","TOT_DEBT_TO_TOT_EQY","FY 2018","FY 2018","Currency=INR","Period=FY","BEST_FPERIOD_OVERRIDE=FY","FILING_STATUS=MR","EQY_CONSOLIDATED=Y","Sort=A","Dates=H","DateFormat=P","Fill=—","Direction=H","UseDPDF=Y")</f>
        <v>—</v>
      </c>
      <c r="P16" s="18">
        <f>_xll.BDH("TATASTL IN Equity","TOT_DEBT_TO_TOT_EQY","FY 2019","FY 2019","Currency=INR","Period=FY","BEST_FPERIOD_OVERRIDE=FY","FILING_STATUS=MR","EQY_CONSOLIDATED=Y","Sort=A","Dates=H","DateFormat=P","Fill=—","Direction=H","UseDPDF=Y")</f>
        <v>92.995099999999994</v>
      </c>
      <c r="Q16" s="18">
        <f>_xll.BDH("TATASTL IN Equity","TOT_DEBT_TO_TOT_EQY","FY 2020","FY 2020","Currency=INR","Period=FY","BEST_FPERIOD_OVERRIDE=FY","FILING_STATUS=MR","EQY_CONSOLIDATED=Y","Sort=A","Dates=H","DateFormat=P","Fill=—","Direction=H","UseDPDF=Y")</f>
        <v>90.547700000000006</v>
      </c>
      <c r="R16" s="18">
        <f>_xll.BDH("TATASTL IN Equity","TOT_DEBT_TO_TOT_EQY","FY 2021","FY 2021","Currency=INR","Period=FY","BEST_FPERIOD_OVERRIDE=FY","FILING_STATUS=MR","EQY_CONSOLIDATED=Y","Sort=A","Dates=H","DateFormat=P","Fill=—","Direction=H","UseDPDF=Y")</f>
        <v>51.494199999999999</v>
      </c>
    </row>
    <row r="17" spans="1:18" x14ac:dyDescent="0.25">
      <c r="A17" s="3" t="s">
        <v>81</v>
      </c>
      <c r="B17" s="3" t="s">
        <v>82</v>
      </c>
      <c r="C17" s="18">
        <f>_xll.BDH("TATASTL IN Equity","TOT_DEBT_TO_TOT_CAP","FY 2006","FY 2006","Currency=INR","Period=FY","BEST_FPERIOD_OVERRIDE=FY","FILING_STATUS=MR","EQY_CONSOLIDATED=Y","Sort=A","Dates=H","DateFormat=P","Fill=—","Direction=H","UseDPDF=Y")</f>
        <v>69.507300000000001</v>
      </c>
      <c r="D17" s="18">
        <f>_xll.BDH("TATASTL IN Equity","TOT_DEBT_TO_TOT_CAP","FY 2007","FY 2007","Currency=INR","Period=FY","BEST_FPERIOD_OVERRIDE=FY","FILING_STATUS=MR","EQY_CONSOLIDATED=Y","Sort=A","Dates=H","DateFormat=P","Fill=—","Direction=H","UseDPDF=Y")</f>
        <v>72.747500000000002</v>
      </c>
      <c r="E17" s="18">
        <f>_xll.BDH("TATASTL IN Equity","TOT_DEBT_TO_TOT_CAP","FY 2008","FY 2008","Currency=INR","Period=FY","BEST_FPERIOD_OVERRIDE=FY","FILING_STATUS=MR","EQY_CONSOLIDATED=Y","Sort=A","Dates=H","DateFormat=P","Fill=—","Direction=H","UseDPDF=Y")</f>
        <v>77.866699999999994</v>
      </c>
      <c r="F17" s="18">
        <f>_xll.BDH("TATASTL IN Equity","TOT_DEBT_TO_TOT_CAP","FY 2009","FY 2009","Currency=INR","Period=FY","BEST_FPERIOD_OVERRIDE=FY","FILING_STATUS=MR","EQY_CONSOLIDATED=Y","Sort=A","Dates=H","DateFormat=P","Fill=—","Direction=H","UseDPDF=Y")</f>
        <v>76.789500000000004</v>
      </c>
      <c r="G17" s="18">
        <f>_xll.BDH("TATASTL IN Equity","TOT_DEBT_TO_TOT_CAP","FY 2010","FY 2010","Currency=INR","Period=FY","BEST_FPERIOD_OVERRIDE=FY","FILING_STATUS=MR","EQY_CONSOLIDATED=Y","Sort=A","Dates=H","DateFormat=P","Fill=—","Direction=H","UseDPDF=Y")</f>
        <v>73.948800000000006</v>
      </c>
      <c r="H17" s="18">
        <f>_xll.BDH("TATASTL IN Equity","TOT_DEBT_TO_TOT_CAP","FY 2011","FY 2011","Currency=INR","Period=FY","BEST_FPERIOD_OVERRIDE=FY","FILING_STATUS=MR","EQY_CONSOLIDATED=Y","Sort=A","Dates=H","DateFormat=P","Fill=—","Direction=H","UseDPDF=Y")</f>
        <v>73.637</v>
      </c>
      <c r="I17" s="18">
        <f>_xll.BDH("TATASTL IN Equity","TOT_DEBT_TO_TOT_CAP","FY 2012","FY 2012","Currency=INR","Period=FY","BEST_FPERIOD_OVERRIDE=FY","FILING_STATUS=MR","EQY_CONSOLIDATED=Y","Sort=A","Dates=H","DateFormat=P","Fill=—","Direction=H","UseDPDF=Y")</f>
        <v>72.632599999999996</v>
      </c>
      <c r="J17" s="18">
        <f>_xll.BDH("TATASTL IN Equity","TOT_DEBT_TO_TOT_CAP","FY 2013","FY 2013","Currency=INR","Period=FY","BEST_FPERIOD_OVERRIDE=FY","FILING_STATUS=MR","EQY_CONSOLIDATED=Y","Sort=A","Dates=H","DateFormat=P","Fill=—","Direction=H","UseDPDF=Y")</f>
        <v>75.407399999999996</v>
      </c>
      <c r="K17" s="18">
        <f>_xll.BDH("TATASTL IN Equity","TOT_DEBT_TO_TOT_CAP","FY 2014","FY 2014","Currency=INR","Period=FY","BEST_FPERIOD_OVERRIDE=FY","FILING_STATUS=MR","EQY_CONSOLIDATED=Y","Sort=A","Dates=H","DateFormat=P","Fill=—","Direction=H","UseDPDF=Y")</f>
        <v>79.299700000000001</v>
      </c>
      <c r="L17" s="18">
        <f>_xll.BDH("TATASTL IN Equity","TOT_DEBT_TO_TOT_CAP","FY 2015","FY 2015","Currency=INR","Period=FY","BEST_FPERIOD_OVERRIDE=FY","FILING_STATUS=MR","EQY_CONSOLIDATED=Y","Sort=A","Dates=H","DateFormat=P","Fill=—","Direction=H","UseDPDF=Y")</f>
        <v>83.15</v>
      </c>
      <c r="M17" s="18">
        <f>_xll.BDH("TATASTL IN Equity","TOT_DEBT_TO_TOT_CAP","FY 2016","FY 2016","Currency=INR","Period=FY","BEST_FPERIOD_OVERRIDE=FY","FILING_STATUS=MR","EQY_CONSOLIDATED=Y","Sort=A","Dates=H","DateFormat=P","Fill=—","Direction=H","UseDPDF=Y")</f>
        <v>95.670400000000001</v>
      </c>
      <c r="N17" s="18">
        <f>_xll.BDH("TATASTL IN Equity","TOT_DEBT_TO_TOT_CAP","FY 2017","FY 2017","Currency=INR","Period=FY","BEST_FPERIOD_OVERRIDE=FY","FILING_STATUS=MR","EQY_CONSOLIDATED=Y","Sort=A","Dates=H","DateFormat=P","Fill=—","Direction=H","UseDPDF=Y")</f>
        <v>103.0616</v>
      </c>
      <c r="O17" s="18">
        <f>_xll.BDH("TATASTL IN Equity","TOT_DEBT_TO_TOT_CAP","FY 2018","FY 2018","Currency=INR","Period=FY","BEST_FPERIOD_OVERRIDE=FY","FILING_STATUS=MR","EQY_CONSOLIDATED=Y","Sort=A","Dates=H","DateFormat=P","Fill=—","Direction=H","UseDPDF=Y")</f>
        <v>210.3708</v>
      </c>
      <c r="P17" s="18">
        <f>_xll.BDH("TATASTL IN Equity","TOT_DEBT_TO_TOT_CAP","FY 2019","FY 2019","Currency=INR","Period=FY","BEST_FPERIOD_OVERRIDE=FY","FILING_STATUS=MR","EQY_CONSOLIDATED=Y","Sort=A","Dates=H","DateFormat=P","Fill=—","Direction=H","UseDPDF=Y")</f>
        <v>48.185200000000002</v>
      </c>
      <c r="Q17" s="18">
        <f>_xll.BDH("TATASTL IN Equity","TOT_DEBT_TO_TOT_CAP","FY 2020","FY 2020","Currency=INR","Period=FY","BEST_FPERIOD_OVERRIDE=FY","FILING_STATUS=MR","EQY_CONSOLIDATED=Y","Sort=A","Dates=H","DateFormat=P","Fill=—","Direction=H","UseDPDF=Y")</f>
        <v>47.5197</v>
      </c>
      <c r="R17" s="18">
        <f>_xll.BDH("TATASTL IN Equity","TOT_DEBT_TO_TOT_CAP","FY 2021","FY 2021","Currency=INR","Period=FY","BEST_FPERIOD_OVERRIDE=FY","FILING_STATUS=MR","EQY_CONSOLIDATED=Y","Sort=A","Dates=H","DateFormat=P","Fill=—","Direction=H","UseDPDF=Y")</f>
        <v>33.990900000000003</v>
      </c>
    </row>
    <row r="18" spans="1:18" x14ac:dyDescent="0.25">
      <c r="A18" s="3" t="s">
        <v>83</v>
      </c>
      <c r="B18" s="3" t="s">
        <v>84</v>
      </c>
      <c r="C18" s="18">
        <f>_xll.BDH("TATASTL IN Equity","TOT_DEBT_TO_TOT_ASSET","FY 2006","FY 2006","Currency=INR","Period=FY","BEST_FPERIOD_OVERRIDE=FY","FILING_STATUS=MR","EQY_CONSOLIDATED=Y","Sort=A","Dates=H","DateFormat=P","Fill=—","Direction=H","UseDPDF=Y")</f>
        <v>57.5779</v>
      </c>
      <c r="D18" s="18">
        <f>_xll.BDH("TATASTL IN Equity","TOT_DEBT_TO_TOT_ASSET","FY 2007","FY 2007","Currency=INR","Period=FY","BEST_FPERIOD_OVERRIDE=FY","FILING_STATUS=MR","EQY_CONSOLIDATED=Y","Sort=A","Dates=H","DateFormat=P","Fill=—","Direction=H","UseDPDF=Y")</f>
        <v>60.0458</v>
      </c>
      <c r="E18" s="18">
        <f>_xll.BDH("TATASTL IN Equity","TOT_DEBT_TO_TOT_ASSET","FY 2008","FY 2008","Currency=INR","Period=FY","BEST_FPERIOD_OVERRIDE=FY","FILING_STATUS=MR","EQY_CONSOLIDATED=Y","Sort=A","Dates=H","DateFormat=P","Fill=—","Direction=H","UseDPDF=Y")</f>
        <v>64.950900000000004</v>
      </c>
      <c r="F18" s="18">
        <f>_xll.BDH("TATASTL IN Equity","TOT_DEBT_TO_TOT_ASSET","FY 2009","FY 2009","Currency=INR","Period=FY","BEST_FPERIOD_OVERRIDE=FY","FILING_STATUS=MR","EQY_CONSOLIDATED=Y","Sort=A","Dates=H","DateFormat=P","Fill=—","Direction=H","UseDPDF=Y")</f>
        <v>66.361599999999996</v>
      </c>
      <c r="G18" s="18">
        <f>_xll.BDH("TATASTL IN Equity","TOT_DEBT_TO_TOT_ASSET","FY 2010","FY 2010","Currency=INR","Period=FY","BEST_FPERIOD_OVERRIDE=FY","FILING_STATUS=MR","EQY_CONSOLIDATED=Y","Sort=A","Dates=H","DateFormat=P","Fill=—","Direction=H","UseDPDF=Y")</f>
        <v>65.559600000000003</v>
      </c>
      <c r="H18" s="18">
        <f>_xll.BDH("TATASTL IN Equity","TOT_DEBT_TO_TOT_ASSET","FY 2011","FY 2011","Currency=INR","Period=FY","BEST_FPERIOD_OVERRIDE=FY","FILING_STATUS=MR","EQY_CONSOLIDATED=Y","Sort=A","Dates=H","DateFormat=P","Fill=—","Direction=H","UseDPDF=Y")</f>
        <v>65.392099999999999</v>
      </c>
      <c r="I18" s="18">
        <f>_xll.BDH("TATASTL IN Equity","TOT_DEBT_TO_TOT_ASSET","FY 2012","FY 2012","Currency=INR","Period=FY","BEST_FPERIOD_OVERRIDE=FY","FILING_STATUS=MR","EQY_CONSOLIDATED=Y","Sort=A","Dates=H","DateFormat=P","Fill=—","Direction=H","UseDPDF=Y")</f>
        <v>63.310600000000001</v>
      </c>
      <c r="J18" s="18">
        <f>_xll.BDH("TATASTL IN Equity","TOT_DEBT_TO_TOT_ASSET","FY 2013","FY 2013","Currency=INR","Period=FY","BEST_FPERIOD_OVERRIDE=FY","FILING_STATUS=MR","EQY_CONSOLIDATED=Y","Sort=A","Dates=H","DateFormat=P","Fill=—","Direction=H","UseDPDF=Y")</f>
        <v>65.510999999999996</v>
      </c>
      <c r="K18" s="18">
        <f>_xll.BDH("TATASTL IN Equity","TOT_DEBT_TO_TOT_ASSET","FY 2014","FY 2014","Currency=INR","Period=FY","BEST_FPERIOD_OVERRIDE=FY","FILING_STATUS=MR","EQY_CONSOLIDATED=Y","Sort=A","Dates=H","DateFormat=P","Fill=—","Direction=H","UseDPDF=Y")</f>
        <v>68.918199999999999</v>
      </c>
      <c r="L18" s="18">
        <f>_xll.BDH("TATASTL IN Equity","TOT_DEBT_TO_TOT_ASSET","FY 2015","FY 2015","Currency=INR","Period=FY","BEST_FPERIOD_OVERRIDE=FY","FILING_STATUS=MR","EQY_CONSOLIDATED=Y","Sort=A","Dates=H","DateFormat=P","Fill=—","Direction=H","UseDPDF=Y")</f>
        <v>73.800399999999996</v>
      </c>
      <c r="M18" s="18">
        <f>_xll.BDH("TATASTL IN Equity","TOT_DEBT_TO_TOT_ASSET","FY 2016","FY 2016","Currency=INR","Period=FY","BEST_FPERIOD_OVERRIDE=FY","FILING_STATUS=MR","EQY_CONSOLIDATED=Y","Sort=A","Dates=H","DateFormat=P","Fill=—","Direction=H","UseDPDF=Y")</f>
        <v>78.860900000000001</v>
      </c>
      <c r="N18" s="18">
        <f>_xll.BDH("TATASTL IN Equity","TOT_DEBT_TO_TOT_ASSET","FY 2017","FY 2017","Currency=INR","Period=FY","BEST_FPERIOD_OVERRIDE=FY","FILING_STATUS=MR","EQY_CONSOLIDATED=Y","Sort=A","Dates=H","DateFormat=P","Fill=—","Direction=H","UseDPDF=Y")</f>
        <v>82.963499999999996</v>
      </c>
      <c r="O18" s="18">
        <f>_xll.BDH("TATASTL IN Equity","TOT_DEBT_TO_TOT_ASSET","FY 2018","FY 2018","Currency=INR","Period=FY","BEST_FPERIOD_OVERRIDE=FY","FILING_STATUS=MR","EQY_CONSOLIDATED=Y","Sort=A","Dates=H","DateFormat=P","Fill=—","Direction=H","UseDPDF=Y")</f>
        <v>124.6353</v>
      </c>
      <c r="P18" s="18">
        <f>_xll.BDH("TATASTL IN Equity","TOT_DEBT_TO_TOT_ASSET","FY 2019","FY 2019","Currency=INR","Period=FY","BEST_FPERIOD_OVERRIDE=FY","FILING_STATUS=MR","EQY_CONSOLIDATED=Y","Sort=A","Dates=H","DateFormat=P","Fill=—","Direction=H","UseDPDF=Y")</f>
        <v>43.0336</v>
      </c>
      <c r="Q18" s="18">
        <f>_xll.BDH("TATASTL IN Equity","TOT_DEBT_TO_TOT_ASSET","FY 2020","FY 2020","Currency=INR","Period=FY","BEST_FPERIOD_OVERRIDE=FY","FILING_STATUS=MR","EQY_CONSOLIDATED=Y","Sort=A","Dates=H","DateFormat=P","Fill=—","Direction=H","UseDPDF=Y")</f>
        <v>43.135599999999997</v>
      </c>
      <c r="R18" s="18">
        <f>_xll.BDH("TATASTL IN Equity","TOT_DEBT_TO_TOT_ASSET","FY 2021","FY 2021","Currency=INR","Period=FY","BEST_FPERIOD_OVERRIDE=FY","FILING_STATUS=MR","EQY_CONSOLIDATED=Y","Sort=A","Dates=H","DateFormat=P","Fill=—","Direction=H","UseDPDF=Y")</f>
        <v>29.141100000000002</v>
      </c>
    </row>
    <row r="19" spans="1:18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3" t="s">
        <v>85</v>
      </c>
      <c r="B20" s="3" t="s">
        <v>86</v>
      </c>
      <c r="C20" s="18">
        <f>_xll.BDH("TATASTL IN Equity","CASH_FLOW_TO_TOT_LIAB","FY 2006","FY 2006","Currency=INR","Period=FY","BEST_FPERIOD_OVERRIDE=FY","FILING_STATUS=MR","EQY_CONSOLIDATED=Y","Sort=A","Dates=H","DateFormat=P","Fill=—","Direction=H","UseDPDF=Y")</f>
        <v>11.091799999999999</v>
      </c>
      <c r="D20" s="18">
        <f>_xll.BDH("TATASTL IN Equity","CASH_FLOW_TO_TOT_LIAB","FY 2007","FY 2007","Currency=INR","Period=FY","BEST_FPERIOD_OVERRIDE=FY","FILING_STATUS=MR","EQY_CONSOLIDATED=Y","Sort=A","Dates=H","DateFormat=P","Fill=—","Direction=H","UseDPDF=Y")</f>
        <v>2.5091999999999999</v>
      </c>
      <c r="E20" s="18">
        <f>_xll.BDH("TATASTL IN Equity","CASH_FLOW_TO_TOT_LIAB","FY 2008","FY 2008","Currency=INR","Period=FY","BEST_FPERIOD_OVERRIDE=FY","FILING_STATUS=MR","EQY_CONSOLIDATED=Y","Sort=A","Dates=H","DateFormat=P","Fill=—","Direction=H","UseDPDF=Y")</f>
        <v>-0.55089999999999995</v>
      </c>
      <c r="F20" s="18">
        <f>_xll.BDH("TATASTL IN Equity","CASH_FLOW_TO_TOT_LIAB","FY 2009","FY 2009","Currency=INR","Period=FY","BEST_FPERIOD_OVERRIDE=FY","FILING_STATUS=MR","EQY_CONSOLIDATED=Y","Sort=A","Dates=H","DateFormat=P","Fill=—","Direction=H","UseDPDF=Y")</f>
        <v>-4.4622999999999999</v>
      </c>
      <c r="G20" s="18">
        <f>_xll.BDH("TATASTL IN Equity","CASH_FLOW_TO_TOT_LIAB","FY 2010","FY 2010","Currency=INR","Period=FY","BEST_FPERIOD_OVERRIDE=FY","FILING_STATUS=MR","EQY_CONSOLIDATED=Y","Sort=A","Dates=H","DateFormat=P","Fill=—","Direction=H","UseDPDF=Y")</f>
        <v>-4.3209</v>
      </c>
      <c r="H20" s="18">
        <f>_xll.BDH("TATASTL IN Equity","CASH_FLOW_TO_TOT_LIAB","FY 2011","FY 2011","Currency=INR","Period=FY","BEST_FPERIOD_OVERRIDE=FY","FILING_STATUS=MR","EQY_CONSOLIDATED=Y","Sort=A","Dates=H","DateFormat=P","Fill=—","Direction=H","UseDPDF=Y")</f>
        <v>-3.0743</v>
      </c>
      <c r="I20" s="18">
        <f>_xll.BDH("TATASTL IN Equity","CASH_FLOW_TO_TOT_LIAB","FY 2012","FY 2012","Currency=INR","Period=FY","BEST_FPERIOD_OVERRIDE=FY","FILING_STATUS=MR","EQY_CONSOLIDATED=Y","Sort=A","Dates=H","DateFormat=P","Fill=—","Direction=H","UseDPDF=Y")</f>
        <v>0.47249999999999998</v>
      </c>
      <c r="J20" s="18">
        <f>_xll.BDH("TATASTL IN Equity","CASH_FLOW_TO_TOT_LIAB","FY 2013","FY 2013","Currency=INR","Period=FY","BEST_FPERIOD_OVERRIDE=FY","FILING_STATUS=MR","EQY_CONSOLIDATED=Y","Sort=A","Dates=H","DateFormat=P","Fill=—","Direction=H","UseDPDF=Y")</f>
        <v>-8.4332999999999991</v>
      </c>
      <c r="K20" s="18">
        <f>_xll.BDH("TATASTL IN Equity","CASH_FLOW_TO_TOT_LIAB","FY 2014","FY 2014","Currency=INR","Period=FY","BEST_FPERIOD_OVERRIDE=FY","FILING_STATUS=MR","EQY_CONSOLIDATED=Y","Sort=A","Dates=H","DateFormat=P","Fill=—","Direction=H","UseDPDF=Y")</f>
        <v>-1.9359</v>
      </c>
      <c r="L20" s="18">
        <f>_xll.BDH("TATASTL IN Equity","CASH_FLOW_TO_TOT_LIAB","FY 2015","FY 2015","Currency=INR","Period=FY","BEST_FPERIOD_OVERRIDE=FY","FILING_STATUS=MR","EQY_CONSOLIDATED=Y","Sort=A","Dates=H","DateFormat=P","Fill=—","Direction=H","UseDPDF=Y")</f>
        <v>-4.7767999999999997</v>
      </c>
      <c r="M20" s="18">
        <f>_xll.BDH("TATASTL IN Equity","CASH_FLOW_TO_TOT_LIAB","FY 2016","FY 2016","Currency=INR","Period=FY","BEST_FPERIOD_OVERRIDE=FY","FILING_STATUS=MR","EQY_CONSOLIDATED=Y","Sort=A","Dates=H","DateFormat=P","Fill=—","Direction=H","UseDPDF=Y")</f>
        <v>-5.2939999999999996</v>
      </c>
      <c r="N20" s="18">
        <f>_xll.BDH("TATASTL IN Equity","CASH_FLOW_TO_TOT_LIAB","FY 2017","FY 2017","Currency=INR","Period=FY","BEST_FPERIOD_OVERRIDE=FY","FILING_STATUS=MR","EQY_CONSOLIDATED=Y","Sort=A","Dates=H","DateFormat=P","Fill=—","Direction=H","UseDPDF=Y")</f>
        <v>-1.1160000000000001</v>
      </c>
      <c r="O20" s="18">
        <f>_xll.BDH("TATASTL IN Equity","CASH_FLOW_TO_TOT_LIAB","FY 2018","FY 2018","Currency=INR","Period=FY","BEST_FPERIOD_OVERRIDE=FY","FILING_STATUS=MR","EQY_CONSOLIDATED=Y","Sort=A","Dates=H","DateFormat=P","Fill=—","Direction=H","UseDPDF=Y")</f>
        <v>1.0274000000000001</v>
      </c>
      <c r="P20" s="18">
        <f>_xll.BDH("TATASTL IN Equity","CASH_FLOW_TO_TOT_LIAB","FY 2019","FY 2019","Currency=INR","Period=FY","BEST_FPERIOD_OVERRIDE=FY","FILING_STATUS=MR","EQY_CONSOLIDATED=Y","Sort=A","Dates=H","DateFormat=P","Fill=—","Direction=H","UseDPDF=Y")</f>
        <v>-30.724599999999999</v>
      </c>
      <c r="Q20" s="18">
        <f>_xll.BDH("TATASTL IN Equity","CASH_FLOW_TO_TOT_LIAB","FY 2020","FY 2020","Currency=INR","Period=FY","BEST_FPERIOD_OVERRIDE=FY","FILING_STATUS=MR","EQY_CONSOLIDATED=Y","Sort=A","Dates=H","DateFormat=P","Fill=—","Direction=H","UseDPDF=Y")</f>
        <v>2.6225000000000001</v>
      </c>
      <c r="R20" s="18">
        <f>_xll.BDH("TATASTL IN Equity","CASH_FLOW_TO_TOT_LIAB","FY 2021","FY 2021","Currency=INR","Period=FY","BEST_FPERIOD_OVERRIDE=FY","FILING_STATUS=MR","EQY_CONSOLIDATED=Y","Sort=A","Dates=H","DateFormat=P","Fill=—","Direction=H","UseDPDF=Y")</f>
        <v>43.1965</v>
      </c>
    </row>
    <row r="21" spans="1:18" x14ac:dyDescent="0.25">
      <c r="A21" s="3" t="s">
        <v>87</v>
      </c>
      <c r="B21" s="3" t="s">
        <v>88</v>
      </c>
      <c r="C21" s="18">
        <f>_xll.BDH("TATASTL IN Equity","CAP_EXPEND_RATIO","FY 2006","FY 2006","Currency=INR","Period=FY","BEST_FPERIOD_OVERRIDE=FY","FILING_STATUS=MR","EQY_CONSOLIDATED=Y","Sort=A","Dates=H","DateFormat=P","Fill=—","Direction=H","UseDPDF=Y")</f>
        <v>0.30509999999999998</v>
      </c>
      <c r="D21" s="18">
        <f>_xll.BDH("TATASTL IN Equity","CAP_EXPEND_RATIO","FY 2007","FY 2007","Currency=INR","Period=FY","BEST_FPERIOD_OVERRIDE=FY","FILING_STATUS=MR","EQY_CONSOLIDATED=Y","Sort=A","Dates=H","DateFormat=P","Fill=—","Direction=H","UseDPDF=Y")</f>
        <v>7.9299999999999995E-2</v>
      </c>
      <c r="E21" s="18">
        <f>_xll.BDH("TATASTL IN Equity","CAP_EXPEND_RATIO","FY 2008","FY 2008","Currency=INR","Period=FY","BEST_FPERIOD_OVERRIDE=FY","FILING_STATUS=MR","EQY_CONSOLIDATED=Y","Sort=A","Dates=H","DateFormat=P","Fill=—","Direction=H","UseDPDF=Y")</f>
        <v>-1.6400000000000001E-2</v>
      </c>
      <c r="F21" s="18">
        <f>_xll.BDH("TATASTL IN Equity","CAP_EXPEND_RATIO","FY 2009","FY 2009","Currency=INR","Period=FY","BEST_FPERIOD_OVERRIDE=FY","FILING_STATUS=MR","EQY_CONSOLIDATED=Y","Sort=A","Dates=H","DateFormat=P","Fill=—","Direction=H","UseDPDF=Y")</f>
        <v>-0.2442</v>
      </c>
      <c r="G21" s="18">
        <f>_xll.BDH("TATASTL IN Equity","CAP_EXPEND_RATIO","FY 2010","FY 2010","Currency=INR","Period=FY","BEST_FPERIOD_OVERRIDE=FY","FILING_STATUS=MR","EQY_CONSOLIDATED=Y","Sort=A","Dates=H","DateFormat=P","Fill=—","Direction=H","UseDPDF=Y")</f>
        <v>-0.1792</v>
      </c>
      <c r="H21" s="18">
        <f>_xll.BDH("TATASTL IN Equity","CAP_EXPEND_RATIO","FY 2011","FY 2011","Currency=INR","Period=FY","BEST_FPERIOD_OVERRIDE=FY","FILING_STATUS=MR","EQY_CONSOLIDATED=Y","Sort=A","Dates=H","DateFormat=P","Fill=—","Direction=H","UseDPDF=Y")</f>
        <v>-0.105</v>
      </c>
      <c r="I21" s="18">
        <f>_xll.BDH("TATASTL IN Equity","CAP_EXPEND_RATIO","FY 2012","FY 2012","Currency=INR","Period=FY","BEST_FPERIOD_OVERRIDE=FY","FILING_STATUS=MR","EQY_CONSOLIDATED=Y","Sort=A","Dates=H","DateFormat=P","Fill=—","Direction=H","UseDPDF=Y")</f>
        <v>2.58E-2</v>
      </c>
      <c r="J21" s="18">
        <f>_xll.BDH("TATASTL IN Equity","CAP_EXPEND_RATIO","FY 2013","FY 2013","Currency=INR","Period=FY","BEST_FPERIOD_OVERRIDE=FY","FILING_STATUS=MR","EQY_CONSOLIDATED=Y","Sort=A","Dates=H","DateFormat=P","Fill=—","Direction=H","UseDPDF=Y")</f>
        <v>-0.63770000000000004</v>
      </c>
      <c r="K21" s="18">
        <f>_xll.BDH("TATASTL IN Equity","CAP_EXPEND_RATIO","FY 2014","FY 2014","Currency=INR","Period=FY","BEST_FPERIOD_OVERRIDE=FY","FILING_STATUS=MR","EQY_CONSOLIDATED=Y","Sort=A","Dates=H","DateFormat=P","Fill=—","Direction=H","UseDPDF=Y")</f>
        <v>-0.16639999999999999</v>
      </c>
      <c r="L21" s="18">
        <f>_xll.BDH("TATASTL IN Equity","CAP_EXPEND_RATIO","FY 2015","FY 2015","Currency=INR","Period=FY","BEST_FPERIOD_OVERRIDE=FY","FILING_STATUS=MR","EQY_CONSOLIDATED=Y","Sort=A","Dates=H","DateFormat=P","Fill=—","Direction=H","UseDPDF=Y")</f>
        <v>-1.2503</v>
      </c>
      <c r="M21" s="18">
        <f>_xll.BDH("TATASTL IN Equity","CAP_EXPEND_RATIO","FY 2016","FY 2016","Currency=INR","Period=FY","BEST_FPERIOD_OVERRIDE=FY","FILING_STATUS=MR","EQY_CONSOLIDATED=Y","Sort=A","Dates=H","DateFormat=P","Fill=—","Direction=H","UseDPDF=Y")</f>
        <v>-4.2853000000000003</v>
      </c>
      <c r="N21" s="18">
        <f>_xll.BDH("TATASTL IN Equity","CAP_EXPEND_RATIO","FY 2017","FY 2017","Currency=INR","Period=FY","BEST_FPERIOD_OVERRIDE=FY","FILING_STATUS=MR","EQY_CONSOLIDATED=Y","Sort=A","Dates=H","DateFormat=P","Fill=—","Direction=H","UseDPDF=Y")</f>
        <v>-2.7292999999999998</v>
      </c>
      <c r="O21" s="18">
        <f>_xll.BDH("TATASTL IN Equity","CAP_EXPEND_RATIO","FY 2018","FY 2018","Currency=INR","Period=FY","BEST_FPERIOD_OVERRIDE=FY","FILING_STATUS=MR","EQY_CONSOLIDATED=Y","Sort=A","Dates=H","DateFormat=P","Fill=—","Direction=H","UseDPDF=Y")</f>
        <v>2.1560999999999999</v>
      </c>
      <c r="P21" s="18">
        <f>_xll.BDH("TATASTL IN Equity","CAP_EXPEND_RATIO","FY 2019","FY 2019","Currency=INR","Period=FY","BEST_FPERIOD_OVERRIDE=FY","FILING_STATUS=MR","EQY_CONSOLIDATED=Y","Sort=A","Dates=H","DateFormat=P","Fill=—","Direction=H","UseDPDF=Y")</f>
        <v>-18.437899999999999</v>
      </c>
      <c r="Q21" s="18">
        <f>_xll.BDH("TATASTL IN Equity","CAP_EXPEND_RATIO","FY 2020","FY 2020","Currency=INR","Period=FY","BEST_FPERIOD_OVERRIDE=FY","FILING_STATUS=MR","EQY_CONSOLIDATED=Y","Sort=A","Dates=H","DateFormat=P","Fill=—","Direction=H","UseDPDF=Y")</f>
        <v>0.8589</v>
      </c>
      <c r="R21" s="18">
        <f>_xll.BDH("TATASTL IN Equity","CAP_EXPEND_RATIO","FY 2021","FY 2021","Currency=INR","Period=FY","BEST_FPERIOD_OVERRIDE=FY","FILING_STATUS=MR","EQY_CONSOLIDATED=Y","Sort=A","Dates=H","DateFormat=P","Fill=—","Direction=H","UseDPDF=Y")</f>
        <v>48.265900000000002</v>
      </c>
    </row>
    <row r="22" spans="1:18" x14ac:dyDescent="0.25">
      <c r="A22" s="3" t="s">
        <v>89</v>
      </c>
      <c r="B22" s="3" t="s">
        <v>90</v>
      </c>
      <c r="C22" s="18">
        <f>_xll.BDH("TATASTL IN Equity","ALTMAN_Z_SCORE","FY 2006","FY 2006","Currency=INR","Period=FY","BEST_FPERIOD_OVERRIDE=FY","FILING_STATUS=MR","EQY_CONSOLIDATED=Y","Sort=A","Dates=H","DateFormat=P","Fill=—","Direction=H","UseDPDF=Y")</f>
        <v>1.3026</v>
      </c>
      <c r="D22" s="18">
        <f>_xll.BDH("TATASTL IN Equity","ALTMAN_Z_SCORE","FY 2007","FY 2007","Currency=INR","Period=FY","BEST_FPERIOD_OVERRIDE=FY","FILING_STATUS=MR","EQY_CONSOLIDATED=Y","Sort=A","Dates=H","DateFormat=P","Fill=—","Direction=H","UseDPDF=Y")</f>
        <v>1.381</v>
      </c>
      <c r="E22" s="18">
        <f>_xll.BDH("TATASTL IN Equity","ALTMAN_Z_SCORE","FY 2008","FY 2008","Currency=INR","Period=FY","BEST_FPERIOD_OVERRIDE=FY","FILING_STATUS=MR","EQY_CONSOLIDATED=Y","Sort=A","Dates=H","DateFormat=P","Fill=—","Direction=H","UseDPDF=Y")</f>
        <v>1.0515000000000001</v>
      </c>
      <c r="F22" s="18">
        <f>_xll.BDH("TATASTL IN Equity","ALTMAN_Z_SCORE","FY 2009","FY 2009","Currency=INR","Period=FY","BEST_FPERIOD_OVERRIDE=FY","FILING_STATUS=MR","EQY_CONSOLIDATED=Y","Sort=A","Dates=H","DateFormat=P","Fill=—","Direction=H","UseDPDF=Y")</f>
        <v>0.87539999999999996</v>
      </c>
      <c r="G22" s="18">
        <f>_xll.BDH("TATASTL IN Equity","ALTMAN_Z_SCORE","FY 2010","FY 2010","Currency=INR","Period=FY","BEST_FPERIOD_OVERRIDE=FY","FILING_STATUS=MR","EQY_CONSOLIDATED=Y","Sort=A","Dates=H","DateFormat=P","Fill=—","Direction=H","UseDPDF=Y")</f>
        <v>1.0246999999999999</v>
      </c>
      <c r="H22" s="18">
        <f>_xll.BDH("TATASTL IN Equity","ALTMAN_Z_SCORE","FY 2011","FY 2011","Currency=INR","Period=FY","BEST_FPERIOD_OVERRIDE=FY","FILING_STATUS=MR","EQY_CONSOLIDATED=Y","Sort=A","Dates=H","DateFormat=P","Fill=—","Direction=H","UseDPDF=Y")</f>
        <v>0.65400000000000003</v>
      </c>
      <c r="I22" s="18">
        <f>_xll.BDH("TATASTL IN Equity","ALTMAN_Z_SCORE","FY 2012","FY 2012","Currency=INR","Period=FY","BEST_FPERIOD_OVERRIDE=FY","FILING_STATUS=MR","EQY_CONSOLIDATED=Y","Sort=A","Dates=H","DateFormat=P","Fill=—","Direction=H","UseDPDF=Y")</f>
        <v>0.65180000000000005</v>
      </c>
      <c r="J22" s="18">
        <f>_xll.BDH("TATASTL IN Equity","ALTMAN_Z_SCORE","FY 2013","FY 2013","Currency=INR","Period=FY","BEST_FPERIOD_OVERRIDE=FY","FILING_STATUS=MR","EQY_CONSOLIDATED=Y","Sort=A","Dates=H","DateFormat=P","Fill=—","Direction=H","UseDPDF=Y")</f>
        <v>0.62219999999999998</v>
      </c>
      <c r="K22" s="18">
        <f>_xll.BDH("TATASTL IN Equity","ALTMAN_Z_SCORE","FY 2014","FY 2014","Currency=INR","Period=FY","BEST_FPERIOD_OVERRIDE=FY","FILING_STATUS=MR","EQY_CONSOLIDATED=Y","Sort=A","Dates=H","DateFormat=P","Fill=—","Direction=H","UseDPDF=Y")</f>
        <v>0.38400000000000001</v>
      </c>
      <c r="L22" s="18">
        <f>_xll.BDH("TATASTL IN Equity","ALTMAN_Z_SCORE","FY 2015","FY 2015","Currency=INR","Period=FY","BEST_FPERIOD_OVERRIDE=FY","FILING_STATUS=MR","EQY_CONSOLIDATED=Y","Sort=A","Dates=H","DateFormat=P","Fill=—","Direction=H","UseDPDF=Y")</f>
        <v>0.2442</v>
      </c>
      <c r="M22" s="18">
        <f>_xll.BDH("TATASTL IN Equity","ALTMAN_Z_SCORE","FY 2016","FY 2016","Currency=INR","Period=FY","BEST_FPERIOD_OVERRIDE=FY","FILING_STATUS=MR","EQY_CONSOLIDATED=Y","Sort=A","Dates=H","DateFormat=P","Fill=—","Direction=H","UseDPDF=Y")</f>
        <v>-6.5299999999999997E-2</v>
      </c>
      <c r="N22" s="18">
        <f>_xll.BDH("TATASTL IN Equity","ALTMAN_Z_SCORE","FY 2017","FY 2017","Currency=INR","Period=FY","BEST_FPERIOD_OVERRIDE=FY","FILING_STATUS=MR","EQY_CONSOLIDATED=Y","Sort=A","Dates=H","DateFormat=P","Fill=—","Direction=H","UseDPDF=Y")</f>
        <v>-0.30890000000000001</v>
      </c>
      <c r="O22" s="18">
        <f>_xll.BDH("TATASTL IN Equity","ALTMAN_Z_SCORE","FY 2018","FY 2018","Currency=INR","Period=FY","BEST_FPERIOD_OVERRIDE=FY","FILING_STATUS=MR","EQY_CONSOLIDATED=Y","Sort=A","Dates=H","DateFormat=P","Fill=—","Direction=H","UseDPDF=Y")</f>
        <v>-2.4232</v>
      </c>
      <c r="P22" s="18">
        <f>_xll.BDH("TATASTL IN Equity","ALTMAN_Z_SCORE","FY 2019","FY 2019","Currency=INR","Period=FY","BEST_FPERIOD_OVERRIDE=FY","FILING_STATUS=MR","EQY_CONSOLIDATED=Y","Sort=A","Dates=H","DateFormat=P","Fill=—","Direction=H","UseDPDF=Y")</f>
        <v>-0.23080000000000001</v>
      </c>
      <c r="Q22" s="18">
        <f>_xll.BDH("TATASTL IN Equity","ALTMAN_Z_SCORE","FY 2020","FY 2020","Currency=INR","Period=FY","BEST_FPERIOD_OVERRIDE=FY","FILING_STATUS=MR","EQY_CONSOLIDATED=Y","Sort=A","Dates=H","DateFormat=P","Fill=—","Direction=H","UseDPDF=Y")</f>
        <v>-0.45050000000000001</v>
      </c>
      <c r="R22" s="18">
        <f>_xll.BDH("TATASTL IN Equity","ALTMAN_Z_SCORE","FY 2021","FY 2021","Currency=INR","Period=FY","BEST_FPERIOD_OVERRIDE=FY","FILING_STATUS=MR","EQY_CONSOLIDATED=Y","Sort=A","Dates=H","DateFormat=P","Fill=—","Direction=H","UseDPDF=Y")</f>
        <v>9.7100000000000006E-2</v>
      </c>
    </row>
    <row r="23" spans="1:18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3" t="s">
        <v>109</v>
      </c>
      <c r="B25" s="3" t="s">
        <v>110</v>
      </c>
      <c r="C25" s="1" t="str">
        <f>_xll.BDH("TATASTL IN Equity","BS_TOT_COM_PAPER_ISSUED","FY 2006","FY 2006","Currency=INR","Period=FY","BEST_FPERIOD_OVERRIDE=FY","FILING_STATUS=MR","EQY_CONSOLIDATED=Y","SCALING_FORMAT=MLN","Sort=A","Dates=H","DateFormat=P","Fill=—","Direction=H","UseDPDF=Y")</f>
        <v>—</v>
      </c>
      <c r="D25" s="1" t="str">
        <f>_xll.BDH("TATASTL IN Equity","BS_TOT_COM_PAPER_ISSUED","FY 2007","FY 2007","Currency=INR","Period=FY","BEST_FPERIOD_OVERRIDE=FY","FILING_STATUS=MR","EQY_CONSOLIDATED=Y","SCALING_FORMAT=MLN","Sort=A","Dates=H","DateFormat=P","Fill=—","Direction=H","UseDPDF=Y")</f>
        <v>—</v>
      </c>
      <c r="E25" s="1">
        <f>_xll.BDH("TATASTL IN Equity","BS_TOT_COM_PAPER_ISSUED","FY 2008","FY 2008","Currency=INR","Period=FY","BEST_FPERIOD_OVERRIDE=FY","FILING_STATUS=MR","EQY_CONSOLIDATED=Y","SCALING_FORMAT=MLN","Sort=A","Dates=H","DateFormat=P","Fill=—","Direction=H","UseDPDF=Y")</f>
        <v>5262.43</v>
      </c>
      <c r="F25" s="1" t="str">
        <f>_xll.BDH("TATASTL IN Equity","BS_TOT_COM_PAPER_ISSUED","FY 2009","FY 2009","Currency=INR","Period=FY","BEST_FPERIOD_OVERRIDE=FY","FILING_STATUS=MR","EQY_CONSOLIDATED=Y","SCALING_FORMAT=MLN","Sort=A","Dates=H","DateFormat=P","Fill=—","Direction=H","UseDPDF=Y")</f>
        <v>—</v>
      </c>
      <c r="G25" s="1" t="str">
        <f>_xll.BDH("TATASTL IN Equity","BS_TOT_COM_PAPER_ISSUED","FY 2010","FY 2010","Currency=INR","Period=FY","BEST_FPERIOD_OVERRIDE=FY","FILING_STATUS=MR","EQY_CONSOLIDATED=Y","SCALING_FORMAT=MLN","Sort=A","Dates=H","DateFormat=P","Fill=—","Direction=H","UseDPDF=Y")</f>
        <v>—</v>
      </c>
      <c r="H25" s="1" t="str">
        <f>_xll.BDH("TATASTL IN Equity","BS_TOT_COM_PAPER_ISSUED","FY 2011","FY 2011","Currency=INR","Period=FY","BEST_FPERIOD_OVERRIDE=FY","FILING_STATUS=MR","EQY_CONSOLIDATED=Y","SCALING_FORMAT=MLN","Sort=A","Dates=H","DateFormat=P","Fill=—","Direction=H","UseDPDF=Y")</f>
        <v>—</v>
      </c>
      <c r="I25" s="1">
        <f>_xll.BDH("TATASTL IN Equity","BS_TOT_COM_PAPER_ISSUED","FY 2012","FY 2012","Currency=INR","Period=FY","BEST_FPERIOD_OVERRIDE=FY","FILING_STATUS=MR","EQY_CONSOLIDATED=Y","SCALING_FORMAT=MLN","Sort=A","Dates=H","DateFormat=P","Fill=—","Direction=H","UseDPDF=Y")</f>
        <v>11679.365</v>
      </c>
      <c r="J25" s="1">
        <f>_xll.BDH("TATASTL IN Equity","BS_TOT_COM_PAPER_ISSUED","FY 2013","FY 2013","Currency=INR","Period=FY","BEST_FPERIOD_OVERRIDE=FY","FILING_STATUS=MR","EQY_CONSOLIDATED=Y","SCALING_FORMAT=MLN","Sort=A","Dates=H","DateFormat=P","Fill=—","Direction=H","UseDPDF=Y")</f>
        <v>6803.1750000000002</v>
      </c>
      <c r="K25" s="1">
        <f>_xll.BDH("TATASTL IN Equity","BS_TOT_COM_PAPER_ISSUED","FY 2014","FY 2014","Currency=INR","Period=FY","BEST_FPERIOD_OVERRIDE=FY","FILING_STATUS=MR","EQY_CONSOLIDATED=Y","SCALING_FORMAT=MLN","Sort=A","Dates=H","DateFormat=P","Fill=—","Direction=H","UseDPDF=Y")</f>
        <v>1382</v>
      </c>
      <c r="L25" s="1">
        <f>_xll.BDH("TATASTL IN Equity","BS_TOT_COM_PAPER_ISSUED","FY 2015","FY 2015","Currency=INR","Period=FY","BEST_FPERIOD_OVERRIDE=FY","FILING_STATUS=MR","EQY_CONSOLIDATED=Y","SCALING_FORMAT=MLN","Sort=A","Dates=H","DateFormat=P","Fill=—","Direction=H","UseDPDF=Y")</f>
        <v>0</v>
      </c>
      <c r="M25" s="1" t="str">
        <f>_xll.BDH("TATASTL IN Equity","BS_TOT_COM_PAPER_ISSUED","FY 2016","FY 2016","Currency=INR","Period=FY","BEST_FPERIOD_OVERRIDE=FY","FILING_STATUS=MR","EQY_CONSOLIDATED=Y","SCALING_FORMAT=MLN","Sort=A","Dates=H","DateFormat=P","Fill=—","Direction=H","UseDPDF=Y")</f>
        <v>—</v>
      </c>
      <c r="N25" s="1" t="str">
        <f>_xll.BDH("TATASTL IN Equity","BS_TOT_COM_PAPER_ISSUED","FY 2017","FY 2017","Currency=INR","Period=FY","BEST_FPERIOD_OVERRIDE=FY","FILING_STATUS=MR","EQY_CONSOLIDATED=Y","SCALING_FORMAT=MLN","Sort=A","Dates=H","DateFormat=P","Fill=—","Direction=H","UseDPDF=Y")</f>
        <v>—</v>
      </c>
      <c r="O25" s="1" t="str">
        <f>_xll.BDH("TATASTL IN Equity","BS_TOT_COM_PAPER_ISSUED","FY 2018","FY 2018","Currency=INR","Period=FY","BEST_FPERIOD_OVERRIDE=FY","FILING_STATUS=MR","EQY_CONSOLIDATED=Y","SCALING_FORMAT=MLN","Sort=A","Dates=H","DateFormat=P","Fill=—","Direction=H","UseDPDF=Y")</f>
        <v>—</v>
      </c>
      <c r="P25" s="1" t="str">
        <f>_xll.BDH("TATASTL IN Equity","BS_TOT_COM_PAPER_ISSUED","FY 2019","FY 2019","Currency=INR","Period=FY","BEST_FPERIOD_OVERRIDE=FY","FILING_STATUS=MR","EQY_CONSOLIDATED=Y","SCALING_FORMAT=MLN","Sort=A","Dates=H","DateFormat=P","Fill=—","Direction=H","UseDPDF=Y")</f>
        <v>—</v>
      </c>
      <c r="Q25" s="1" t="str">
        <f>_xll.BDH("TATASTL IN Equity","BS_TOT_COM_PAPER_ISSUED","FY 2020","FY 2020","Currency=INR","Period=FY","BEST_FPERIOD_OVERRIDE=FY","FILING_STATUS=MR","EQY_CONSOLIDATED=Y","SCALING_FORMAT=MLN","Sort=A","Dates=H","DateFormat=P","Fill=—","Direction=H","UseDPDF=Y")</f>
        <v>—</v>
      </c>
      <c r="R25" s="1" t="str">
        <f>_xll.BDH("TATASTL IN Equity","BS_TOT_COM_PAPER_ISSUED","FY 2021","FY 2021","Currency=INR","Period=FY","BEST_FPERIOD_OVERRIDE=FY","FILING_STATUS=MR","EQY_CONSOLIDATED=Y","SCALING_FORMAT=MLN","Sort=A","Dates=H","DateFormat=P","Fill=—","Direction=H","UseDPDF=Y")</f>
        <v>—</v>
      </c>
    </row>
    <row r="26" spans="1:18" x14ac:dyDescent="0.25">
      <c r="A26" s="13" t="s">
        <v>61</v>
      </c>
      <c r="B26" s="13"/>
      <c r="C26" s="13" t="s"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F3D4-C27C-4CF2-9B31-4137E34C6526}">
  <dimension ref="A1:U21"/>
  <sheetViews>
    <sheetView workbookViewId="0">
      <selection activeCell="F24" sqref="F24"/>
    </sheetView>
  </sheetViews>
  <sheetFormatPr defaultRowHeight="15" x14ac:dyDescent="0.25"/>
  <cols>
    <col min="1" max="1" width="35.140625" customWidth="1"/>
    <col min="2" max="2" width="0" hidden="1" customWidth="1"/>
    <col min="3" max="21" width="11.85546875" customWidth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0.25" x14ac:dyDescent="0.25">
      <c r="A2" s="14" t="s">
        <v>115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6" t="s">
        <v>3</v>
      </c>
      <c r="B4" s="6"/>
      <c r="C4" s="5" t="s">
        <v>6</v>
      </c>
      <c r="D4" s="5" t="s">
        <v>1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92</v>
      </c>
      <c r="N4" s="5" t="s">
        <v>93</v>
      </c>
      <c r="O4" s="5" t="s">
        <v>94</v>
      </c>
      <c r="P4" s="5" t="s">
        <v>95</v>
      </c>
      <c r="Q4" s="5" t="s">
        <v>96</v>
      </c>
      <c r="R4" s="5" t="s">
        <v>97</v>
      </c>
      <c r="S4" s="5" t="s">
        <v>98</v>
      </c>
      <c r="T4" s="5" t="s">
        <v>99</v>
      </c>
      <c r="U4" s="5" t="s">
        <v>112</v>
      </c>
    </row>
    <row r="5" spans="1:21" x14ac:dyDescent="0.25">
      <c r="A5" s="15" t="s">
        <v>15</v>
      </c>
      <c r="B5" s="15"/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100</v>
      </c>
      <c r="N5" s="4" t="s">
        <v>101</v>
      </c>
      <c r="O5" s="4" t="s">
        <v>102</v>
      </c>
      <c r="P5" s="4" t="s">
        <v>103</v>
      </c>
      <c r="Q5" s="4" t="s">
        <v>104</v>
      </c>
      <c r="R5" s="4" t="s">
        <v>105</v>
      </c>
      <c r="S5" s="4" t="s">
        <v>106</v>
      </c>
      <c r="T5" s="4" t="s">
        <v>107</v>
      </c>
      <c r="U5" s="4" t="s">
        <v>113</v>
      </c>
    </row>
    <row r="6" spans="1:21" x14ac:dyDescent="0.25">
      <c r="A6" s="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3" t="s">
        <v>73</v>
      </c>
      <c r="B7" s="3" t="s">
        <v>74</v>
      </c>
      <c r="C7" s="18">
        <f>_xll.BDH("DEWH IN Equity","LT_DEBT_TO_TOT_EQY","FY 2004","FY 2004","Currency=INR","Period=FY","BEST_FPERIOD_OVERRIDE=FY","FILING_STATUS=MR","EQY_CONSOLIDATED=Y","Sort=A","Dates=H","DateFormat=P","Fill=—","Direction=H","UseDPDF=Y")</f>
        <v>841.85410000000002</v>
      </c>
      <c r="D7" s="18">
        <f>_xll.BDH("DEWH IN Equity","LT_DEBT_TO_TOT_EQY","FY 2005","FY 2005","Currency=INR","Period=FY","BEST_FPERIOD_OVERRIDE=FY","FILING_STATUS=MR","EQY_CONSOLIDATED=Y","Sort=A","Dates=H","DateFormat=P","Fill=—","Direction=H","UseDPDF=Y")</f>
        <v>737.13930000000005</v>
      </c>
      <c r="E7" s="18">
        <f>_xll.BDH("DEWH IN Equity","LT_DEBT_TO_TOT_EQY","FY 2006","FY 2006","Currency=INR","Period=FY","BEST_FPERIOD_OVERRIDE=FY","FILING_STATUS=MR","EQY_CONSOLIDATED=Y","Sort=A","Dates=H","DateFormat=P","Fill=—","Direction=H","UseDPDF=Y")</f>
        <v>832.23850000000004</v>
      </c>
      <c r="F7" s="18">
        <f>_xll.BDH("DEWH IN Equity","LT_DEBT_TO_TOT_EQY","FY 2007","FY 2007","Currency=INR","Period=FY","BEST_FPERIOD_OVERRIDE=FY","FILING_STATUS=MR","EQY_CONSOLIDATED=Y","Sort=A","Dates=H","DateFormat=P","Fill=—","Direction=H","UseDPDF=Y")</f>
        <v>862.71209999999996</v>
      </c>
      <c r="G7" s="18">
        <f>_xll.BDH("DEWH IN Equity","LT_DEBT_TO_TOT_EQY","FY 2008","FY 2008","Currency=INR","Period=FY","BEST_FPERIOD_OVERRIDE=FY","FILING_STATUS=MR","EQY_CONSOLIDATED=Y","Sort=A","Dates=H","DateFormat=P","Fill=—","Direction=H","UseDPDF=Y")</f>
        <v>900.26409999999998</v>
      </c>
      <c r="H7" s="18">
        <f>_xll.BDH("DEWH IN Equity","LT_DEBT_TO_TOT_EQY","FY 2009","FY 2009","Currency=INR","Period=FY","BEST_FPERIOD_OVERRIDE=FY","FILING_STATUS=MR","EQY_CONSOLIDATED=Y","Sort=A","Dates=H","DateFormat=P","Fill=—","Direction=H","UseDPDF=Y")</f>
        <v>122.76390000000001</v>
      </c>
      <c r="I7" s="18">
        <f>_xll.BDH("DEWH IN Equity","LT_DEBT_TO_TOT_EQY","FY 2010","FY 2010","Currency=INR","Period=FY","BEST_FPERIOD_OVERRIDE=FY","FILING_STATUS=MR","EQY_CONSOLIDATED=Y","Sort=A","Dates=H","DateFormat=P","Fill=—","Direction=H","UseDPDF=Y")</f>
        <v>87.941100000000006</v>
      </c>
      <c r="J7" s="18">
        <f>_xll.BDH("DEWH IN Equity","LT_DEBT_TO_TOT_EQY","FY 2011","FY 2011","Currency=INR","Period=FY","BEST_FPERIOD_OVERRIDE=FY","FILING_STATUS=MR","EQY_CONSOLIDATED=Y","Sort=A","Dates=H","DateFormat=P","Fill=—","Direction=H","UseDPDF=Y")</f>
        <v>915.92780000000005</v>
      </c>
      <c r="K7" s="18">
        <f>_xll.BDH("DEWH IN Equity","LT_DEBT_TO_TOT_EQY","FY 2012","FY 2012","Currency=INR","Period=FY","BEST_FPERIOD_OVERRIDE=FY","FILING_STATUS=MR","EQY_CONSOLIDATED=Y","Sort=A","Dates=H","DateFormat=P","Fill=—","Direction=H","UseDPDF=Y")</f>
        <v>911.39359999999999</v>
      </c>
      <c r="L7" s="18">
        <f>_xll.BDH("DEWH IN Equity","LT_DEBT_TO_TOT_EQY","FY 2013","FY 2013","Currency=INR","Period=FY","BEST_FPERIOD_OVERRIDE=FY","FILING_STATUS=MR","EQY_CONSOLIDATED=Y","Sort=A","Dates=H","DateFormat=P","Fill=—","Direction=H","UseDPDF=Y")</f>
        <v>820.63549999999998</v>
      </c>
      <c r="M7" s="18">
        <f>_xll.BDH("DEWH IN Equity","LT_DEBT_TO_TOT_EQY","FY 2014","FY 2014","Currency=INR","Period=FY","BEST_FPERIOD_OVERRIDE=FY","FILING_STATUS=MR","EQY_CONSOLIDATED=Y","Sort=A","Dates=H","DateFormat=P","Fill=—","Direction=H","UseDPDF=Y")</f>
        <v>903.38019999999995</v>
      </c>
      <c r="N7" s="18">
        <f>_xll.BDH("DEWH IN Equity","LT_DEBT_TO_TOT_EQY","FY 2015","FY 2015","Currency=INR","Period=FY","BEST_FPERIOD_OVERRIDE=FY","FILING_STATUS=MR","EQY_CONSOLIDATED=Y","Sort=A","Dates=H","DateFormat=P","Fill=—","Direction=H","UseDPDF=Y")</f>
        <v>795.37810000000002</v>
      </c>
      <c r="O7" s="18">
        <f>_xll.BDH("DEWH IN Equity","LT_DEBT_TO_TOT_EQY","FY 2016","FY 2016","Currency=INR","Period=FY","BEST_FPERIOD_OVERRIDE=FY","FILING_STATUS=MR","EQY_CONSOLIDATED=Y","Sort=A","Dates=H","DateFormat=P","Fill=—","Direction=H","UseDPDF=Y")</f>
        <v>837.12850000000003</v>
      </c>
      <c r="P7" s="18">
        <f>_xll.BDH("DEWH IN Equity","LT_DEBT_TO_TOT_EQY","FY 2017","FY 2017","Currency=INR","Period=FY","BEST_FPERIOD_OVERRIDE=FY","FILING_STATUS=MR","EQY_CONSOLIDATED=Y","Sort=A","Dates=H","DateFormat=P","Fill=—","Direction=H","UseDPDF=Y")</f>
        <v>866.6748</v>
      </c>
      <c r="Q7" s="18">
        <f>_xll.BDH("DEWH IN Equity","LT_DEBT_TO_TOT_EQY","FY 2018","FY 2018","Currency=INR","Period=FY","BEST_FPERIOD_OVERRIDE=FY","FILING_STATUS=MR","EQY_CONSOLIDATED=Y","Sort=A","Dates=H","DateFormat=P","Fill=—","Direction=H","UseDPDF=Y")</f>
        <v>0</v>
      </c>
      <c r="R7" s="18">
        <f>_xll.BDH("DEWH IN Equity","LT_DEBT_TO_TOT_EQY","FY 2019","FY 2019","Currency=INR","Period=FY","BEST_FPERIOD_OVERRIDE=FY","FILING_STATUS=MR","EQY_CONSOLIDATED=Y","Sort=A","Dates=H","DateFormat=P","Fill=—","Direction=H","UseDPDF=Y")</f>
        <v>0</v>
      </c>
      <c r="S7" s="18" t="str">
        <f>_xll.BDH("DEWH IN Equity","LT_DEBT_TO_TOT_EQY","FY 2020","FY 2020","Currency=INR","Period=FY","BEST_FPERIOD_OVERRIDE=FY","FILING_STATUS=MR","EQY_CONSOLIDATED=Y","Sort=A","Dates=H","DateFormat=P","Fill=—","Direction=H","UseDPDF=Y")</f>
        <v>—</v>
      </c>
      <c r="T7" s="18" t="str">
        <f>_xll.BDH("DEWH IN Equity","LT_DEBT_TO_TOT_EQY","FY 2021","FY 2021","Currency=INR","Period=FY","BEST_FPERIOD_OVERRIDE=FY","FILING_STATUS=MR","EQY_CONSOLIDATED=Y","Sort=A","Dates=H","DateFormat=P","Fill=—","Direction=H","UseDPDF=Y")</f>
        <v>—</v>
      </c>
      <c r="U7" s="18">
        <f>_xll.BDH("DEWH IN Equity","LT_DEBT_TO_TOT_EQY","FY 2022","FY 2022","Currency=INR","Period=FY","BEST_FPERIOD_OVERRIDE=FY","FILING_STATUS=MR","EQY_CONSOLIDATED=Y","Sort=A","Dates=H","DateFormat=P","Fill=—","Direction=H","UseDPDF=Y")</f>
        <v>0.5706</v>
      </c>
    </row>
    <row r="8" spans="1:21" x14ac:dyDescent="0.25">
      <c r="A8" s="3" t="s">
        <v>75</v>
      </c>
      <c r="B8" s="3" t="s">
        <v>76</v>
      </c>
      <c r="C8" s="18">
        <f>_xll.BDH("DEWH IN Equity","LT_DEBT_TO_TOT_CAP","FY 2004","FY 2004","Currency=INR","Period=FY","BEST_FPERIOD_OVERRIDE=FY","FILING_STATUS=MR","EQY_CONSOLIDATED=Y","Sort=A","Dates=H","DateFormat=P","Fill=—","Direction=H","UseDPDF=Y")</f>
        <v>89.382599999999996</v>
      </c>
      <c r="D8" s="18">
        <f>_xll.BDH("DEWH IN Equity","LT_DEBT_TO_TOT_CAP","FY 2005","FY 2005","Currency=INR","Period=FY","BEST_FPERIOD_OVERRIDE=FY","FILING_STATUS=MR","EQY_CONSOLIDATED=Y","Sort=A","Dates=H","DateFormat=P","Fill=—","Direction=H","UseDPDF=Y")</f>
        <v>88.054599999999994</v>
      </c>
      <c r="E8" s="18">
        <f>_xll.BDH("DEWH IN Equity","LT_DEBT_TO_TOT_CAP","FY 2006","FY 2006","Currency=INR","Period=FY","BEST_FPERIOD_OVERRIDE=FY","FILING_STATUS=MR","EQY_CONSOLIDATED=Y","Sort=A","Dates=H","DateFormat=P","Fill=—","Direction=H","UseDPDF=Y")</f>
        <v>89.273099999999999</v>
      </c>
      <c r="F8" s="18">
        <f>_xll.BDH("DEWH IN Equity","LT_DEBT_TO_TOT_CAP","FY 2007","FY 2007","Currency=INR","Period=FY","BEST_FPERIOD_OVERRIDE=FY","FILING_STATUS=MR","EQY_CONSOLIDATED=Y","Sort=A","Dates=H","DateFormat=P","Fill=—","Direction=H","UseDPDF=Y")</f>
        <v>89.612700000000004</v>
      </c>
      <c r="G8" s="18">
        <f>_xll.BDH("DEWH IN Equity","LT_DEBT_TO_TOT_CAP","FY 2008","FY 2008","Currency=INR","Period=FY","BEST_FPERIOD_OVERRIDE=FY","FILING_STATUS=MR","EQY_CONSOLIDATED=Y","Sort=A","Dates=H","DateFormat=P","Fill=—","Direction=H","UseDPDF=Y")</f>
        <v>90.002600000000001</v>
      </c>
      <c r="H8" s="18">
        <f>_xll.BDH("DEWH IN Equity","LT_DEBT_TO_TOT_CAP","FY 2009","FY 2009","Currency=INR","Period=FY","BEST_FPERIOD_OVERRIDE=FY","FILING_STATUS=MR","EQY_CONSOLIDATED=Y","Sort=A","Dates=H","DateFormat=P","Fill=—","Direction=H","UseDPDF=Y")</f>
        <v>9.9640000000000004</v>
      </c>
      <c r="I8" s="18">
        <f>_xll.BDH("DEWH IN Equity","LT_DEBT_TO_TOT_CAP","FY 2010","FY 2010","Currency=INR","Period=FY","BEST_FPERIOD_OVERRIDE=FY","FILING_STATUS=MR","EQY_CONSOLIDATED=Y","Sort=A","Dates=H","DateFormat=P","Fill=—","Direction=H","UseDPDF=Y")</f>
        <v>7.8791000000000002</v>
      </c>
      <c r="J8" s="18">
        <f>_xll.BDH("DEWH IN Equity","LT_DEBT_TO_TOT_CAP","FY 2011","FY 2011","Currency=INR","Period=FY","BEST_FPERIOD_OVERRIDE=FY","FILING_STATUS=MR","EQY_CONSOLIDATED=Y","Sort=A","Dates=H","DateFormat=P","Fill=—","Direction=H","UseDPDF=Y")</f>
        <v>84.215100000000007</v>
      </c>
      <c r="K8" s="18">
        <f>_xll.BDH("DEWH IN Equity","LT_DEBT_TO_TOT_CAP","FY 2012","FY 2012","Currency=INR","Period=FY","BEST_FPERIOD_OVERRIDE=FY","FILING_STATUS=MR","EQY_CONSOLIDATED=Y","Sort=A","Dates=H","DateFormat=P","Fill=—","Direction=H","UseDPDF=Y")</f>
        <v>84.177899999999994</v>
      </c>
      <c r="L8" s="18">
        <f>_xll.BDH("DEWH IN Equity","LT_DEBT_TO_TOT_CAP","FY 2013","FY 2013","Currency=INR","Period=FY","BEST_FPERIOD_OVERRIDE=FY","FILING_STATUS=MR","EQY_CONSOLIDATED=Y","Sort=A","Dates=H","DateFormat=P","Fill=—","Direction=H","UseDPDF=Y")</f>
        <v>86.592699999999994</v>
      </c>
      <c r="M8" s="18">
        <f>_xll.BDH("DEWH IN Equity","LT_DEBT_TO_TOT_CAP","FY 2014","FY 2014","Currency=INR","Period=FY","BEST_FPERIOD_OVERRIDE=FY","FILING_STATUS=MR","EQY_CONSOLIDATED=Y","Sort=A","Dates=H","DateFormat=P","Fill=—","Direction=H","UseDPDF=Y")</f>
        <v>86.201400000000007</v>
      </c>
      <c r="N8" s="18">
        <f>_xll.BDH("DEWH IN Equity","LT_DEBT_TO_TOT_CAP","FY 2015","FY 2015","Currency=INR","Period=FY","BEST_FPERIOD_OVERRIDE=FY","FILING_STATUS=MR","EQY_CONSOLIDATED=Y","Sort=A","Dates=H","DateFormat=P","Fill=—","Direction=H","UseDPDF=Y")</f>
        <v>81.6751</v>
      </c>
      <c r="O8" s="18">
        <f>_xll.BDH("DEWH IN Equity","LT_DEBT_TO_TOT_CAP","FY 2016","FY 2016","Currency=INR","Period=FY","BEST_FPERIOD_OVERRIDE=FY","FILING_STATUS=MR","EQY_CONSOLIDATED=Y","Sort=A","Dates=H","DateFormat=P","Fill=—","Direction=H","UseDPDF=Y")</f>
        <v>67.910799999999995</v>
      </c>
      <c r="P8" s="18">
        <f>_xll.BDH("DEWH IN Equity","LT_DEBT_TO_TOT_CAP","FY 2017","FY 2017","Currency=INR","Period=FY","BEST_FPERIOD_OVERRIDE=FY","FILING_STATUS=MR","EQY_CONSOLIDATED=Y","Sort=A","Dates=H","DateFormat=P","Fill=—","Direction=H","UseDPDF=Y")</f>
        <v>84.809399999999997</v>
      </c>
      <c r="Q8" s="18">
        <f>_xll.BDH("DEWH IN Equity","LT_DEBT_TO_TOT_CAP","FY 2018","FY 2018","Currency=INR","Period=FY","BEST_FPERIOD_OVERRIDE=FY","FILING_STATUS=MR","EQY_CONSOLIDATED=Y","Sort=A","Dates=H","DateFormat=P","Fill=—","Direction=H","UseDPDF=Y")</f>
        <v>0</v>
      </c>
      <c r="R8" s="18">
        <f>_xll.BDH("DEWH IN Equity","LT_DEBT_TO_TOT_CAP","FY 2019","FY 2019","Currency=INR","Period=FY","BEST_FPERIOD_OVERRIDE=FY","FILING_STATUS=MR","EQY_CONSOLIDATED=Y","Sort=A","Dates=H","DateFormat=P","Fill=—","Direction=H","UseDPDF=Y")</f>
        <v>0</v>
      </c>
      <c r="S8" s="18">
        <f>_xll.BDH("DEWH IN Equity","LT_DEBT_TO_TOT_CAP","FY 2020","FY 2020","Currency=INR","Period=FY","BEST_FPERIOD_OVERRIDE=FY","FILING_STATUS=MR","EQY_CONSOLIDATED=Y","Sort=A","Dates=H","DateFormat=P","Fill=—","Direction=H","UseDPDF=Y")</f>
        <v>0</v>
      </c>
      <c r="T8" s="18">
        <f>_xll.BDH("DEWH IN Equity","LT_DEBT_TO_TOT_CAP","FY 2021","FY 2021","Currency=INR","Period=FY","BEST_FPERIOD_OVERRIDE=FY","FILING_STATUS=MR","EQY_CONSOLIDATED=Y","Sort=A","Dates=H","DateFormat=P","Fill=—","Direction=H","UseDPDF=Y")</f>
        <v>0</v>
      </c>
      <c r="U8" s="18">
        <f>_xll.BDH("DEWH IN Equity","LT_DEBT_TO_TOT_CAP","FY 2022","FY 2022","Currency=INR","Period=FY","BEST_FPERIOD_OVERRIDE=FY","FILING_STATUS=MR","EQY_CONSOLIDATED=Y","Sort=A","Dates=H","DateFormat=P","Fill=—","Direction=H","UseDPDF=Y")</f>
        <v>0.34010000000000001</v>
      </c>
    </row>
    <row r="9" spans="1:21" x14ac:dyDescent="0.25">
      <c r="A9" s="3" t="s">
        <v>77</v>
      </c>
      <c r="B9" s="3" t="s">
        <v>78</v>
      </c>
      <c r="C9" s="18">
        <f>_xll.BDH("DEWH IN Equity","LT_DEBT_TO_TOT_ASSET","FY 2004","FY 2004","Currency=INR","Period=FY","BEST_FPERIOD_OVERRIDE=FY","FILING_STATUS=MR","EQY_CONSOLIDATED=Y","Sort=A","Dates=H","DateFormat=P","Fill=—","Direction=H","UseDPDF=Y")</f>
        <v>87.140799999999999</v>
      </c>
      <c r="D9" s="18">
        <f>_xll.BDH("DEWH IN Equity","LT_DEBT_TO_TOT_ASSET","FY 2005","FY 2005","Currency=INR","Period=FY","BEST_FPERIOD_OVERRIDE=FY","FILING_STATUS=MR","EQY_CONSOLIDATED=Y","Sort=A","Dates=H","DateFormat=P","Fill=—","Direction=H","UseDPDF=Y")</f>
        <v>86.074299999999994</v>
      </c>
      <c r="E9" s="18">
        <f>_xll.BDH("DEWH IN Equity","LT_DEBT_TO_TOT_ASSET","FY 2006","FY 2006","Currency=INR","Period=FY","BEST_FPERIOD_OVERRIDE=FY","FILING_STATUS=MR","EQY_CONSOLIDATED=Y","Sort=A","Dates=H","DateFormat=P","Fill=—","Direction=H","UseDPDF=Y")</f>
        <v>87.820899999999995</v>
      </c>
      <c r="F9" s="18">
        <f>_xll.BDH("DEWH IN Equity","LT_DEBT_TO_TOT_ASSET","FY 2007","FY 2007","Currency=INR","Period=FY","BEST_FPERIOD_OVERRIDE=FY","FILING_STATUS=MR","EQY_CONSOLIDATED=Y","Sort=A","Dates=H","DateFormat=P","Fill=—","Direction=H","UseDPDF=Y")</f>
        <v>86.730400000000003</v>
      </c>
      <c r="G9" s="18">
        <f>_xll.BDH("DEWH IN Equity","LT_DEBT_TO_TOT_ASSET","FY 2008","FY 2008","Currency=INR","Period=FY","BEST_FPERIOD_OVERRIDE=FY","FILING_STATUS=MR","EQY_CONSOLIDATED=Y","Sort=A","Dates=H","DateFormat=P","Fill=—","Direction=H","UseDPDF=Y")</f>
        <v>88.552300000000002</v>
      </c>
      <c r="H9" s="18">
        <f>_xll.BDH("DEWH IN Equity","LT_DEBT_TO_TOT_ASSET","FY 2009","FY 2009","Currency=INR","Period=FY","BEST_FPERIOD_OVERRIDE=FY","FILING_STATUS=MR","EQY_CONSOLIDATED=Y","Sort=A","Dates=H","DateFormat=P","Fill=—","Direction=H","UseDPDF=Y")</f>
        <v>9.7817000000000007</v>
      </c>
      <c r="I9" s="18">
        <f>_xll.BDH("DEWH IN Equity","LT_DEBT_TO_TOT_ASSET","FY 2010","FY 2010","Currency=INR","Period=FY","BEST_FPERIOD_OVERRIDE=FY","FILING_STATUS=MR","EQY_CONSOLIDATED=Y","Sort=A","Dates=H","DateFormat=P","Fill=—","Direction=H","UseDPDF=Y")</f>
        <v>7.7660999999999998</v>
      </c>
      <c r="J9" s="18">
        <f>_xll.BDH("DEWH IN Equity","LT_DEBT_TO_TOT_ASSET","FY 2011","FY 2011","Currency=INR","Period=FY","BEST_FPERIOD_OVERRIDE=FY","FILING_STATUS=MR","EQY_CONSOLIDATED=Y","Sort=A","Dates=H","DateFormat=P","Fill=—","Direction=H","UseDPDF=Y")</f>
        <v>72.291700000000006</v>
      </c>
      <c r="K9" s="18">
        <f>_xll.BDH("DEWH IN Equity","LT_DEBT_TO_TOT_ASSET","FY 2012","FY 2012","Currency=INR","Period=FY","BEST_FPERIOD_OVERRIDE=FY","FILING_STATUS=MR","EQY_CONSOLIDATED=Y","Sort=A","Dates=H","DateFormat=P","Fill=—","Direction=H","UseDPDF=Y")</f>
        <v>72.7042</v>
      </c>
      <c r="L9" s="18">
        <f>_xll.BDH("DEWH IN Equity","LT_DEBT_TO_TOT_ASSET","FY 2013","FY 2013","Currency=INR","Period=FY","BEST_FPERIOD_OVERRIDE=FY","FILING_STATUS=MR","EQY_CONSOLIDATED=Y","Sort=A","Dates=H","DateFormat=P","Fill=—","Direction=H","UseDPDF=Y")</f>
        <v>74.197000000000003</v>
      </c>
      <c r="M9" s="18">
        <f>_xll.BDH("DEWH IN Equity","LT_DEBT_TO_TOT_ASSET","FY 2014","FY 2014","Currency=INR","Period=FY","BEST_FPERIOD_OVERRIDE=FY","FILING_STATUS=MR","EQY_CONSOLIDATED=Y","Sort=A","Dates=H","DateFormat=P","Fill=—","Direction=H","UseDPDF=Y")</f>
        <v>73.628900000000002</v>
      </c>
      <c r="N9" s="18">
        <f>_xll.BDH("DEWH IN Equity","LT_DEBT_TO_TOT_ASSET","FY 2015","FY 2015","Currency=INR","Period=FY","BEST_FPERIOD_OVERRIDE=FY","FILING_STATUS=MR","EQY_CONSOLIDATED=Y","Sort=A","Dates=H","DateFormat=P","Fill=—","Direction=H","UseDPDF=Y")</f>
        <v>67.512799999999999</v>
      </c>
      <c r="O9" s="18">
        <f>_xll.BDH("DEWH IN Equity","LT_DEBT_TO_TOT_ASSET","FY 2016","FY 2016","Currency=INR","Period=FY","BEST_FPERIOD_OVERRIDE=FY","FILING_STATUS=MR","EQY_CONSOLIDATED=Y","Sort=A","Dates=H","DateFormat=P","Fill=—","Direction=H","UseDPDF=Y")</f>
        <v>65.159599999999998</v>
      </c>
      <c r="P9" s="18">
        <f>_xll.BDH("DEWH IN Equity","LT_DEBT_TO_TOT_ASSET","FY 2017","FY 2017","Currency=INR","Period=FY","BEST_FPERIOD_OVERRIDE=FY","FILING_STATUS=MR","EQY_CONSOLIDATED=Y","Sort=A","Dates=H","DateFormat=P","Fill=—","Direction=H","UseDPDF=Y")</f>
        <v>72.596299999999999</v>
      </c>
      <c r="Q9" s="18">
        <f>_xll.BDH("DEWH IN Equity","LT_DEBT_TO_TOT_ASSET","FY 2018","FY 2018","Currency=INR","Period=FY","BEST_FPERIOD_OVERRIDE=FY","FILING_STATUS=MR","EQY_CONSOLIDATED=Y","Sort=A","Dates=H","DateFormat=P","Fill=—","Direction=H","UseDPDF=Y")</f>
        <v>0</v>
      </c>
      <c r="R9" s="18">
        <f>_xll.BDH("DEWH IN Equity","LT_DEBT_TO_TOT_ASSET","FY 2019","FY 2019","Currency=INR","Period=FY","BEST_FPERIOD_OVERRIDE=FY","FILING_STATUS=MR","EQY_CONSOLIDATED=Y","Sort=A","Dates=H","DateFormat=P","Fill=—","Direction=H","UseDPDF=Y")</f>
        <v>0</v>
      </c>
      <c r="S9" s="18">
        <f>_xll.BDH("DEWH IN Equity","LT_DEBT_TO_TOT_ASSET","FY 2020","FY 2020","Currency=INR","Period=FY","BEST_FPERIOD_OVERRIDE=FY","FILING_STATUS=MR","EQY_CONSOLIDATED=Y","Sort=A","Dates=H","DateFormat=P","Fill=—","Direction=H","UseDPDF=Y")</f>
        <v>0</v>
      </c>
      <c r="T9" s="18">
        <f>_xll.BDH("DEWH IN Equity","LT_DEBT_TO_TOT_ASSET","FY 2021","FY 2021","Currency=INR","Period=FY","BEST_FPERIOD_OVERRIDE=FY","FILING_STATUS=MR","EQY_CONSOLIDATED=Y","Sort=A","Dates=H","DateFormat=P","Fill=—","Direction=H","UseDPDF=Y")</f>
        <v>0</v>
      </c>
      <c r="U9" s="18">
        <f>_xll.BDH("DEWH IN Equity","LT_DEBT_TO_TOT_ASSET","FY 2022","FY 2022","Currency=INR","Period=FY","BEST_FPERIOD_OVERRIDE=FY","FILING_STATUS=MR","EQY_CONSOLIDATED=Y","Sort=A","Dates=H","DateFormat=P","Fill=—","Direction=H","UseDPDF=Y")</f>
        <v>0.159</v>
      </c>
    </row>
    <row r="10" spans="1:21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3" t="s">
        <v>79</v>
      </c>
      <c r="B11" s="3" t="s">
        <v>80</v>
      </c>
      <c r="C11" s="18">
        <f>_xll.BDH("DEWH IN Equity","TOT_DEBT_TO_TOT_EQY","FY 2004","FY 2004","Currency=INR","Period=FY","BEST_FPERIOD_OVERRIDE=FY","FILING_STATUS=MR","EQY_CONSOLIDATED=Y","Sort=A","Dates=H","DateFormat=P","Fill=—","Direction=H","UseDPDF=Y")</f>
        <v>841.85410000000002</v>
      </c>
      <c r="D11" s="18">
        <f>_xll.BDH("DEWH IN Equity","TOT_DEBT_TO_TOT_EQY","FY 2005","FY 2005","Currency=INR","Period=FY","BEST_FPERIOD_OVERRIDE=FY","FILING_STATUS=MR","EQY_CONSOLIDATED=Y","Sort=A","Dates=H","DateFormat=P","Fill=—","Direction=H","UseDPDF=Y")</f>
        <v>737.13930000000005</v>
      </c>
      <c r="E11" s="18">
        <f>_xll.BDH("DEWH IN Equity","TOT_DEBT_TO_TOT_EQY","FY 2006","FY 2006","Currency=INR","Period=FY","BEST_FPERIOD_OVERRIDE=FY","FILING_STATUS=MR","EQY_CONSOLIDATED=Y","Sort=A","Dates=H","DateFormat=P","Fill=—","Direction=H","UseDPDF=Y")</f>
        <v>832.23850000000004</v>
      </c>
      <c r="F11" s="18">
        <f>_xll.BDH("DEWH IN Equity","TOT_DEBT_TO_TOT_EQY","FY 2007","FY 2007","Currency=INR","Period=FY","BEST_FPERIOD_OVERRIDE=FY","FILING_STATUS=MR","EQY_CONSOLIDATED=Y","Sort=A","Dates=H","DateFormat=P","Fill=—","Direction=H","UseDPDF=Y")</f>
        <v>862.71209999999996</v>
      </c>
      <c r="G11" s="18">
        <f>_xll.BDH("DEWH IN Equity","TOT_DEBT_TO_TOT_EQY","FY 2008","FY 2008","Currency=INR","Period=FY","BEST_FPERIOD_OVERRIDE=FY","FILING_STATUS=MR","EQY_CONSOLIDATED=Y","Sort=A","Dates=H","DateFormat=P","Fill=—","Direction=H","UseDPDF=Y")</f>
        <v>900.26409999999998</v>
      </c>
      <c r="H11" s="18">
        <f>_xll.BDH("DEWH IN Equity","TOT_DEBT_TO_TOT_EQY","FY 2009","FY 2009","Currency=INR","Period=FY","BEST_FPERIOD_OVERRIDE=FY","FILING_STATUS=MR","EQY_CONSOLIDATED=Y","Sort=A","Dates=H","DateFormat=P","Fill=—","Direction=H","UseDPDF=Y")</f>
        <v>1132.08</v>
      </c>
      <c r="I11" s="18">
        <f>_xll.BDH("DEWH IN Equity","TOT_DEBT_TO_TOT_EQY","FY 2010","FY 2010","Currency=INR","Period=FY","BEST_FPERIOD_OVERRIDE=FY","FILING_STATUS=MR","EQY_CONSOLIDATED=Y","Sort=A","Dates=H","DateFormat=P","Fill=—","Direction=H","UseDPDF=Y")</f>
        <v>1016.1337</v>
      </c>
      <c r="J11" s="18">
        <f>_xll.BDH("DEWH IN Equity","TOT_DEBT_TO_TOT_EQY","FY 2011","FY 2011","Currency=INR","Period=FY","BEST_FPERIOD_OVERRIDE=FY","FILING_STATUS=MR","EQY_CONSOLIDATED=Y","Sort=A","Dates=H","DateFormat=P","Fill=—","Direction=H","UseDPDF=Y")</f>
        <v>987.60469999999998</v>
      </c>
      <c r="K11" s="18">
        <f>_xll.BDH("DEWH IN Equity","TOT_DEBT_TO_TOT_EQY","FY 2012","FY 2012","Currency=INR","Period=FY","BEST_FPERIOD_OVERRIDE=FY","FILING_STATUS=MR","EQY_CONSOLIDATED=Y","Sort=A","Dates=H","DateFormat=P","Fill=—","Direction=H","UseDPDF=Y")</f>
        <v>982.7</v>
      </c>
      <c r="L11" s="18">
        <f>_xll.BDH("DEWH IN Equity","TOT_DEBT_TO_TOT_EQY","FY 2013","FY 2013","Currency=INR","Period=FY","BEST_FPERIOD_OVERRIDE=FY","FILING_STATUS=MR","EQY_CONSOLIDATED=Y","Sort=A","Dates=H","DateFormat=P","Fill=—","Direction=H","UseDPDF=Y")</f>
        <v>847.69619999999998</v>
      </c>
      <c r="M11" s="18">
        <f>_xll.BDH("DEWH IN Equity","TOT_DEBT_TO_TOT_EQY","FY 2014","FY 2014","Currency=INR","Period=FY","BEST_FPERIOD_OVERRIDE=FY","FILING_STATUS=MR","EQY_CONSOLIDATED=Y","Sort=A","Dates=H","DateFormat=P","Fill=—","Direction=H","UseDPDF=Y")</f>
        <v>947.98820000000001</v>
      </c>
      <c r="N11" s="18">
        <f>_xll.BDH("DEWH IN Equity","TOT_DEBT_TO_TOT_EQY","FY 2015","FY 2015","Currency=INR","Period=FY","BEST_FPERIOD_OVERRIDE=FY","FILING_STATUS=MR","EQY_CONSOLIDATED=Y","Sort=A","Dates=H","DateFormat=P","Fill=—","Direction=H","UseDPDF=Y")</f>
        <v>873.83180000000004</v>
      </c>
      <c r="O11" s="18">
        <f>_xll.BDH("DEWH IN Equity","TOT_DEBT_TO_TOT_EQY","FY 2016","FY 2016","Currency=INR","Period=FY","BEST_FPERIOD_OVERRIDE=FY","FILING_STATUS=MR","EQY_CONSOLIDATED=Y","Sort=A","Dates=H","DateFormat=P","Fill=—","Direction=H","UseDPDF=Y")</f>
        <v>1132.6890000000001</v>
      </c>
      <c r="P11" s="18">
        <f>_xll.BDH("DEWH IN Equity","TOT_DEBT_TO_TOT_EQY","FY 2017","FY 2017","Currency=INR","Period=FY","BEST_FPERIOD_OVERRIDE=FY","FILING_STATUS=MR","EQY_CONSOLIDATED=Y","Sort=A","Dates=H","DateFormat=P","Fill=—","Direction=H","UseDPDF=Y")</f>
        <v>921.90899999999999</v>
      </c>
      <c r="Q11" s="18">
        <f>_xll.BDH("DEWH IN Equity","TOT_DEBT_TO_TOT_EQY","FY 2018","FY 2018","Currency=INR","Period=FY","BEST_FPERIOD_OVERRIDE=FY","FILING_STATUS=MR","EQY_CONSOLIDATED=Y","Sort=A","Dates=H","DateFormat=P","Fill=—","Direction=H","UseDPDF=Y")</f>
        <v>902.36689999999999</v>
      </c>
      <c r="R11" s="18">
        <f>_xll.BDH("DEWH IN Equity","TOT_DEBT_TO_TOT_EQY","FY 2019","FY 2019","Currency=INR","Period=FY","BEST_FPERIOD_OVERRIDE=FY","FILING_STATUS=MR","EQY_CONSOLIDATED=Y","Sort=A","Dates=H","DateFormat=P","Fill=—","Direction=H","UseDPDF=Y")</f>
        <v>1118.4188999999999</v>
      </c>
      <c r="S11" s="18" t="str">
        <f>_xll.BDH("DEWH IN Equity","TOT_DEBT_TO_TOT_EQY","FY 2020","FY 2020","Currency=INR","Period=FY","BEST_FPERIOD_OVERRIDE=FY","FILING_STATUS=MR","EQY_CONSOLIDATED=Y","Sort=A","Dates=H","DateFormat=P","Fill=—","Direction=H","UseDPDF=Y")</f>
        <v>—</v>
      </c>
      <c r="T11" s="18" t="str">
        <f>_xll.BDH("DEWH IN Equity","TOT_DEBT_TO_TOT_EQY","FY 2021","FY 2021","Currency=INR","Period=FY","BEST_FPERIOD_OVERRIDE=FY","FILING_STATUS=MR","EQY_CONSOLIDATED=Y","Sort=A","Dates=H","DateFormat=P","Fill=—","Direction=H","UseDPDF=Y")</f>
        <v>—</v>
      </c>
      <c r="U11" s="18">
        <f>_xll.BDH("DEWH IN Equity","TOT_DEBT_TO_TOT_EQY","FY 2022","FY 2022","Currency=INR","Period=FY","BEST_FPERIOD_OVERRIDE=FY","FILING_STATUS=MR","EQY_CONSOLIDATED=Y","Sort=A","Dates=H","DateFormat=P","Fill=—","Direction=H","UseDPDF=Y")</f>
        <v>67.772599999999997</v>
      </c>
    </row>
    <row r="12" spans="1:21" x14ac:dyDescent="0.25">
      <c r="A12" s="3" t="s">
        <v>81</v>
      </c>
      <c r="B12" s="3" t="s">
        <v>82</v>
      </c>
      <c r="C12" s="18">
        <f>_xll.BDH("DEWH IN Equity","TOT_DEBT_TO_TOT_CAP","FY 2004","FY 2004","Currency=INR","Period=FY","BEST_FPERIOD_OVERRIDE=FY","FILING_STATUS=MR","EQY_CONSOLIDATED=Y","Sort=A","Dates=H","DateFormat=P","Fill=—","Direction=H","UseDPDF=Y")</f>
        <v>89.382599999999996</v>
      </c>
      <c r="D12" s="18">
        <f>_xll.BDH("DEWH IN Equity","TOT_DEBT_TO_TOT_CAP","FY 2005","FY 2005","Currency=INR","Period=FY","BEST_FPERIOD_OVERRIDE=FY","FILING_STATUS=MR","EQY_CONSOLIDATED=Y","Sort=A","Dates=H","DateFormat=P","Fill=—","Direction=H","UseDPDF=Y")</f>
        <v>88.054599999999994</v>
      </c>
      <c r="E12" s="18">
        <f>_xll.BDH("DEWH IN Equity","TOT_DEBT_TO_TOT_CAP","FY 2006","FY 2006","Currency=INR","Period=FY","BEST_FPERIOD_OVERRIDE=FY","FILING_STATUS=MR","EQY_CONSOLIDATED=Y","Sort=A","Dates=H","DateFormat=P","Fill=—","Direction=H","UseDPDF=Y")</f>
        <v>89.273099999999999</v>
      </c>
      <c r="F12" s="18">
        <f>_xll.BDH("DEWH IN Equity","TOT_DEBT_TO_TOT_CAP","FY 2007","FY 2007","Currency=INR","Period=FY","BEST_FPERIOD_OVERRIDE=FY","FILING_STATUS=MR","EQY_CONSOLIDATED=Y","Sort=A","Dates=H","DateFormat=P","Fill=—","Direction=H","UseDPDF=Y")</f>
        <v>89.612700000000004</v>
      </c>
      <c r="G12" s="18">
        <f>_xll.BDH("DEWH IN Equity","TOT_DEBT_TO_TOT_CAP","FY 2008","FY 2008","Currency=INR","Period=FY","BEST_FPERIOD_OVERRIDE=FY","FILING_STATUS=MR","EQY_CONSOLIDATED=Y","Sort=A","Dates=H","DateFormat=P","Fill=—","Direction=H","UseDPDF=Y")</f>
        <v>90.002600000000001</v>
      </c>
      <c r="H12" s="18">
        <f>_xll.BDH("DEWH IN Equity","TOT_DEBT_TO_TOT_CAP","FY 2009","FY 2009","Currency=INR","Period=FY","BEST_FPERIOD_OVERRIDE=FY","FILING_STATUS=MR","EQY_CONSOLIDATED=Y","Sort=A","Dates=H","DateFormat=P","Fill=—","Direction=H","UseDPDF=Y")</f>
        <v>91.883600000000001</v>
      </c>
      <c r="I12" s="18">
        <f>_xll.BDH("DEWH IN Equity","TOT_DEBT_TO_TOT_CAP","FY 2010","FY 2010","Currency=INR","Period=FY","BEST_FPERIOD_OVERRIDE=FY","FILING_STATUS=MR","EQY_CONSOLIDATED=Y","Sort=A","Dates=H","DateFormat=P","Fill=—","Direction=H","UseDPDF=Y")</f>
        <v>91.040499999999994</v>
      </c>
      <c r="J12" s="18">
        <f>_xll.BDH("DEWH IN Equity","TOT_DEBT_TO_TOT_CAP","FY 2011","FY 2011","Currency=INR","Period=FY","BEST_FPERIOD_OVERRIDE=FY","FILING_STATUS=MR","EQY_CONSOLIDATED=Y","Sort=A","Dates=H","DateFormat=P","Fill=—","Direction=H","UseDPDF=Y")</f>
        <v>90.805499999999995</v>
      </c>
      <c r="K12" s="18">
        <f>_xll.BDH("DEWH IN Equity","TOT_DEBT_TO_TOT_CAP","FY 2012","FY 2012","Currency=INR","Period=FY","BEST_FPERIOD_OVERRIDE=FY","FILING_STATUS=MR","EQY_CONSOLIDATED=Y","Sort=A","Dates=H","DateFormat=P","Fill=—","Direction=H","UseDPDF=Y")</f>
        <v>90.763800000000003</v>
      </c>
      <c r="L12" s="18">
        <f>_xll.BDH("DEWH IN Equity","TOT_DEBT_TO_TOT_CAP","FY 2013","FY 2013","Currency=INR","Period=FY","BEST_FPERIOD_OVERRIDE=FY","FILING_STATUS=MR","EQY_CONSOLIDATED=Y","Sort=A","Dates=H","DateFormat=P","Fill=—","Direction=H","UseDPDF=Y")</f>
        <v>89.448099999999997</v>
      </c>
      <c r="M12" s="18">
        <f>_xll.BDH("DEWH IN Equity","TOT_DEBT_TO_TOT_CAP","FY 2014","FY 2014","Currency=INR","Period=FY","BEST_FPERIOD_OVERRIDE=FY","FILING_STATUS=MR","EQY_CONSOLIDATED=Y","Sort=A","Dates=H","DateFormat=P","Fill=—","Direction=H","UseDPDF=Y")</f>
        <v>90.457899999999995</v>
      </c>
      <c r="N12" s="18">
        <f>_xll.BDH("DEWH IN Equity","TOT_DEBT_TO_TOT_CAP","FY 2015","FY 2015","Currency=INR","Period=FY","BEST_FPERIOD_OVERRIDE=FY","FILING_STATUS=MR","EQY_CONSOLIDATED=Y","Sort=A","Dates=H","DateFormat=P","Fill=—","Direction=H","UseDPDF=Y")</f>
        <v>89.731300000000005</v>
      </c>
      <c r="O12" s="18">
        <f>_xll.BDH("DEWH IN Equity","TOT_DEBT_TO_TOT_CAP","FY 2016","FY 2016","Currency=INR","Period=FY","BEST_FPERIOD_OVERRIDE=FY","FILING_STATUS=MR","EQY_CONSOLIDATED=Y","Sort=A","Dates=H","DateFormat=P","Fill=—","Direction=H","UseDPDF=Y")</f>
        <v>91.887699999999995</v>
      </c>
      <c r="P12" s="18">
        <f>_xll.BDH("DEWH IN Equity","TOT_DEBT_TO_TOT_CAP","FY 2017","FY 2017","Currency=INR","Period=FY","BEST_FPERIOD_OVERRIDE=FY","FILING_STATUS=MR","EQY_CONSOLIDATED=Y","Sort=A","Dates=H","DateFormat=P","Fill=—","Direction=H","UseDPDF=Y")</f>
        <v>90.214399999999998</v>
      </c>
      <c r="Q12" s="18">
        <f>_xll.BDH("DEWH IN Equity","TOT_DEBT_TO_TOT_CAP","FY 2018","FY 2018","Currency=INR","Period=FY","BEST_FPERIOD_OVERRIDE=FY","FILING_STATUS=MR","EQY_CONSOLIDATED=Y","Sort=A","Dates=H","DateFormat=P","Fill=—","Direction=H","UseDPDF=Y")</f>
        <v>90.023600000000002</v>
      </c>
      <c r="R12" s="18">
        <f>_xll.BDH("DEWH IN Equity","TOT_DEBT_TO_TOT_CAP","FY 2019","FY 2019","Currency=INR","Period=FY","BEST_FPERIOD_OVERRIDE=FY","FILING_STATUS=MR","EQY_CONSOLIDATED=Y","Sort=A","Dates=H","DateFormat=P","Fill=—","Direction=H","UseDPDF=Y")</f>
        <v>91.792599999999993</v>
      </c>
      <c r="S12" s="18">
        <f>_xll.BDH("DEWH IN Equity","TOT_DEBT_TO_TOT_CAP","FY 2020","FY 2020","Currency=INR","Period=FY","BEST_FPERIOD_OVERRIDE=FY","FILING_STATUS=MR","EQY_CONSOLIDATED=Y","Sort=A","Dates=H","DateFormat=P","Fill=—","Direction=H","UseDPDF=Y")</f>
        <v>107.0742</v>
      </c>
      <c r="T12" s="18">
        <f>_xll.BDH("DEWH IN Equity","TOT_DEBT_TO_TOT_CAP","FY 2021","FY 2021","Currency=INR","Period=FY","BEST_FPERIOD_OVERRIDE=FY","FILING_STATUS=MR","EQY_CONSOLIDATED=Y","Sort=A","Dates=H","DateFormat=P","Fill=—","Direction=H","UseDPDF=Y")</f>
        <v>132.92070000000001</v>
      </c>
      <c r="U12" s="18">
        <f>_xll.BDH("DEWH IN Equity","TOT_DEBT_TO_TOT_CAP","FY 2022","FY 2022","Currency=INR","Period=FY","BEST_FPERIOD_OVERRIDE=FY","FILING_STATUS=MR","EQY_CONSOLIDATED=Y","Sort=A","Dates=H","DateFormat=P","Fill=—","Direction=H","UseDPDF=Y")</f>
        <v>40.395499999999998</v>
      </c>
    </row>
    <row r="13" spans="1:21" x14ac:dyDescent="0.25">
      <c r="A13" s="3" t="s">
        <v>83</v>
      </c>
      <c r="B13" s="3" t="s">
        <v>84</v>
      </c>
      <c r="C13" s="18">
        <f>_xll.BDH("DEWH IN Equity","TOT_DEBT_TO_TOT_ASSET","FY 2004","FY 2004","Currency=INR","Period=FY","BEST_FPERIOD_OVERRIDE=FY","FILING_STATUS=MR","EQY_CONSOLIDATED=Y","Sort=A","Dates=H","DateFormat=P","Fill=—","Direction=H","UseDPDF=Y")</f>
        <v>87.140799999999999</v>
      </c>
      <c r="D13" s="18">
        <f>_xll.BDH("DEWH IN Equity","TOT_DEBT_TO_TOT_ASSET","FY 2005","FY 2005","Currency=INR","Period=FY","BEST_FPERIOD_OVERRIDE=FY","FILING_STATUS=MR","EQY_CONSOLIDATED=Y","Sort=A","Dates=H","DateFormat=P","Fill=—","Direction=H","UseDPDF=Y")</f>
        <v>86.074299999999994</v>
      </c>
      <c r="E13" s="18">
        <f>_xll.BDH("DEWH IN Equity","TOT_DEBT_TO_TOT_ASSET","FY 2006","FY 2006","Currency=INR","Period=FY","BEST_FPERIOD_OVERRIDE=FY","FILING_STATUS=MR","EQY_CONSOLIDATED=Y","Sort=A","Dates=H","DateFormat=P","Fill=—","Direction=H","UseDPDF=Y")</f>
        <v>87.820899999999995</v>
      </c>
      <c r="F13" s="18">
        <f>_xll.BDH("DEWH IN Equity","TOT_DEBT_TO_TOT_ASSET","FY 2007","FY 2007","Currency=INR","Period=FY","BEST_FPERIOD_OVERRIDE=FY","FILING_STATUS=MR","EQY_CONSOLIDATED=Y","Sort=A","Dates=H","DateFormat=P","Fill=—","Direction=H","UseDPDF=Y")</f>
        <v>86.730400000000003</v>
      </c>
      <c r="G13" s="18">
        <f>_xll.BDH("DEWH IN Equity","TOT_DEBT_TO_TOT_ASSET","FY 2008","FY 2008","Currency=INR","Period=FY","BEST_FPERIOD_OVERRIDE=FY","FILING_STATUS=MR","EQY_CONSOLIDATED=Y","Sort=A","Dates=H","DateFormat=P","Fill=—","Direction=H","UseDPDF=Y")</f>
        <v>88.552300000000002</v>
      </c>
      <c r="H13" s="18">
        <f>_xll.BDH("DEWH IN Equity","TOT_DEBT_TO_TOT_ASSET","FY 2009","FY 2009","Currency=INR","Period=FY","BEST_FPERIOD_OVERRIDE=FY","FILING_STATUS=MR","EQY_CONSOLIDATED=Y","Sort=A","Dates=H","DateFormat=P","Fill=—","Direction=H","UseDPDF=Y")</f>
        <v>90.203000000000003</v>
      </c>
      <c r="I13" s="18">
        <f>_xll.BDH("DEWH IN Equity","TOT_DEBT_TO_TOT_ASSET","FY 2010","FY 2010","Currency=INR","Period=FY","BEST_FPERIOD_OVERRIDE=FY","FILING_STATUS=MR","EQY_CONSOLIDATED=Y","Sort=A","Dates=H","DateFormat=P","Fill=—","Direction=H","UseDPDF=Y")</f>
        <v>89.735600000000005</v>
      </c>
      <c r="J13" s="18">
        <f>_xll.BDH("DEWH IN Equity","TOT_DEBT_TO_TOT_ASSET","FY 2011","FY 2011","Currency=INR","Period=FY","BEST_FPERIOD_OVERRIDE=FY","FILING_STATUS=MR","EQY_CONSOLIDATED=Y","Sort=A","Dates=H","DateFormat=P","Fill=—","Direction=H","UseDPDF=Y")</f>
        <v>77.948999999999998</v>
      </c>
      <c r="K13" s="18">
        <f>_xll.BDH("DEWH IN Equity","TOT_DEBT_TO_TOT_ASSET","FY 2012","FY 2012","Currency=INR","Period=FY","BEST_FPERIOD_OVERRIDE=FY","FILING_STATUS=MR","EQY_CONSOLIDATED=Y","Sort=A","Dates=H","DateFormat=P","Fill=—","Direction=H","UseDPDF=Y")</f>
        <v>78.392499999999998</v>
      </c>
      <c r="L13" s="18">
        <f>_xll.BDH("DEWH IN Equity","TOT_DEBT_TO_TOT_ASSET","FY 2013","FY 2013","Currency=INR","Period=FY","BEST_FPERIOD_OVERRIDE=FY","FILING_STATUS=MR","EQY_CONSOLIDATED=Y","Sort=A","Dates=H","DateFormat=P","Fill=—","Direction=H","UseDPDF=Y")</f>
        <v>76.643699999999995</v>
      </c>
      <c r="M13" s="18">
        <f>_xll.BDH("DEWH IN Equity","TOT_DEBT_TO_TOT_ASSET","FY 2014","FY 2014","Currency=INR","Period=FY","BEST_FPERIOD_OVERRIDE=FY","FILING_STATUS=MR","EQY_CONSOLIDATED=Y","Sort=A","Dates=H","DateFormat=P","Fill=—","Direction=H","UseDPDF=Y")</f>
        <v>77.264600000000002</v>
      </c>
      <c r="N13" s="18">
        <f>_xll.BDH("DEWH IN Equity","TOT_DEBT_TO_TOT_ASSET","FY 2015","FY 2015","Currency=INR","Period=FY","BEST_FPERIOD_OVERRIDE=FY","FILING_STATUS=MR","EQY_CONSOLIDATED=Y","Sort=A","Dates=H","DateFormat=P","Fill=—","Direction=H","UseDPDF=Y")</f>
        <v>74.171999999999997</v>
      </c>
      <c r="O13" s="18">
        <f>_xll.BDH("DEWH IN Equity","TOT_DEBT_TO_TOT_ASSET","FY 2016","FY 2016","Currency=INR","Period=FY","BEST_FPERIOD_OVERRIDE=FY","FILING_STATUS=MR","EQY_CONSOLIDATED=Y","Sort=A","Dates=H","DateFormat=P","Fill=—","Direction=H","UseDPDF=Y")</f>
        <v>88.165099999999995</v>
      </c>
      <c r="P13" s="18">
        <f>_xll.BDH("DEWH IN Equity","TOT_DEBT_TO_TOT_ASSET","FY 2017","FY 2017","Currency=INR","Period=FY","BEST_FPERIOD_OVERRIDE=FY","FILING_STATUS=MR","EQY_CONSOLIDATED=Y","Sort=A","Dates=H","DateFormat=P","Fill=—","Direction=H","UseDPDF=Y")</f>
        <v>77.222899999999996</v>
      </c>
      <c r="Q13" s="18">
        <f>_xll.BDH("DEWH IN Equity","TOT_DEBT_TO_TOT_ASSET","FY 2018","FY 2018","Currency=INR","Period=FY","BEST_FPERIOD_OVERRIDE=FY","FILING_STATUS=MR","EQY_CONSOLIDATED=Y","Sort=A","Dates=H","DateFormat=P","Fill=—","Direction=H","UseDPDF=Y")</f>
        <v>76.350999999999999</v>
      </c>
      <c r="R13" s="18">
        <f>_xll.BDH("DEWH IN Equity","TOT_DEBT_TO_TOT_ASSET","FY 2019","FY 2019","Currency=INR","Period=FY","BEST_FPERIOD_OVERRIDE=FY","FILING_STATUS=MR","EQY_CONSOLIDATED=Y","Sort=A","Dates=H","DateFormat=P","Fill=—","Direction=H","UseDPDF=Y")</f>
        <v>83.275000000000006</v>
      </c>
      <c r="S13" s="18">
        <f>_xll.BDH("DEWH IN Equity","TOT_DEBT_TO_TOT_ASSET","FY 2020","FY 2020","Currency=INR","Period=FY","BEST_FPERIOD_OVERRIDE=FY","FILING_STATUS=MR","EQY_CONSOLIDATED=Y","Sort=A","Dates=H","DateFormat=P","Fill=—","Direction=H","UseDPDF=Y")</f>
        <v>97.453100000000006</v>
      </c>
      <c r="T13" s="18">
        <f>_xll.BDH("DEWH IN Equity","TOT_DEBT_TO_TOT_ASSET","FY 2021","FY 2021","Currency=INR","Period=FY","BEST_FPERIOD_OVERRIDE=FY","FILING_STATUS=MR","EQY_CONSOLIDATED=Y","Sort=A","Dates=H","DateFormat=P","Fill=—","Direction=H","UseDPDF=Y")</f>
        <v>118.4751</v>
      </c>
      <c r="U13" s="18">
        <f>_xll.BDH("DEWH IN Equity","TOT_DEBT_TO_TOT_ASSET","FY 2022","FY 2022","Currency=INR","Period=FY","BEST_FPERIOD_OVERRIDE=FY","FILING_STATUS=MR","EQY_CONSOLIDATED=Y","Sort=A","Dates=H","DateFormat=P","Fill=—","Direction=H","UseDPDF=Y")</f>
        <v>18.881499999999999</v>
      </c>
    </row>
    <row r="14" spans="1:21" x14ac:dyDescent="0.25">
      <c r="A14" s="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3" t="s">
        <v>85</v>
      </c>
      <c r="B15" s="3" t="s">
        <v>86</v>
      </c>
      <c r="C15" s="18">
        <f>_xll.BDH("DEWH IN Equity","CASH_FLOW_TO_TOT_LIAB","FY 2004","FY 2004","Currency=INR","Period=FY","BEST_FPERIOD_OVERRIDE=FY","FILING_STATUS=MR","EQY_CONSOLIDATED=Y","Sort=A","Dates=H","DateFormat=P","Fill=—","Direction=H","UseDPDF=Y")</f>
        <v>1.9056</v>
      </c>
      <c r="D15" s="18">
        <f>_xll.BDH("DEWH IN Equity","CASH_FLOW_TO_TOT_LIAB","FY 2005","FY 2005","Currency=INR","Period=FY","BEST_FPERIOD_OVERRIDE=FY","FILING_STATUS=MR","EQY_CONSOLIDATED=Y","Sort=A","Dates=H","DateFormat=P","Fill=—","Direction=H","UseDPDF=Y")</f>
        <v>2.0177999999999998</v>
      </c>
      <c r="E15" s="18">
        <f>_xll.BDH("DEWH IN Equity","CASH_FLOW_TO_TOT_LIAB","FY 2006","FY 2006","Currency=INR","Period=FY","BEST_FPERIOD_OVERRIDE=FY","FILING_STATUS=MR","EQY_CONSOLIDATED=Y","Sort=A","Dates=H","DateFormat=P","Fill=—","Direction=H","UseDPDF=Y")</f>
        <v>1.9603999999999999</v>
      </c>
      <c r="F15" s="18">
        <f>_xll.BDH("DEWH IN Equity","CASH_FLOW_TO_TOT_LIAB","FY 2007","FY 2007","Currency=INR","Period=FY","BEST_FPERIOD_OVERRIDE=FY","FILING_STATUS=MR","EQY_CONSOLIDATED=Y","Sort=A","Dates=H","DateFormat=P","Fill=—","Direction=H","UseDPDF=Y")</f>
        <v>1.6801999999999999</v>
      </c>
      <c r="G15" s="18">
        <f>_xll.BDH("DEWH IN Equity","CASH_FLOW_TO_TOT_LIAB","FY 2008","FY 2008","Currency=INR","Period=FY","BEST_FPERIOD_OVERRIDE=FY","FILING_STATUS=MR","EQY_CONSOLIDATED=Y","Sort=A","Dates=H","DateFormat=P","Fill=—","Direction=H","UseDPDF=Y")</f>
        <v>1.9333</v>
      </c>
      <c r="H15" s="18">
        <f>_xll.BDH("DEWH IN Equity","CASH_FLOW_TO_TOT_LIAB","FY 2009","FY 2009","Currency=INR","Period=FY","BEST_FPERIOD_OVERRIDE=FY","FILING_STATUS=MR","EQY_CONSOLIDATED=Y","Sort=A","Dates=H","DateFormat=P","Fill=—","Direction=H","UseDPDF=Y")</f>
        <v>1.3857999999999999</v>
      </c>
      <c r="I15" s="18">
        <f>_xll.BDH("DEWH IN Equity","CASH_FLOW_TO_TOT_LIAB","FY 2010","FY 2010","Currency=INR","Period=FY","BEST_FPERIOD_OVERRIDE=FY","FILING_STATUS=MR","EQY_CONSOLIDATED=Y","Sort=A","Dates=H","DateFormat=P","Fill=—","Direction=H","UseDPDF=Y")</f>
        <v>1.3045</v>
      </c>
      <c r="J15" s="18">
        <f>_xll.BDH("DEWH IN Equity","CASH_FLOW_TO_TOT_LIAB","FY 2011","FY 2011","Currency=INR","Period=FY","BEST_FPERIOD_OVERRIDE=FY","FILING_STATUS=MR","EQY_CONSOLIDATED=Y","Sort=A","Dates=H","DateFormat=P","Fill=—","Direction=H","UseDPDF=Y")</f>
        <v>1.1729000000000001</v>
      </c>
      <c r="K15" s="18">
        <f>_xll.BDH("DEWH IN Equity","CASH_FLOW_TO_TOT_LIAB","FY 2012","FY 2012","Currency=INR","Period=FY","BEST_FPERIOD_OVERRIDE=FY","FILING_STATUS=MR","EQY_CONSOLIDATED=Y","Sort=A","Dates=H","DateFormat=P","Fill=—","Direction=H","UseDPDF=Y")</f>
        <v>2.0487000000000002</v>
      </c>
      <c r="L15" s="18">
        <f>_xll.BDH("DEWH IN Equity","CASH_FLOW_TO_TOT_LIAB","FY 2013","FY 2013","Currency=INR","Period=FY","BEST_FPERIOD_OVERRIDE=FY","FILING_STATUS=MR","EQY_CONSOLIDATED=Y","Sort=A","Dates=H","DateFormat=P","Fill=—","Direction=H","UseDPDF=Y")</f>
        <v>1.7390000000000001</v>
      </c>
      <c r="M15" s="18">
        <f>_xll.BDH("DEWH IN Equity","CASH_FLOW_TO_TOT_LIAB","FY 2014","FY 2014","Currency=INR","Period=FY","BEST_FPERIOD_OVERRIDE=FY","FILING_STATUS=MR","EQY_CONSOLIDATED=Y","Sort=A","Dates=H","DateFormat=P","Fill=—","Direction=H","UseDPDF=Y")</f>
        <v>1.6113</v>
      </c>
      <c r="N15" s="18">
        <f>_xll.BDH("DEWH IN Equity","CASH_FLOW_TO_TOT_LIAB","FY 2015","FY 2015","Currency=INR","Period=FY","BEST_FPERIOD_OVERRIDE=FY","FILING_STATUS=MR","EQY_CONSOLIDATED=Y","Sort=A","Dates=H","DateFormat=P","Fill=—","Direction=H","UseDPDF=Y")</f>
        <v>1.4458</v>
      </c>
      <c r="O15" s="18">
        <f>_xll.BDH("DEWH IN Equity","CASH_FLOW_TO_TOT_LIAB","FY 2016","FY 2016","Currency=INR","Period=FY","BEST_FPERIOD_OVERRIDE=FY","FILING_STATUS=MR","EQY_CONSOLIDATED=Y","Sort=A","Dates=H","DateFormat=P","Fill=—","Direction=H","UseDPDF=Y")</f>
        <v>2.4256000000000002</v>
      </c>
      <c r="P15" s="18">
        <f>_xll.BDH("DEWH IN Equity","CASH_FLOW_TO_TOT_LIAB","FY 2017","FY 2017","Currency=INR","Period=FY","BEST_FPERIOD_OVERRIDE=FY","FILING_STATUS=MR","EQY_CONSOLIDATED=Y","Sort=A","Dates=H","DateFormat=P","Fill=—","Direction=H","UseDPDF=Y")</f>
        <v>0.37469999999999998</v>
      </c>
      <c r="Q15" s="18">
        <f>_xll.BDH("DEWH IN Equity","CASH_FLOW_TO_TOT_LIAB","FY 2018","FY 2018","Currency=INR","Period=FY","BEST_FPERIOD_OVERRIDE=FY","FILING_STATUS=MR","EQY_CONSOLIDATED=Y","Sort=A","Dates=H","DateFormat=P","Fill=—","Direction=H","UseDPDF=Y")</f>
        <v>-18.629899999999999</v>
      </c>
      <c r="R15" s="18">
        <f>_xll.BDH("DEWH IN Equity","CASH_FLOW_TO_TOT_LIAB","FY 2019","FY 2019","Currency=INR","Period=FY","BEST_FPERIOD_OVERRIDE=FY","FILING_STATUS=MR","EQY_CONSOLIDATED=Y","Sort=A","Dates=H","DateFormat=P","Fill=—","Direction=H","UseDPDF=Y")</f>
        <v>-8.8534000000000006</v>
      </c>
      <c r="S15" s="18">
        <f>_xll.BDH("DEWH IN Equity","CASH_FLOW_TO_TOT_LIAB","FY 2020","FY 2020","Currency=INR","Period=FY","BEST_FPERIOD_OVERRIDE=FY","FILING_STATUS=MR","EQY_CONSOLIDATED=Y","Sort=A","Dates=H","DateFormat=P","Fill=—","Direction=H","UseDPDF=Y")</f>
        <v>13.7971</v>
      </c>
      <c r="T15" s="18">
        <f>_xll.BDH("DEWH IN Equity","CASH_FLOW_TO_TOT_LIAB","FY 2021","FY 2021","Currency=INR","Period=FY","BEST_FPERIOD_OVERRIDE=FY","FILING_STATUS=MR","EQY_CONSOLIDATED=Y","Sort=A","Dates=H","DateFormat=P","Fill=—","Direction=H","UseDPDF=Y")</f>
        <v>7.9543999999999997</v>
      </c>
      <c r="U15" s="18">
        <f>_xll.BDH("DEWH IN Equity","CASH_FLOW_TO_TOT_LIAB","FY 2022","FY 2022","Currency=INR","Period=FY","BEST_FPERIOD_OVERRIDE=FY","FILING_STATUS=MR","EQY_CONSOLIDATED=Y","Sort=A","Dates=H","DateFormat=P","Fill=—","Direction=H","UseDPDF=Y")</f>
        <v>9.2667000000000002</v>
      </c>
    </row>
    <row r="16" spans="1:21" x14ac:dyDescent="0.25">
      <c r="A16" s="3" t="s">
        <v>87</v>
      </c>
      <c r="B16" s="3" t="s">
        <v>88</v>
      </c>
      <c r="C16" s="18">
        <f>_xll.BDH("DEWH IN Equity","CAP_EXPEND_RATIO","FY 2004","FY 2004","Currency=INR","Period=FY","BEST_FPERIOD_OVERRIDE=FY","FILING_STATUS=MR","EQY_CONSOLIDATED=Y","Sort=A","Dates=H","DateFormat=P","Fill=—","Direction=H","UseDPDF=Y")</f>
        <v>9.6182999999999996</v>
      </c>
      <c r="D16" s="18">
        <f>_xll.BDH("DEWH IN Equity","CAP_EXPEND_RATIO","FY 2005","FY 2005","Currency=INR","Period=FY","BEST_FPERIOD_OVERRIDE=FY","FILING_STATUS=MR","EQY_CONSOLIDATED=Y","Sort=A","Dates=H","DateFormat=P","Fill=—","Direction=H","UseDPDF=Y")</f>
        <v>1.8066</v>
      </c>
      <c r="E16" s="18">
        <f>_xll.BDH("DEWH IN Equity","CAP_EXPEND_RATIO","FY 2006","FY 2006","Currency=INR","Period=FY","BEST_FPERIOD_OVERRIDE=FY","FILING_STATUS=MR","EQY_CONSOLIDATED=Y","Sort=A","Dates=H","DateFormat=P","Fill=—","Direction=H","UseDPDF=Y")</f>
        <v>2.0977999999999999</v>
      </c>
      <c r="F16" s="18">
        <f>_xll.BDH("DEWH IN Equity","CAP_EXPEND_RATIO","FY 2007","FY 2007","Currency=INR","Period=FY","BEST_FPERIOD_OVERRIDE=FY","FILING_STATUS=MR","EQY_CONSOLIDATED=Y","Sort=A","Dates=H","DateFormat=P","Fill=—","Direction=H","UseDPDF=Y")</f>
        <v>21.5579</v>
      </c>
      <c r="G16" s="18">
        <f>_xll.BDH("DEWH IN Equity","CAP_EXPEND_RATIO","FY 2008","FY 2008","Currency=INR","Period=FY","BEST_FPERIOD_OVERRIDE=FY","FILING_STATUS=MR","EQY_CONSOLIDATED=Y","Sort=A","Dates=H","DateFormat=P","Fill=—","Direction=H","UseDPDF=Y")</f>
        <v>23.584800000000001</v>
      </c>
      <c r="H16" s="18">
        <f>_xll.BDH("DEWH IN Equity","CAP_EXPEND_RATIO","FY 2009","FY 2009","Currency=INR","Period=FY","BEST_FPERIOD_OVERRIDE=FY","FILING_STATUS=MR","EQY_CONSOLIDATED=Y","Sort=A","Dates=H","DateFormat=P","Fill=—","Direction=H","UseDPDF=Y")</f>
        <v>13.049899999999999</v>
      </c>
      <c r="I16" s="18">
        <f>_xll.BDH("DEWH IN Equity","CAP_EXPEND_RATIO","FY 2010","FY 2010","Currency=INR","Period=FY","BEST_FPERIOD_OVERRIDE=FY","FILING_STATUS=MR","EQY_CONSOLIDATED=Y","Sort=A","Dates=H","DateFormat=P","Fill=—","Direction=H","UseDPDF=Y")</f>
        <v>0.72350000000000003</v>
      </c>
      <c r="J16" s="18">
        <f>_xll.BDH("DEWH IN Equity","CAP_EXPEND_RATIO","FY 2011","FY 2011","Currency=INR","Period=FY","BEST_FPERIOD_OVERRIDE=FY","FILING_STATUS=MR","EQY_CONSOLIDATED=Y","Sort=A","Dates=H","DateFormat=P","Fill=—","Direction=H","UseDPDF=Y")</f>
        <v>16.313800000000001</v>
      </c>
      <c r="K16" s="18">
        <f>_xll.BDH("DEWH IN Equity","CAP_EXPEND_RATIO","FY 2012","FY 2012","Currency=INR","Period=FY","BEST_FPERIOD_OVERRIDE=FY","FILING_STATUS=MR","EQY_CONSOLIDATED=Y","Sort=A","Dates=H","DateFormat=P","Fill=—","Direction=H","UseDPDF=Y")</f>
        <v>17.2302</v>
      </c>
      <c r="L16" s="18">
        <f>_xll.BDH("DEWH IN Equity","CAP_EXPEND_RATIO","FY 2013","FY 2013","Currency=INR","Period=FY","BEST_FPERIOD_OVERRIDE=FY","FILING_STATUS=MR","EQY_CONSOLIDATED=Y","Sort=A","Dates=H","DateFormat=P","Fill=—","Direction=H","UseDPDF=Y")</f>
        <v>3.1347</v>
      </c>
      <c r="M16" s="18">
        <f>_xll.BDH("DEWH IN Equity","CAP_EXPEND_RATIO","FY 2014","FY 2014","Currency=INR","Period=FY","BEST_FPERIOD_OVERRIDE=FY","FILING_STATUS=MR","EQY_CONSOLIDATED=Y","Sort=A","Dates=H","DateFormat=P","Fill=—","Direction=H","UseDPDF=Y")</f>
        <v>1.1536</v>
      </c>
      <c r="N16" s="18">
        <f>_xll.BDH("DEWH IN Equity","CAP_EXPEND_RATIO","FY 2015","FY 2015","Currency=INR","Period=FY","BEST_FPERIOD_OVERRIDE=FY","FILING_STATUS=MR","EQY_CONSOLIDATED=Y","Sort=A","Dates=H","DateFormat=P","Fill=—","Direction=H","UseDPDF=Y")</f>
        <v>27.528400000000001</v>
      </c>
      <c r="O16" s="18">
        <f>_xll.BDH("DEWH IN Equity","CAP_EXPEND_RATIO","FY 2016","FY 2016","Currency=INR","Period=FY","BEST_FPERIOD_OVERRIDE=FY","FILING_STATUS=MR","EQY_CONSOLIDATED=Y","Sort=A","Dates=H","DateFormat=P","Fill=—","Direction=H","UseDPDF=Y")</f>
        <v>12.11</v>
      </c>
      <c r="P16" s="18">
        <f>_xll.BDH("DEWH IN Equity","CAP_EXPEND_RATIO","FY 2017","FY 2017","Currency=INR","Period=FY","BEST_FPERIOD_OVERRIDE=FY","FILING_STATUS=MR","EQY_CONSOLIDATED=Y","Sort=A","Dates=H","DateFormat=P","Fill=—","Direction=H","UseDPDF=Y")</f>
        <v>2.5516000000000001</v>
      </c>
      <c r="Q16" s="18">
        <f>_xll.BDH("DEWH IN Equity","CAP_EXPEND_RATIO","FY 2018","FY 2018","Currency=INR","Period=FY","BEST_FPERIOD_OVERRIDE=FY","FILING_STATUS=MR","EQY_CONSOLIDATED=Y","Sort=A","Dates=H","DateFormat=P","Fill=—","Direction=H","UseDPDF=Y")</f>
        <v>-98.756</v>
      </c>
      <c r="R16" s="18">
        <f>_xll.BDH("DEWH IN Equity","CAP_EXPEND_RATIO","FY 2019","FY 2019","Currency=INR","Period=FY","BEST_FPERIOD_OVERRIDE=FY","FILING_STATUS=MR","EQY_CONSOLIDATED=Y","Sort=A","Dates=H","DateFormat=P","Fill=—","Direction=H","UseDPDF=Y")</f>
        <v>-103.0457</v>
      </c>
      <c r="S16" s="18">
        <f>_xll.BDH("DEWH IN Equity","CAP_EXPEND_RATIO","FY 2020","FY 2020","Currency=INR","Period=FY","BEST_FPERIOD_OVERRIDE=FY","FILING_STATUS=MR","EQY_CONSOLIDATED=Y","Sort=A","Dates=H","DateFormat=P","Fill=—","Direction=H","UseDPDF=Y")</f>
        <v>572.13570000000004</v>
      </c>
      <c r="T16" s="18" t="str">
        <f>_xll.BDH("DEWH IN Equity","CAP_EXPEND_RATIO","FY 2021","FY 2021","Currency=INR","Period=FY","BEST_FPERIOD_OVERRIDE=FY","FILING_STATUS=MR","EQY_CONSOLIDATED=Y","Sort=A","Dates=H","DateFormat=P","Fill=—","Direction=H","UseDPDF=Y")</f>
        <v>—</v>
      </c>
      <c r="U16" s="18">
        <f>_xll.BDH("DEWH IN Equity","CAP_EXPEND_RATIO","FY 2022","FY 2022","Currency=INR","Period=FY","BEST_FPERIOD_OVERRIDE=FY","FILING_STATUS=MR","EQY_CONSOLIDATED=Y","Sort=A","Dates=H","DateFormat=P","Fill=—","Direction=H","UseDPDF=Y")</f>
        <v>115.8883</v>
      </c>
    </row>
    <row r="17" spans="1:21" x14ac:dyDescent="0.25">
      <c r="A17" s="3" t="s">
        <v>71</v>
      </c>
      <c r="B17" s="3" t="s">
        <v>72</v>
      </c>
      <c r="C17" s="18">
        <f>_xll.BDH("DEWH IN Equity","COM_EQY_TO_TOT_ASSET","FY 2004","FY 2004","Currency=INR","Period=FY","BEST_FPERIOD_OVERRIDE=FY","FILING_STATUS=MR","EQY_CONSOLIDATED=Y","Sort=A","Dates=H","DateFormat=P","Fill=—","Direction=H","UseDPDF=Y")</f>
        <v>9.0815999999999999</v>
      </c>
      <c r="D17" s="18">
        <f>_xll.BDH("DEWH IN Equity","COM_EQY_TO_TOT_ASSET","FY 2005","FY 2005","Currency=INR","Period=FY","BEST_FPERIOD_OVERRIDE=FY","FILING_STATUS=MR","EQY_CONSOLIDATED=Y","Sort=A","Dates=H","DateFormat=P","Fill=—","Direction=H","UseDPDF=Y")</f>
        <v>10.9503</v>
      </c>
      <c r="E17" s="18">
        <f>_xll.BDH("DEWH IN Equity","COM_EQY_TO_TOT_ASSET","FY 2006","FY 2006","Currency=INR","Period=FY","BEST_FPERIOD_OVERRIDE=FY","FILING_STATUS=MR","EQY_CONSOLIDATED=Y","Sort=A","Dates=H","DateFormat=P","Fill=—","Direction=H","UseDPDF=Y")</f>
        <v>9.3306000000000004</v>
      </c>
      <c r="F17" s="18">
        <f>_xll.BDH("DEWH IN Equity","COM_EQY_TO_TOT_ASSET","FY 2007","FY 2007","Currency=INR","Period=FY","BEST_FPERIOD_OVERRIDE=FY","FILING_STATUS=MR","EQY_CONSOLIDATED=Y","Sort=A","Dates=H","DateFormat=P","Fill=—","Direction=H","UseDPDF=Y")</f>
        <v>8.3568999999999996</v>
      </c>
      <c r="G17" s="18">
        <f>_xll.BDH("DEWH IN Equity","COM_EQY_TO_TOT_ASSET","FY 2008","FY 2008","Currency=INR","Period=FY","BEST_FPERIOD_OVERRIDE=FY","FILING_STATUS=MR","EQY_CONSOLIDATED=Y","Sort=A","Dates=H","DateFormat=P","Fill=—","Direction=H","UseDPDF=Y")</f>
        <v>9.3026</v>
      </c>
      <c r="H17" s="18">
        <f>_xll.BDH("DEWH IN Equity","COM_EQY_TO_TOT_ASSET","FY 2009","FY 2009","Currency=INR","Period=FY","BEST_FPERIOD_OVERRIDE=FY","FILING_STATUS=MR","EQY_CONSOLIDATED=Y","Sort=A","Dates=H","DateFormat=P","Fill=—","Direction=H","UseDPDF=Y")</f>
        <v>7.6273</v>
      </c>
      <c r="I17" s="18">
        <f>_xll.BDH("DEWH IN Equity","COM_EQY_TO_TOT_ASSET","FY 2010","FY 2010","Currency=INR","Period=FY","BEST_FPERIOD_OVERRIDE=FY","FILING_STATUS=MR","EQY_CONSOLIDATED=Y","Sort=A","Dates=H","DateFormat=P","Fill=—","Direction=H","UseDPDF=Y")</f>
        <v>8.5248000000000008</v>
      </c>
      <c r="J17" s="18">
        <f>_xll.BDH("DEWH IN Equity","COM_EQY_TO_TOT_ASSET","FY 2011","FY 2011","Currency=INR","Period=FY","BEST_FPERIOD_OVERRIDE=FY","FILING_STATUS=MR","EQY_CONSOLIDATED=Y","Sort=A","Dates=H","DateFormat=P","Fill=—","Direction=H","UseDPDF=Y")</f>
        <v>6.7904999999999998</v>
      </c>
      <c r="K17" s="18">
        <f>_xll.BDH("DEWH IN Equity","COM_EQY_TO_TOT_ASSET","FY 2012","FY 2012","Currency=INR","Period=FY","BEST_FPERIOD_OVERRIDE=FY","FILING_STATUS=MR","EQY_CONSOLIDATED=Y","Sort=A","Dates=H","DateFormat=P","Fill=—","Direction=H","UseDPDF=Y")</f>
        <v>7.2828999999999997</v>
      </c>
      <c r="L17" s="18">
        <f>_xll.BDH("DEWH IN Equity","COM_EQY_TO_TOT_ASSET","FY 2013","FY 2013","Currency=INR","Period=FY","BEST_FPERIOD_OVERRIDE=FY","FILING_STATUS=MR","EQY_CONSOLIDATED=Y","Sort=A","Dates=H","DateFormat=P","Fill=—","Direction=H","UseDPDF=Y")</f>
        <v>9.0413999999999994</v>
      </c>
      <c r="M17" s="18">
        <f>_xll.BDH("DEWH IN Equity","COM_EQY_TO_TOT_ASSET","FY 2014","FY 2014","Currency=INR","Period=FY","BEST_FPERIOD_OVERRIDE=FY","FILING_STATUS=MR","EQY_CONSOLIDATED=Y","Sort=A","Dates=H","DateFormat=P","Fill=—","Direction=H","UseDPDF=Y")</f>
        <v>8.1503999999999994</v>
      </c>
      <c r="N17" s="18">
        <f>_xll.BDH("DEWH IN Equity","COM_EQY_TO_TOT_ASSET","FY 2015","FY 2015","Currency=INR","Period=FY","BEST_FPERIOD_OVERRIDE=FY","FILING_STATUS=MR","EQY_CONSOLIDATED=Y","Sort=A","Dates=H","DateFormat=P","Fill=—","Direction=H","UseDPDF=Y")</f>
        <v>8.4880999999999993</v>
      </c>
      <c r="O17" s="18">
        <f>_xll.BDH("DEWH IN Equity","COM_EQY_TO_TOT_ASSET","FY 2016","FY 2016","Currency=INR","Period=FY","BEST_FPERIOD_OVERRIDE=FY","FILING_STATUS=MR","EQY_CONSOLIDATED=Y","Sort=A","Dates=H","DateFormat=P","Fill=—","Direction=H","UseDPDF=Y")</f>
        <v>7.7836999999999996</v>
      </c>
      <c r="P17" s="18">
        <f>_xll.BDH("DEWH IN Equity","COM_EQY_TO_TOT_ASSET","FY 2017","FY 2017","Currency=INR","Period=FY","BEST_FPERIOD_OVERRIDE=FY","FILING_STATUS=MR","EQY_CONSOLIDATED=Y","Sort=A","Dates=H","DateFormat=P","Fill=—","Direction=H","UseDPDF=Y")</f>
        <v>8.3764000000000003</v>
      </c>
      <c r="Q17" s="18">
        <f>_xll.BDH("DEWH IN Equity","COM_EQY_TO_TOT_ASSET","FY 2018","FY 2018","Currency=INR","Period=FY","BEST_FPERIOD_OVERRIDE=FY","FILING_STATUS=MR","EQY_CONSOLIDATED=Y","Sort=A","Dates=H","DateFormat=P","Fill=—","Direction=H","UseDPDF=Y")</f>
        <v>8.4611999999999998</v>
      </c>
      <c r="R17" s="18">
        <f>_xll.BDH("DEWH IN Equity","COM_EQY_TO_TOT_ASSET","FY 2019","FY 2019","Currency=INR","Period=FY","BEST_FPERIOD_OVERRIDE=FY","FILING_STATUS=MR","EQY_CONSOLIDATED=Y","Sort=A","Dates=H","DateFormat=P","Fill=—","Direction=H","UseDPDF=Y")</f>
        <v>7.4458000000000002</v>
      </c>
      <c r="S17" s="18">
        <f>_xll.BDH("DEWH IN Equity","COM_EQY_TO_TOT_ASSET","FY 2020","FY 2020","Currency=INR","Period=FY","BEST_FPERIOD_OVERRIDE=FY","FILING_STATUS=MR","EQY_CONSOLIDATED=Y","Sort=A","Dates=H","DateFormat=P","Fill=—","Direction=H","UseDPDF=Y")</f>
        <v>-6.4386000000000001</v>
      </c>
      <c r="T17" s="18">
        <f>_xll.BDH("DEWH IN Equity","COM_EQY_TO_TOT_ASSET","FY 2021","FY 2021","Currency=INR","Period=FY","BEST_FPERIOD_OVERRIDE=FY","FILING_STATUS=MR","EQY_CONSOLIDATED=Y","Sort=A","Dates=H","DateFormat=P","Fill=—","Direction=H","UseDPDF=Y")</f>
        <v>-29.343</v>
      </c>
      <c r="U17" s="18">
        <f>_xll.BDH("DEWH IN Equity","COM_EQY_TO_TOT_ASSET","FY 2022","FY 2022","Currency=INR","Period=FY","BEST_FPERIOD_OVERRIDE=FY","FILING_STATUS=MR","EQY_CONSOLIDATED=Y","Sort=A","Dates=H","DateFormat=P","Fill=—","Direction=H","UseDPDF=Y")</f>
        <v>27.860099999999999</v>
      </c>
    </row>
    <row r="18" spans="1:21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3" t="s">
        <v>109</v>
      </c>
      <c r="B20" s="3" t="s">
        <v>110</v>
      </c>
      <c r="C20" s="1" t="str">
        <f>_xll.BDH("DEWH IN Equity","BS_TOT_COM_PAPER_ISSUED","FY 2004","FY 2004","Currency=INR","Period=FY","BEST_FPERIOD_OVERRIDE=FY","FILING_STATUS=MR","EQY_CONSOLIDATED=Y","SCALING_FORMAT=MLN","Sort=A","Dates=H","DateFormat=P","Fill=—","Direction=H","UseDPDF=Y")</f>
        <v>—</v>
      </c>
      <c r="D20" s="1" t="str">
        <f>_xll.BDH("DEWH IN Equity","BS_TOT_COM_PAPER_ISSUED","FY 2005","FY 2005","Currency=INR","Period=FY","BEST_FPERIOD_OVERRIDE=FY","FILING_STATUS=MR","EQY_CONSOLIDATED=Y","SCALING_FORMAT=MLN","Sort=A","Dates=H","DateFormat=P","Fill=—","Direction=H","UseDPDF=Y")</f>
        <v>—</v>
      </c>
      <c r="E20" s="1" t="str">
        <f>_xll.BDH("DEWH IN Equity","BS_TOT_COM_PAPER_ISSUED","FY 2006","FY 2006","Currency=INR","Period=FY","BEST_FPERIOD_OVERRIDE=FY","FILING_STATUS=MR","EQY_CONSOLIDATED=Y","SCALING_FORMAT=MLN","Sort=A","Dates=H","DateFormat=P","Fill=—","Direction=H","UseDPDF=Y")</f>
        <v>—</v>
      </c>
      <c r="F20" s="1" t="str">
        <f>_xll.BDH("DEWH IN Equity","BS_TOT_COM_PAPER_ISSUED","FY 2007","FY 2007","Currency=INR","Period=FY","BEST_FPERIOD_OVERRIDE=FY","FILING_STATUS=MR","EQY_CONSOLIDATED=Y","SCALING_FORMAT=MLN","Sort=A","Dates=H","DateFormat=P","Fill=—","Direction=H","UseDPDF=Y")</f>
        <v>—</v>
      </c>
      <c r="G20" s="1" t="str">
        <f>_xll.BDH("DEWH IN Equity","BS_TOT_COM_PAPER_ISSUED","FY 2008","FY 2008","Currency=INR","Period=FY","BEST_FPERIOD_OVERRIDE=FY","FILING_STATUS=MR","EQY_CONSOLIDATED=Y","SCALING_FORMAT=MLN","Sort=A","Dates=H","DateFormat=P","Fill=—","Direction=H","UseDPDF=Y")</f>
        <v>—</v>
      </c>
      <c r="H20" s="1" t="str">
        <f>_xll.BDH("DEWH IN Equity","BS_TOT_COM_PAPER_ISSUED","FY 2009","FY 2009","Currency=INR","Period=FY","BEST_FPERIOD_OVERRIDE=FY","FILING_STATUS=MR","EQY_CONSOLIDATED=Y","SCALING_FORMAT=MLN","Sort=A","Dates=H","DateFormat=P","Fill=—","Direction=H","UseDPDF=Y")</f>
        <v>—</v>
      </c>
      <c r="I20" s="1" t="str">
        <f>_xll.BDH("DEWH IN Equity","BS_TOT_COM_PAPER_ISSUED","FY 2010","FY 2010","Currency=INR","Period=FY","BEST_FPERIOD_OVERRIDE=FY","FILING_STATUS=MR","EQY_CONSOLIDATED=Y","SCALING_FORMAT=MLN","Sort=A","Dates=H","DateFormat=P","Fill=—","Direction=H","UseDPDF=Y")</f>
        <v>—</v>
      </c>
      <c r="J20" s="1" t="str">
        <f>_xll.BDH("DEWH IN Equity","BS_TOT_COM_PAPER_ISSUED","FY 2011","FY 2011","Currency=INR","Period=FY","BEST_FPERIOD_OVERRIDE=FY","FILING_STATUS=MR","EQY_CONSOLIDATED=Y","SCALING_FORMAT=MLN","Sort=A","Dates=H","DateFormat=P","Fill=—","Direction=H","UseDPDF=Y")</f>
        <v>—</v>
      </c>
      <c r="K20" s="1" t="str">
        <f>_xll.BDH("DEWH IN Equity","BS_TOT_COM_PAPER_ISSUED","FY 2012","FY 2012","Currency=INR","Period=FY","BEST_FPERIOD_OVERRIDE=FY","FILING_STATUS=MR","EQY_CONSOLIDATED=Y","SCALING_FORMAT=MLN","Sort=A","Dates=H","DateFormat=P","Fill=—","Direction=H","UseDPDF=Y")</f>
        <v>—</v>
      </c>
      <c r="L20" s="1">
        <f>_xll.BDH("DEWH IN Equity","BS_TOT_COM_PAPER_ISSUED","FY 2013","FY 2013","Currency=INR","Period=FY","BEST_FPERIOD_OVERRIDE=FY","FILING_STATUS=MR","EQY_CONSOLIDATED=Y","SCALING_FORMAT=MLN","Sort=A","Dates=H","DateFormat=P","Fill=—","Direction=H","UseDPDF=Y")</f>
        <v>5250</v>
      </c>
      <c r="M20" s="1">
        <f>_xll.BDH("DEWH IN Equity","BS_TOT_COM_PAPER_ISSUED","FY 2014","FY 2014","Currency=INR","Period=FY","BEST_FPERIOD_OVERRIDE=FY","FILING_STATUS=MR","EQY_CONSOLIDATED=Y","SCALING_FORMAT=MLN","Sort=A","Dates=H","DateFormat=P","Fill=—","Direction=H","UseDPDF=Y")</f>
        <v>14700</v>
      </c>
      <c r="N20" s="1">
        <f>_xll.BDH("DEWH IN Equity","BS_TOT_COM_PAPER_ISSUED","FY 2015","FY 2015","Currency=INR","Period=FY","BEST_FPERIOD_OVERRIDE=FY","FILING_STATUS=MR","EQY_CONSOLIDATED=Y","SCALING_FORMAT=MLN","Sort=A","Dates=H","DateFormat=P","Fill=—","Direction=H","UseDPDF=Y")</f>
        <v>35150</v>
      </c>
      <c r="O20" s="1">
        <f>_xll.BDH("DEWH IN Equity","BS_TOT_COM_PAPER_ISSUED","FY 2016","FY 2016","Currency=INR","Period=FY","BEST_FPERIOD_OVERRIDE=FY","FILING_STATUS=MR","EQY_CONSOLIDATED=Y","SCALING_FORMAT=MLN","Sort=A","Dates=H","DateFormat=P","Fill=—","Direction=H","UseDPDF=Y")</f>
        <v>46490</v>
      </c>
      <c r="P20" s="1">
        <f>_xll.BDH("DEWH IN Equity","BS_TOT_COM_PAPER_ISSUED","FY 2017","FY 2017","Currency=INR","Period=FY","BEST_FPERIOD_OVERRIDE=FY","FILING_STATUS=MR","EQY_CONSOLIDATED=Y","SCALING_FORMAT=MLN","Sort=A","Dates=H","DateFormat=P","Fill=—","Direction=H","UseDPDF=Y")</f>
        <v>29950</v>
      </c>
      <c r="Q20" s="1">
        <f>_xll.BDH("DEWH IN Equity","BS_TOT_COM_PAPER_ISSUED","FY 2018","FY 2018","Currency=INR","Period=FY","BEST_FPERIOD_OVERRIDE=FY","FILING_STATUS=MR","EQY_CONSOLIDATED=Y","SCALING_FORMAT=MLN","Sort=A","Dates=H","DateFormat=P","Fill=—","Direction=H","UseDPDF=Y")</f>
        <v>59576.5</v>
      </c>
      <c r="R20" s="1">
        <f>_xll.BDH("DEWH IN Equity","BS_TOT_COM_PAPER_ISSUED","FY 2019","FY 2019","Currency=INR","Period=FY","BEST_FPERIOD_OVERRIDE=FY","FILING_STATUS=MR","EQY_CONSOLIDATED=Y","SCALING_FORMAT=MLN","Sort=A","Dates=H","DateFormat=P","Fill=—","Direction=H","UseDPDF=Y")</f>
        <v>8331.7999999999993</v>
      </c>
      <c r="S20" s="1">
        <f>_xll.BDH("DEWH IN Equity","BS_TOT_COM_PAPER_ISSUED","FY 2020","FY 2020","Currency=INR","Period=FY","BEST_FPERIOD_OVERRIDE=FY","FILING_STATUS=MR","EQY_CONSOLIDATED=Y","SCALING_FORMAT=MLN","Sort=A","Dates=H","DateFormat=P","Fill=—","Direction=H","UseDPDF=Y")</f>
        <v>1025.8</v>
      </c>
      <c r="T20" s="1">
        <f>_xll.BDH("DEWH IN Equity","BS_TOT_COM_PAPER_ISSUED","FY 2021","FY 2021","Currency=INR","Period=FY","BEST_FPERIOD_OVERRIDE=FY","FILING_STATUS=MR","EQY_CONSOLIDATED=Y","SCALING_FORMAT=MLN","Sort=A","Dates=H","DateFormat=P","Fill=—","Direction=H","UseDPDF=Y")</f>
        <v>1025.8</v>
      </c>
      <c r="U20" s="1" t="str">
        <f>_xll.BDH("DEWH IN Equity","BS_TOT_COM_PAPER_ISSUED","FY 2022","FY 2022","Currency=INR","Period=FY","BEST_FPERIOD_OVERRIDE=FY","FILING_STATUS=MR","EQY_CONSOLIDATED=Y","SCALING_FORMAT=MLN","Sort=A","Dates=H","DateFormat=P","Fill=—","Direction=H","UseDPDF=Y")</f>
        <v>—</v>
      </c>
    </row>
    <row r="21" spans="1:21" x14ac:dyDescent="0.25">
      <c r="A21" s="13" t="s">
        <v>61</v>
      </c>
      <c r="B21" s="13"/>
      <c r="C21" s="13" t="s"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Profitability_SCS</vt:lpstr>
      <vt:lpstr>Profitability_BhushanSteel</vt:lpstr>
      <vt:lpstr>Profitaility_DEWAN</vt:lpstr>
      <vt:lpstr>Profitability_YesBank</vt:lpstr>
      <vt:lpstr>Profitability_Kingfisher</vt:lpstr>
      <vt:lpstr>Profitabilty_Cox&amp;King</vt:lpstr>
      <vt:lpstr>Liquidity_SCS</vt:lpstr>
      <vt:lpstr>Liquidity_BhushanSteel</vt:lpstr>
      <vt:lpstr>Liquidity_DEWAN</vt:lpstr>
      <vt:lpstr>Liquidity_YesBank</vt:lpstr>
      <vt:lpstr>Liquidity_Kingfisher</vt:lpstr>
      <vt:lpstr>Liquidity_Cox&amp;King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2023-11-23T10:00:45Z</dcterms:modified>
</cp:coreProperties>
</file>