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Pivot Table 2" sheetId="3" r:id="rId6"/>
    <sheet state="visible" name="Pivot Table 3" sheetId="4" r:id="rId7"/>
    <sheet state="visible" name="Pivot Table 4" sheetId="5" r:id="rId8"/>
    <sheet state="visible" name="Pivot Table 5" sheetId="6" r:id="rId9"/>
  </sheets>
  <definedNames/>
  <calcPr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<sst xmlns="http://schemas.openxmlformats.org/spreadsheetml/2006/main" count="470" uniqueCount="237">
  <si>
    <t>MONTH</t>
  </si>
  <si>
    <t>HOURS</t>
  </si>
  <si>
    <t>MIN</t>
  </si>
  <si>
    <t>RUN TIME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</si>
  <si>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</si>
  <si>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</si>
  <si>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</si>
  <si>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</si>
  <si>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</si>
  <si>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</si>
  <si>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</si>
  <si>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</si>
  <si>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</si>
  <si>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</si>
  <si>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</si>
  <si>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</si>
  <si>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Language</t>
  </si>
  <si>
    <t>Genre</t>
  </si>
  <si>
    <t xml:space="preserve"> Total</t>
  </si>
  <si>
    <t>Arabic</t>
  </si>
  <si>
    <t>Psychological thriller</t>
  </si>
  <si>
    <t>Satiricalthriller</t>
  </si>
  <si>
    <t>Thrillercomedy</t>
  </si>
  <si>
    <t>Arabic Total</t>
  </si>
  <si>
    <t>Danish</t>
  </si>
  <si>
    <t>Drama</t>
  </si>
  <si>
    <t>Romantic comedy</t>
  </si>
  <si>
    <t>Danish Total</t>
  </si>
  <si>
    <t>Dutch</t>
  </si>
  <si>
    <t>Comedy</t>
  </si>
  <si>
    <t>Comedy drama</t>
  </si>
  <si>
    <t>Thriller</t>
  </si>
  <si>
    <t>Dutch Total</t>
  </si>
  <si>
    <t>English</t>
  </si>
  <si>
    <t>Action comedy</t>
  </si>
  <si>
    <t>Action comedy-thriller</t>
  </si>
  <si>
    <t>Action drama</t>
  </si>
  <si>
    <t>Action thriller</t>
  </si>
  <si>
    <t>Action-adventure</t>
  </si>
  <si>
    <t>Animatedaction comedy</t>
  </si>
  <si>
    <t>Animatedmusical</t>
  </si>
  <si>
    <t>Animatedscience fiction</t>
  </si>
  <si>
    <t>Animation</t>
  </si>
  <si>
    <t>Biographical drama</t>
  </si>
  <si>
    <t>Biopic</t>
  </si>
  <si>
    <t>Coming-of-age</t>
  </si>
  <si>
    <t>Crime drama</t>
  </si>
  <si>
    <t>Erotic thriller</t>
  </si>
  <si>
    <t>Family drama</t>
  </si>
  <si>
    <t>Familyadventure</t>
  </si>
  <si>
    <t>Fantasyadventure</t>
  </si>
  <si>
    <t>Historical thriller drama</t>
  </si>
  <si>
    <t>Mystery comedy</t>
  </si>
  <si>
    <t>Neo-noiraction thriller</t>
  </si>
  <si>
    <t>Romance</t>
  </si>
  <si>
    <t>Sci-ficomedy mystery</t>
  </si>
  <si>
    <t>Space opera</t>
  </si>
  <si>
    <t>Spythriller</t>
  </si>
  <si>
    <t>Stop motioncomedy</t>
  </si>
  <si>
    <t>English Total</t>
  </si>
  <si>
    <t>Filipino</t>
  </si>
  <si>
    <t>Romantic drama</t>
  </si>
  <si>
    <t>Filipino Total</t>
  </si>
  <si>
    <t>French</t>
  </si>
  <si>
    <t>Actiondramedy</t>
  </si>
  <si>
    <t>French Total</t>
  </si>
  <si>
    <t>German</t>
  </si>
  <si>
    <t>Sci-fiaction-thriller</t>
  </si>
  <si>
    <t>Western</t>
  </si>
  <si>
    <t>German Total</t>
  </si>
  <si>
    <t>Hindi</t>
  </si>
  <si>
    <t>Anthology film</t>
  </si>
  <si>
    <t>Darkcrimedramedy</t>
  </si>
  <si>
    <t>Heistthriller</t>
  </si>
  <si>
    <t>Spy thriller</t>
  </si>
  <si>
    <t>Hindi Total</t>
  </si>
  <si>
    <t>Indonesian</t>
  </si>
  <si>
    <t>Coming-of-ageromantic drama</t>
  </si>
  <si>
    <t>Melodrama</t>
  </si>
  <si>
    <t>Indonesian Total</t>
  </si>
  <si>
    <t>Italian</t>
  </si>
  <si>
    <t>Italian Total</t>
  </si>
  <si>
    <t>Japanese</t>
  </si>
  <si>
    <t>Anime</t>
  </si>
  <si>
    <t>Fantasy</t>
  </si>
  <si>
    <t>Zombie apocalypse / comedy</t>
  </si>
  <si>
    <t>Japanese Total</t>
  </si>
  <si>
    <t>Korean</t>
  </si>
  <si>
    <t>Crime thriller</t>
  </si>
  <si>
    <t>Sci-fiaction / adventure</t>
  </si>
  <si>
    <t>Korean Total</t>
  </si>
  <si>
    <t>Norwegian</t>
  </si>
  <si>
    <t>Norwegian Total</t>
  </si>
  <si>
    <t>Polish</t>
  </si>
  <si>
    <t>Action</t>
  </si>
  <si>
    <t>Polish Total</t>
  </si>
  <si>
    <t>Portuguese</t>
  </si>
  <si>
    <t>Portuguese Total</t>
  </si>
  <si>
    <t>Spanish</t>
  </si>
  <si>
    <t>Black comedy</t>
  </si>
  <si>
    <t>Comedy-drama</t>
  </si>
  <si>
    <t>Dramedy</t>
  </si>
  <si>
    <t>Family film</t>
  </si>
  <si>
    <t>Post-apocalyptichorror-thriller</t>
  </si>
  <si>
    <t>Slasher</t>
  </si>
  <si>
    <t>Spanish Total</t>
  </si>
  <si>
    <t>Swedish</t>
  </si>
  <si>
    <t>Swedish Total</t>
  </si>
  <si>
    <t>Thai</t>
  </si>
  <si>
    <t>Thriller drama</t>
  </si>
  <si>
    <t>Thai Total</t>
  </si>
  <si>
    <t>Turkish</t>
  </si>
  <si>
    <t>Turkish Total</t>
  </si>
  <si>
    <t>Zulu</t>
  </si>
  <si>
    <t>Zulu Total</t>
  </si>
  <si>
    <t>Grand Total</t>
  </si>
  <si>
    <t>COUNTA of MONTH</t>
  </si>
  <si>
    <t>COUNTA of Premiere</t>
  </si>
  <si>
    <t>Title</t>
  </si>
  <si>
    <t>SUM of RUN TIME</t>
  </si>
  <si>
    <t>*10 Days of a Bad Man*</t>
  </si>
  <si>
    <t>*10 Days of a Good Man*</t>
  </si>
  <si>
    <t>*A Beautiful Life*</t>
  </si>
  <si>
    <t>*A Day and a Half*[9]</t>
  </si>
  <si>
    <t>*A Tourist's Guide to Love*</t>
  </si>
  <si>
    <t>*AKA*</t>
  </si>
  <si>
    <t>*Alkhallat+*</t>
  </si>
  <si>
    <t>*All the Places*</t>
  </si>
  <si>
    <t>*Ballerina*[34]</t>
  </si>
  <si>
    <t>*Best. Christmas. Ever.*[50][51]</t>
  </si>
  <si>
    <t>*Big Nunu's Little Heist*</t>
  </si>
  <si>
    <t>*Bird Box Barcelona*</t>
  </si>
  <si>
    <t>*Black Clover: Sword of the Wizard King*</t>
  </si>
  <si>
    <t>*Blood and Gold*</t>
  </si>
  <si>
    <t>*Call Me Chihiro*</t>
  </si>
  <si>
    <t>*Chicken Run: Dawn of the Nugget*[58]</t>
  </si>
  <si>
    <t>*Chokehold*</t>
  </si>
  <si>
    <t>*Chor Nikal Ke Bhaga*</t>
  </si>
  <si>
    <t>*Chupa*</t>
  </si>
  <si>
    <t>*Cryptoshlag*</t>
  </si>
  <si>
    <t>*Dear David*</t>
  </si>
  <si>
    <t>*Disconnect: The Wedding Planner*</t>
  </si>
  <si>
    <t>*Dog Gone*</t>
  </si>
  <si>
    <t>*Ehrengard: The Art of Seduction*[17]</t>
  </si>
  <si>
    <t>*El Conde*[21]</t>
  </si>
  <si>
    <t>*Extraction 2*</t>
  </si>
  <si>
    <t>*Fair Play*[39]</t>
  </si>
  <si>
    <t>*Fanfic*</t>
  </si>
  <si>
    <t>*Faraway*</t>
  </si>
  <si>
    <t>*Freestyle*[15]</t>
  </si>
  <si>
    <t>*Friday Night Plan*[11]</t>
  </si>
  <si>
    <t>*Gold Brick*</t>
  </si>
  <si>
    <t>*Happiness for Beginners*</t>
  </si>
  <si>
    <t>*Happy Ending*[12]</t>
  </si>
  <si>
    <t>*Hard Feelings*</t>
  </si>
  <si>
    <t>*Have a Nice Day!*</t>
  </si>
  <si>
    <t>*Head to Head*</t>
  </si>
  <si>
    <t>*Heart of Stone*</t>
  </si>
  <si>
    <t>*Hunger*</t>
  </si>
  <si>
    <t>*In His Shadow*</t>
  </si>
  <si>
    <t>*Infiesto*</t>
  </si>
  <si>
    <t>*iNumber Number: Jozi Gold*</t>
  </si>
  <si>
    <t>*Jung E*</t>
  </si>
  <si>
    <t>*Kathal – A Jackfruit Mystery*</t>
  </si>
  <si>
    <t>*Kill Boksoon*</t>
  </si>
  <si>
    <t>*Killer Book Club*[4]</t>
  </si>
  <si>
    <t>*Kings of Mulberry Street: Let Love Reign*</t>
  </si>
  <si>
    <t>*Kiss, Kiss!*</t>
  </si>
  <si>
    <t>*Leave the World Behind*[57]</t>
  </si>
  <si>
    <t>*Leo*[55]</t>
  </si>
  <si>
    <t>*Lift*[67][68]</t>
  </si>
  <si>
    <t>*Love at First Kiss*</t>
  </si>
  <si>
    <t>*Love at First Sight*[23]</t>
  </si>
  <si>
    <t>*Love Tactics 2*</t>
  </si>
  <si>
    <t>*Love, Sex &amp; 30 Candles*</t>
  </si>
  <si>
    <t>*Lust Stories 2*</t>
  </si>
  <si>
    <t>*Luther: The Fallen Sun*</t>
  </si>
  <si>
    <t>*Maestro*[61][62]</t>
  </si>
  <si>
    <t>*Make Me Believe*</t>
  </si>
  <si>
    <t>*Missed Connections*</t>
  </si>
  <si>
    <t>*Mission Majnu*</t>
  </si>
  <si>
    <t>*Mother's Day*</t>
  </si>
  <si>
    <t>*Mr. Car and the Knights Templar*</t>
  </si>
  <si>
    <t>*Murder Mystery 2*</t>
  </si>
  <si>
    <t>*Nimona*</t>
  </si>
  <si>
    <t>*Noise*</t>
  </si>
  <si>
    <t>*Nowhere*[32]</t>
  </si>
  <si>
    <t>*Oh Belinda*</t>
  </si>
  <si>
    <t>*Once Upon a Crime*</t>
  </si>
  <si>
    <t>*One More Time*</t>
  </si>
  <si>
    <t>*Overhaul*[30]</t>
  </si>
  <si>
    <t>*Pain Hustlers*[41][42][43]</t>
  </si>
  <si>
    <t>*Paradise*</t>
  </si>
  <si>
    <t>*Phenomena*</t>
  </si>
  <si>
    <t>*Queens on the Run*</t>
  </si>
  <si>
    <t>*Rebel Moon*[64][65][66]</t>
  </si>
  <si>
    <t>*Reptile*[35][36]</t>
  </si>
  <si>
    <t>*Rich in Love 2*</t>
  </si>
  <si>
    <t>*Royalteen: Princess Margrethe*</t>
  </si>
  <si>
    <t>*Rustin*[53]</t>
  </si>
  <si>
    <t>*Seasons*</t>
  </si>
  <si>
    <t>*Soulcatcher*</t>
  </si>
  <si>
    <t>*Spy Kids: Armageddon*[25][26]</t>
  </si>
  <si>
    <t>*Squared Love All Over Again*</t>
  </si>
  <si>
    <t>*Squared Love Everlasting*[2]</t>
  </si>
  <si>
    <t>*Street Flow 2*[28]</t>
  </si>
  <si>
    <t>*The (Almost) Legends*</t>
  </si>
  <si>
    <t>*The Great Seduction*[8]</t>
  </si>
  <si>
    <t>*The Killer*[48][49]</t>
  </si>
  <si>
    <t>*The Magician's Elephant*</t>
  </si>
  <si>
    <t>*The Matchmaker*</t>
  </si>
  <si>
    <t>*The Monkey King*</t>
  </si>
  <si>
    <t>*The Mother*</t>
  </si>
  <si>
    <t>*The Murderer*</t>
  </si>
  <si>
    <t>*The Out-Laws*</t>
  </si>
  <si>
    <t>*The Pale Blue Eye*</t>
  </si>
  <si>
    <t>*The Perfect Find*</t>
  </si>
  <si>
    <t>*The Price of Family*</t>
  </si>
  <si>
    <t>*The Strays*</t>
  </si>
  <si>
    <t>*The Wonder Weeks*</t>
  </si>
  <si>
    <t>*They Cloned Tyrone*</t>
  </si>
  <si>
    <t>*Through My Window: Across the Sea*</t>
  </si>
  <si>
    <t>*Today We'll Talk About That Day*</t>
  </si>
  <si>
    <t>*Tonight You're Sleeping with Me*</t>
  </si>
  <si>
    <t>*True Spirit*</t>
  </si>
  <si>
    <t>*Unlocked*</t>
  </si>
  <si>
    <t>*We Have a Ghost*</t>
  </si>
  <si>
    <t>*What If?*[14]</t>
  </si>
  <si>
    <t>*Where the Tracks End*</t>
  </si>
  <si>
    <t>*Wingwomen*[45][46]</t>
  </si>
  <si>
    <t>*You Are So Not Invited To My Bat Mitzvah*[6]</t>
  </si>
  <si>
    <t>*You Do You*</t>
  </si>
  <si>
    <t>*You People*</t>
  </si>
  <si>
    <t>*Your Place or Mine*</t>
  </si>
  <si>
    <t>*Zom 100: Bucket List of the Dead*</t>
  </si>
  <si>
    <t>Awaiting release</t>
  </si>
  <si>
    <t>COUNTA of Genre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</si>
</sst>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horizontal="left"/>
    </xf>
    <xf borderId="0" fillId="2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MONTH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2'!$A$2:$A$13</c:f>
            </c:strRef>
          </c:cat>
          <c:val>
            <c:numRef>
              <c:f>'Pivot Table 2'!$B$2:$B$13</c:f>
              <c:numCache/>
            </c:numRef>
          </c:val>
        </c:ser>
        <c:axId val="163676621"/>
        <c:axId val="134886373"/>
      </c:barChart>
      <c:catAx>
        <c:axId val="163676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86373"/>
      </c:catAx>
      <c:valAx>
        <c:axId val="134886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76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2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Sheet1"/>
  </cacheSource>
  <cacheFields>
    <cacheField name="Title" numFmtId="0">
      <sharedItems containsBlank="1">
        <s v="*The Pale Blue Eye*"/>
        <s v="*Noise*"/>
        <s v="*Dog Gone*"/>
        <s v="*Disconnect: The Wedding Planner*"/>
        <s v="*Alkhallat+*"/>
        <s v="*Jung E*"/>
        <s v="*Mission Majnu*"/>
        <s v="*The Price of Family*"/>
        <s v="*You People*"/>
        <s v="*True Spirit*"/>
        <s v="*Infiesto*"/>
        <s v="*Dear David*"/>
        <s v="*Your Place or Mine*"/>
        <s v="*Squared Love All Over Again*"/>
        <s v="*All the Places*"/>
        <s v="*Unlocked*"/>
        <s v="*The Strays*"/>
        <s v="*Call Me Chihiro*"/>
        <s v="*We Have a Ghost*"/>
        <s v="*Tonight You're Sleeping with Me*"/>
        <s v="*10 Days of a Good Man*"/>
        <s v="*Love at First Kiss*"/>
        <s v="*Faraway*"/>
        <s v="*Have a Nice Day!*"/>
        <s v="*Luther: The Fallen Sun*"/>
        <s v="*In His Shadow*"/>
        <s v="*The Magician's Elephant*"/>
        <s v="*Chor Nikal Ke Bhaga*"/>
        <s v="*Kill Boksoon*"/>
        <s v="*Murder Mystery 2*"/>
        <s v="*Chupa*"/>
        <s v="*Kings of Mulberry Street: Let Love Reign*"/>
        <s v="*Oh Belinda*"/>
        <s v="*Hunger*"/>
        <s v="*Queens on the Run*"/>
        <s v="*Phenomena*"/>
        <s v="*A Tourist's Guide to Love*"/>
        <s v="*Chokehold*"/>
        <s v="*One More Time*"/>
        <s v="*Kiss, Kiss!*"/>
        <s v="*The Matchmaker*"/>
        <s v="*AKA*"/>
        <s v="*Royalteen: Princess Margrethe*"/>
        <s v="*The Mother*"/>
        <s v="*Fanfic*"/>
        <s v="*Kathal – A Jackfruit Mystery*"/>
        <s v="*Hard Feelings*"/>
        <s v="*Mother's Day*"/>
        <s v="*Blood and Gold*"/>
        <s v="*Where the Tracks End*"/>
        <s v="*A Beautiful Life*"/>
        <s v="*Missed Connections*"/>
        <s v="*Rich in Love 2*"/>
        <s v="*The Wonder Weeks*"/>
        <s v="*You Do You*"/>
        <s v="*Black Clover: Sword of the Wizard King*"/>
        <s v="*Extraction 2*"/>
        <s v="*iNumber Number: Jozi Gold*"/>
        <s v="*Make Me Believe*"/>
        <s v="*The Perfect Find*"/>
        <s v="*Through My Window: Across the Sea*"/>
        <s v="*Lust Stories 2*"/>
        <s v="*Nimona*"/>
        <s v="*Gold Brick*"/>
        <s v="*Seasons*"/>
        <s v="*The Out-Laws*"/>
        <s v="*Mr. Car and the Knights Templar*"/>
        <s v="*Bird Box Barcelona*"/>
        <s v="*Love Tactics 2*"/>
        <s v="*The (Almost) Legends*"/>
        <s v="*They Cloned Tyrone*"/>
        <s v="*Happiness for Beginners*"/>
        <s v="*Paradise*"/>
        <s v="*The Murderer*"/>
        <s v="*Today We'll Talk About That Day*"/>
        <s v="*Big Nunu's Little Heist*"/>
        <s v="*Soulcatcher*"/>
        <s v="*Head to Head*"/>
        <s v="*Zom 100: Bucket List of the Dead*"/>
        <s v="*Heart of Stone*"/>
        <s v="*10 Days of a Bad Man*"/>
        <s v="*Love, Sex &amp; 30 Candles*"/>
        <s v="*The Monkey King*"/>
        <s v="Awaiting release"/>
        <s v="*Squared Love Everlasting*[2]"/>
        <s v="*Killer Book Club*[4]"/>
        <s v="*You Are So Not Invited To My Bat Mitzvah*[6]"/>
        <s v="*The Great Seduction*[8]"/>
        <s v="*A Day and a Half*[9]"/>
        <s v="*Friday Night Plan*[11]"/>
        <s v="*Happy Ending*[12]"/>
        <s v="*What If?*[14]"/>
        <s v="*Freestyle*[15]"/>
        <s v="*Ehrengard: The Art of Seduction*[17]"/>
        <s v="*Once Upon a Crime*"/>
        <s v="*El Conde*[21]"/>
        <s v="*Love at First Sight*[23]"/>
        <s v="*Spy Kids: Armageddon*[25][26]"/>
        <s v="*Street Flow 2*[28]"/>
        <s v="*Overhaul*[30]"/>
        <s v="*Nowhere*[32]"/>
        <s v="*Ballerina*[34]"/>
        <s v="*Reptile*[35][36]"/>
        <s v="*Fair Play*[39]"/>
        <s v="*Pain Hustlers*[41][42][43]"/>
        <s v="*Wingwomen*[45][46]"/>
        <s v="*The Killer*[48][49]"/>
        <s v="*Best. Christmas. Ever.*[50][51]"/>
        <s v="*Rustin*[53]"/>
        <s v="*Cryptoshlag*"/>
        <s v="*Leo*[55]"/>
        <s v="*Leave the World Behind*[57]"/>
        <s v="*Chicken Run: Dawn of the Nugget*[58]"/>
        <s v="*Maestro*[61][62]"/>
        <s v="*Rebel Moon*[64][65][66]"/>
        <s v="*Lift*[67][68]"/>
        <m/>
      </sharedItems>
    </cacheField>
    <cacheField name="Genre" numFmtId="0">
      <sharedItems containsBlank="1">
        <s v="Historical thriller drama"/>
        <s v="Drama"/>
        <s v="Family drama"/>
        <s v="Romantic comedy"/>
        <s v="Satiricalthriller"/>
        <s v="Sci-fiaction / adventure"/>
        <s v="Spy thriller"/>
        <s v="Comedy"/>
        <s v="Biopic"/>
        <s v="Thriller"/>
        <s v="Coming-of-ageromantic drama"/>
        <s v="Comedy-drama"/>
        <s v="Familyadventure"/>
        <s v="Romantic drama"/>
        <s v="Crime drama"/>
        <s v="Animation"/>
        <s v="Heistthriller"/>
        <s v="Crime thriller"/>
        <s v="Mystery comedy"/>
        <s v="Fantasyadventure"/>
        <s v="Thriller drama"/>
        <s v="Psychological thriller"/>
        <s v="Action thriller"/>
        <s v="Coming-of-age"/>
        <s v="Action drama"/>
        <s v="Darkcrimedramedy"/>
        <s v="Action"/>
        <s v="Western"/>
        <s v="Family film"/>
        <s v="Comedy drama"/>
        <s v="Anime"/>
        <s v="Romance"/>
        <s v="Anthology film"/>
        <s v="Animatedscience fiction"/>
        <s v="Action comedy"/>
        <s v="Post-apocalyptichorror-thriller"/>
        <s v="Sci-ficomedy mystery"/>
        <s v="Sci-fiaction-thriller"/>
        <s v="Black comedy"/>
        <s v="Melodrama"/>
        <s v="Thrillercomedy"/>
        <s v="Zombie apocalypse / comedy"/>
        <s v="Spythriller"/>
        <s v="Animatedaction comedy"/>
        <m/>
        <s v="Slasher"/>
        <s v="Dramedy"/>
        <s v="Fantasy"/>
        <s v="Action-adventure"/>
        <s v="Erotic thriller"/>
        <s v="Actiondramedy"/>
        <s v="Neo-noiraction thriller"/>
        <s v="Biographical drama"/>
        <s v="Animatedmusical"/>
        <s v="Stop motioncomedy"/>
        <s v="Space opera"/>
        <s v="Action comedy-thriller"/>
      </sharedItems>
    </cacheField>
    <cacheField name="Premiere">
      <sharedItems containsDate="1" containsBlank="1" containsMixedTypes="1">
        <d v="2023-01-06T00:00:00Z"/>
        <d v="2023-01-11T00:00:00Z"/>
        <d v="2023-01-13T00:00:00Z"/>
        <d v="2023-01-19T00:00:00Z"/>
        <d v="2023-01-20T00:00:00Z"/>
        <d v="2023-01-25T00:00:00Z"/>
        <d v="2023-01-27T00:00:00Z"/>
        <d v="2023-02-03T00:00:00Z"/>
        <d v="2023-02-09T00:00:00Z"/>
        <d v="2023-02-10T00:00:00Z"/>
        <d v="2023-02-13T00:00:00Z"/>
        <d v="2023-02-14T00:00:00Z"/>
        <d v="2023-02-17T00:00:00Z"/>
        <d v="2023-02-22T00:00:00Z"/>
        <d v="2023-02-23T00:00:00Z"/>
        <d v="2023-02-24T00:00:00Z"/>
        <d v="2023-03-01T00:00:00Z"/>
        <d v="2023-03-03T00:00:00Z"/>
        <d v="2023-03-08T00:00:00Z"/>
        <d v="2023-03-10T00:00:00Z"/>
        <d v="2023-03-17T00:00:00Z"/>
        <d v="2023-03-24T00:00:00Z"/>
        <d v="2023-03-31T00:00:00Z"/>
        <d v="2023-04-07T00:00:00Z"/>
        <d v="2023-04-08T00:00:00Z"/>
        <d v="2023-04-14T00:00:00Z"/>
        <d v="2023-04-21T00:00:00Z"/>
        <d v="2023-04-26T00:00:00Z"/>
        <d v="2023-04-27T00:00:00Z"/>
        <d v="2023-04-28T00:00:00Z"/>
        <d v="2023-05-11T00:00:00Z"/>
        <d v="2023-05-12T00:00:00Z"/>
        <d v="2023-05-17T00:00:00Z"/>
        <d v="2023-05-19T00:00:00Z"/>
        <d v="2023-05-24T00:00:00Z"/>
        <d v="2023-05-26T00:00:00Z"/>
        <d v="2023-06-01T00:00:00Z"/>
        <d v="2023-06-02T00:00:00Z"/>
        <d v="2023-06-09T00:00:00Z"/>
        <d v="2023-06-16T00:00:00Z"/>
        <d v="2023-06-23T00:00:00Z"/>
        <d v="2023-06-29T00:00:00Z"/>
        <d v="2023-06-30T00:00:00Z"/>
        <d v="2023-07-06T00:00:00Z"/>
        <d v="2023-07-07T00:00:00Z"/>
        <d v="2023-07-12T00:00:00Z"/>
        <d v="2023-07-14T00:00:00Z"/>
        <d v="2023-07-19T00:00:00Z"/>
        <d v="2023-07-21T00:00:00Z"/>
        <d v="2023-07-27T00:00:00Z"/>
        <d v="2023-07-28T00:00:00Z"/>
        <d v="2023-08-02T00:00:00Z"/>
        <d v="2023-08-03T00:00:00Z"/>
        <d v="2023-08-11T00:00:00Z"/>
        <d v="2023-08-18T00:00:00Z"/>
        <m/>
        <s v="August 23, 2023[3]"/>
        <s v="August 25, 2023[5]"/>
        <s v="August 25, 2023[7]"/>
        <d v="2023-08-30T00:00:00Z"/>
        <s v="September 1, 2023[10]"/>
        <d v="2023-09-01T00:00:00Z"/>
        <s v="September 1, 2023[13]"/>
        <d v="2023-09-07T00:00:00Z"/>
        <s v="September 13, 2023[16]"/>
        <s v="September 14, 2023[18][19]"/>
        <s v="September 14, 2023[20]"/>
        <s v="September 15, 2023[22]"/>
        <s v="September 15, 2023[24]"/>
        <s v="September 22, 2023[27]"/>
        <s v="September 27, 2023[29]"/>
        <s v="September 27, 2023[31]"/>
        <s v="September 29, 2023[33]"/>
        <s v="October 6, 2023[31]"/>
        <s v="October 6, 2023[37][38]"/>
        <s v="October 13, 2023[40]"/>
        <s v="October 27, 2023[44][38]"/>
        <s v="November 1, 2023[47]"/>
        <s v="November 10, 2023[44][38]"/>
        <s v="November 16, 2023[38][52]"/>
        <s v="November 17, 2023[54]"/>
        <s v="November 17, 2023[29]"/>
        <s v="November 21, 2023[44][56]"/>
        <s v="December 8, 2023[44][38]"/>
        <s v="December 15, 2023[59][60]"/>
        <s v="December 20, 2023[63]"/>
        <s v="December 22, 2023[44][38]"/>
        <s v="January 12, 2024[69]"/>
      </sharedItems>
    </cacheField>
    <cacheField name="Runtime" numFmtId="0">
      <sharedItems containsBlank="1">
        <s v="2 h 10 min"/>
        <s v="1 h 45 min"/>
        <s v="1 h 35 min"/>
        <s v="1 h 47 min"/>
        <s v="1 h 57 min"/>
        <s v="1 h 39 min"/>
        <s v="2 h 9 min"/>
        <s v="1 h 30 min"/>
        <s v="1 h 58 min"/>
        <s v="1 h 49 min"/>
        <s v="1 h 36 min"/>
        <s v="1 h 51 min"/>
        <s v="1 h 40 min"/>
        <s v="1 h 37 min"/>
        <s v="2 h 11 min"/>
        <s v="2 h 7 min"/>
        <s v="1 h 33 min"/>
        <s v="2 h 4 min"/>
        <s v="1 h 29 min"/>
        <s v="1 h 43 min"/>
        <s v="1 h 50 min"/>
        <s v="2 h 19 min"/>
        <s v="1 h 38 min"/>
        <s v="1 h 34 min"/>
        <s v="1 h 52 min"/>
        <s v="1 h 25 min"/>
        <s v="1 h 21 min"/>
        <s v="1 h 55 min"/>
        <s v="1 h 53 min"/>
        <s v="2 h 3 min"/>
        <s v="1 h 44 min"/>
        <s v="2 h 12 min"/>
        <s v="1 h 42 min"/>
        <s v="1 h 59 min"/>
        <s v="2 h"/>
        <s v="1 h 32 min"/>
        <s v="2 h 5 min"/>
        <s v="1 h 46 min"/>
        <m/>
        <s v="1 h 27 min"/>
        <s v="1 h 41 min"/>
        <s v="TBA"/>
        <s v="2 h 14 min"/>
        <s v="2 h 2 min"/>
        <s v="1 h 54 min"/>
      </sharedItems>
    </cacheField>
    <cacheField name="Language" numFmtId="0">
      <sharedItems containsBlank="1">
        <s v="English"/>
        <s v="Spanish"/>
        <s v="Arabic"/>
        <s v="Korean"/>
        <s v="Hindi"/>
        <s v="Italian"/>
        <s v="Indonesian"/>
        <s v="Polish"/>
        <s v="Japanese"/>
        <s v="Turkish"/>
        <s v="French"/>
        <s v="Dutch"/>
        <s v="Thai"/>
        <s v="Swedish"/>
        <s v="Norwegian"/>
        <s v="German"/>
        <s v="Danish"/>
        <s v="Filipino"/>
        <s v="Portuguese"/>
        <s v="Zulu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46" sheet="Sheet1"/>
  </cacheSource>
  <cacheFields>
    <cacheField name="Title" numFmtId="0">
      <sharedItems containsBlank="1">
        <s v="*The Pale Blue Eye*"/>
        <s v="*Noise*"/>
        <s v="*Dog Gone*"/>
        <s v="*Disconnect: The Wedding Planner*"/>
        <s v="*Alkhallat+*"/>
        <s v="*Jung E*"/>
        <s v="*Mission Majnu*"/>
        <s v="*The Price of Family*"/>
        <s v="*You People*"/>
        <s v="*True Spirit*"/>
        <s v="*Infiesto*"/>
        <s v="*Dear David*"/>
        <s v="*Your Place or Mine*"/>
        <s v="*Squared Love All Over Again*"/>
        <s v="*All the Places*"/>
        <s v="*Unlocked*"/>
        <s v="*The Strays*"/>
        <s v="*Call Me Chihiro*"/>
        <s v="*We Have a Ghost*"/>
        <s v="*Tonight You're Sleeping with Me*"/>
        <s v="*10 Days of a Good Man*"/>
        <s v="*Love at First Kiss*"/>
        <s v="*Faraway*"/>
        <s v="*Have a Nice Day!*"/>
        <s v="*Luther: The Fallen Sun*"/>
        <s v="*In His Shadow*"/>
        <s v="*The Magician's Elephant*"/>
        <s v="*Chor Nikal Ke Bhaga*"/>
        <s v="*Kill Boksoon*"/>
        <s v="*Murder Mystery 2*"/>
        <s v="*Chupa*"/>
        <s v="*Kings of Mulberry Street: Let Love Reign*"/>
        <s v="*Oh Belinda*"/>
        <s v="*Hunger*"/>
        <s v="*Queens on the Run*"/>
        <s v="*Phenomena*"/>
        <s v="*A Tourist's Guide to Love*"/>
        <s v="*Chokehold*"/>
        <s v="*One More Time*"/>
        <s v="*Kiss, Kiss!*"/>
        <s v="*The Matchmaker*"/>
        <s v="*AKA*"/>
        <s v="*Royalteen: Princess Margrethe*"/>
        <s v="*The Mother*"/>
        <s v="*Fanfic*"/>
        <s v="*Kathal – A Jackfruit Mystery*"/>
        <s v="*Hard Feelings*"/>
        <s v="*Mother's Day*"/>
        <s v="*Blood and Gold*"/>
        <s v="*Where the Tracks End*"/>
        <s v="*A Beautiful Life*"/>
        <s v="*Missed Connections*"/>
        <s v="*Rich in Love 2*"/>
        <s v="*The Wonder Weeks*"/>
        <s v="*You Do You*"/>
        <s v="*Black Clover: Sword of the Wizard King*"/>
        <s v="*Extraction 2*"/>
        <s v="*iNumber Number: Jozi Gold*"/>
        <s v="*Make Me Believe*"/>
        <s v="*The Perfect Find*"/>
        <s v="*Through My Window: Across the Sea*"/>
        <s v="*Lust Stories 2*"/>
        <s v="*Nimona*"/>
        <s v="*Gold Brick*"/>
        <s v="*Seasons*"/>
        <s v="*The Out-Laws*"/>
        <s v="*Mr. Car and the Knights Templar*"/>
        <s v="*Bird Box Barcelona*"/>
        <s v="*Love Tactics 2*"/>
        <s v="*The (Almost) Legends*"/>
        <s v="*They Cloned Tyrone*"/>
        <s v="*Happiness for Beginners*"/>
        <s v="*Paradise*"/>
        <s v="*The Murderer*"/>
        <s v="*Today We'll Talk About That Day*"/>
        <s v="*Big Nunu's Little Heist*"/>
        <s v="*Soulcatcher*"/>
        <s v="*Head to Head*"/>
        <s v="*Zom 100: Bucket List of the Dead*"/>
        <s v="*Heart of Stone*"/>
        <s v="*10 Days of a Bad Man*"/>
        <s v="*Love, Sex &amp; 30 Candles*"/>
        <s v="*The Monkey King*"/>
        <s v="Awaiting release"/>
        <s v="*Squared Love Everlasting*[2]"/>
        <s v="*Killer Book Club*[4]"/>
        <s v="*You Are So Not Invited To My Bat Mitzvah*[6]"/>
        <s v="*The Great Seduction*[8]"/>
        <s v="*A Day and a Half*[9]"/>
        <s v="*Friday Night Plan*[11]"/>
        <s v="*Happy Ending*[12]"/>
        <s v="*What If?*[14]"/>
        <s v="*Freestyle*[15]"/>
        <s v="*Ehrengard: The Art of Seduction*[17]"/>
        <s v="*Once Upon a Crime*"/>
        <s v="*El Conde*[21]"/>
        <s v="*Love at First Sight*[23]"/>
        <s v="*Spy Kids: Armageddon*[25][26]"/>
        <s v="*Street Flow 2*[28]"/>
        <s v="*Overhaul*[30]"/>
        <s v="*Nowhere*[32]"/>
        <s v="*Ballerina*[34]"/>
        <s v="*Reptile*[35][36]"/>
        <s v="*Fair Play*[39]"/>
        <s v="*Pain Hustlers*[41][42][43]"/>
        <s v="*Wingwomen*[45][46]"/>
        <s v="*The Killer*[48][49]"/>
        <s v="*Best. Christmas. Ever.*[50][51]"/>
        <s v="*Rustin*[53]"/>
        <s v="*Cryptoshlag*"/>
        <s v="*Leo*[55]"/>
        <s v="*Leave the World Behind*[57]"/>
        <s v="*Chicken Run: Dawn of the Nugget*[58]"/>
        <s v="*Maestro*[61][62]"/>
        <s v="*Rebel Moon*[64][65][66]"/>
        <s v="*Lift*[67][68]"/>
        <m/>
      </sharedItems>
    </cacheField>
    <cacheField name="Genre" numFmtId="0">
      <sharedItems containsBlank="1">
        <s v="Historical thriller drama"/>
        <s v="Drama"/>
        <s v="Family drama"/>
        <s v="Romantic comedy"/>
        <s v="Satiricalthriller"/>
        <s v="Sci-fiaction / adventure"/>
        <s v="Spy thriller"/>
        <s v="Comedy"/>
        <s v="Biopic"/>
        <s v="Thriller"/>
        <s v="Coming-of-ageromantic drama"/>
        <s v="Comedy-drama"/>
        <s v="Familyadventure"/>
        <s v="Romantic drama"/>
        <s v="Crime drama"/>
        <s v="Animation"/>
        <s v="Heistthriller"/>
        <s v="Crime thriller"/>
        <s v="Mystery comedy"/>
        <s v="Fantasyadventure"/>
        <s v="Thriller drama"/>
        <s v="Psychological thriller"/>
        <s v="Action thriller"/>
        <s v="Coming-of-age"/>
        <s v="Action drama"/>
        <s v="Darkcrimedramedy"/>
        <s v="Action"/>
        <s v="Western"/>
        <s v="Family film"/>
        <s v="Comedy drama"/>
        <s v="Anime"/>
        <s v="Romance"/>
        <s v="Anthology film"/>
        <s v="Animatedscience fiction"/>
        <s v="Action comedy"/>
        <s v="Post-apocalyptichorror-thriller"/>
        <s v="Sci-ficomedy mystery"/>
        <s v="Sci-fiaction-thriller"/>
        <s v="Black comedy"/>
        <s v="Melodrama"/>
        <s v="Thrillercomedy"/>
        <s v="Zombie apocalypse / comedy"/>
        <s v="Spythriller"/>
        <s v="Animatedaction comedy"/>
        <m/>
        <s v="Slasher"/>
        <s v="Dramedy"/>
        <s v="Fantasy"/>
        <s v="Action-adventure"/>
        <s v="Erotic thriller"/>
        <s v="Actiondramedy"/>
        <s v="Neo-noiraction thriller"/>
        <s v="Biographical drama"/>
        <s v="Animatedmusical"/>
        <s v="Stop motioncomedy"/>
        <s v="Space opera"/>
        <s v="Action comedy-thriller"/>
      </sharedItems>
    </cacheField>
    <cacheField name="Premiere">
      <sharedItems containsDate="1" containsBlank="1" containsMixedTypes="1">
        <d v="2023-01-06T00:00:00Z"/>
        <d v="2023-01-11T00:00:00Z"/>
        <d v="2023-01-13T00:00:00Z"/>
        <d v="2023-01-19T00:00:00Z"/>
        <d v="2023-01-20T00:00:00Z"/>
        <d v="2023-01-25T00:00:00Z"/>
        <d v="2023-01-27T00:00:00Z"/>
        <d v="2023-02-03T00:00:00Z"/>
        <d v="2023-02-09T00:00:00Z"/>
        <d v="2023-02-10T00:00:00Z"/>
        <d v="2023-02-13T00:00:00Z"/>
        <d v="2023-02-14T00:00:00Z"/>
        <d v="2023-02-17T00:00:00Z"/>
        <d v="2023-02-22T00:00:00Z"/>
        <d v="2023-02-23T00:00:00Z"/>
        <d v="2023-02-24T00:00:00Z"/>
        <d v="2023-03-01T00:00:00Z"/>
        <d v="2023-03-03T00:00:00Z"/>
        <d v="2023-03-08T00:00:00Z"/>
        <d v="2023-03-10T00:00:00Z"/>
        <d v="2023-03-17T00:00:00Z"/>
        <d v="2023-03-24T00:00:00Z"/>
        <d v="2023-03-31T00:00:00Z"/>
        <d v="2023-04-07T00:00:00Z"/>
        <d v="2023-04-08T00:00:00Z"/>
        <d v="2023-04-14T00:00:00Z"/>
        <d v="2023-04-21T00:00:00Z"/>
        <d v="2023-04-26T00:00:00Z"/>
        <d v="2023-04-27T00:00:00Z"/>
        <d v="2023-04-28T00:00:00Z"/>
        <d v="2023-05-11T00:00:00Z"/>
        <d v="2023-05-12T00:00:00Z"/>
        <d v="2023-05-17T00:00:00Z"/>
        <d v="2023-05-19T00:00:00Z"/>
        <d v="2023-05-24T00:00:00Z"/>
        <d v="2023-05-26T00:00:00Z"/>
        <d v="2023-06-01T00:00:00Z"/>
        <d v="2023-06-02T00:00:00Z"/>
        <d v="2023-06-09T00:00:00Z"/>
        <d v="2023-06-16T00:00:00Z"/>
        <d v="2023-06-23T00:00:00Z"/>
        <d v="2023-06-29T00:00:00Z"/>
        <d v="2023-06-30T00:00:00Z"/>
        <d v="2023-07-06T00:00:00Z"/>
        <d v="2023-07-07T00:00:00Z"/>
        <d v="2023-07-12T00:00:00Z"/>
        <d v="2023-07-14T00:00:00Z"/>
        <d v="2023-07-19T00:00:00Z"/>
        <d v="2023-07-21T00:00:00Z"/>
        <d v="2023-07-27T00:00:00Z"/>
        <d v="2023-07-28T00:00:00Z"/>
        <d v="2023-08-02T00:00:00Z"/>
        <d v="2023-08-03T00:00:00Z"/>
        <d v="2023-08-11T00:00:00Z"/>
        <d v="2023-08-18T00:00:00Z"/>
        <m/>
        <s v="August 23, 2023[3]"/>
        <s v="August 25, 2023[5]"/>
        <s v="August 25, 2023[7]"/>
        <d v="2023-08-30T00:00:00Z"/>
        <s v="September 1, 2023[10]"/>
        <d v="2023-09-01T00:00:00Z"/>
        <s v="September 1, 2023[13]"/>
        <d v="2023-09-07T00:00:00Z"/>
        <s v="September 13, 2023[16]"/>
        <s v="September 14, 2023[18][19]"/>
        <s v="September 14, 2023[20]"/>
        <s v="September 15, 2023[22]"/>
        <s v="September 15, 2023[24]"/>
        <s v="September 22, 2023[27]"/>
        <s v="September 27, 2023[29]"/>
        <s v="September 27, 2023[31]"/>
        <s v="September 29, 2023[33]"/>
        <s v="October 6, 2023[31]"/>
        <s v="October 6, 2023[37][38]"/>
        <s v="October 13, 2023[40]"/>
        <s v="October 27, 2023[44][38]"/>
        <s v="November 1, 2023[47]"/>
        <s v="November 10, 2023[44][38]"/>
        <s v="November 16, 2023[38][52]"/>
        <s v="November 17, 2023[54]"/>
        <s v="November 17, 2023[29]"/>
        <s v="November 21, 2023[44][56]"/>
        <s v="December 8, 2023[44][38]"/>
        <s v="December 15, 2023[59][60]"/>
        <s v="December 20, 2023[63]"/>
        <s v="December 22, 2023[44][38]"/>
        <s v="January 12, 2024[69]"/>
      </sharedItems>
    </cacheField>
    <cacheField name="Runtime" numFmtId="0">
      <sharedItems containsBlank="1">
        <s v="2 h 10 min"/>
        <s v="1 h 45 min"/>
        <s v="1 h 35 min"/>
        <s v="1 h 47 min"/>
        <s v="1 h 57 min"/>
        <s v="1 h 39 min"/>
        <s v="2 h 9 min"/>
        <s v="1 h 30 min"/>
        <s v="1 h 58 min"/>
        <s v="1 h 49 min"/>
        <s v="1 h 36 min"/>
        <s v="1 h 51 min"/>
        <s v="1 h 40 min"/>
        <s v="1 h 37 min"/>
        <s v="2 h 11 min"/>
        <s v="2 h 7 min"/>
        <s v="1 h 33 min"/>
        <s v="2 h 4 min"/>
        <s v="1 h 29 min"/>
        <s v="1 h 43 min"/>
        <s v="1 h 50 min"/>
        <s v="2 h 19 min"/>
        <s v="1 h 38 min"/>
        <s v="1 h 34 min"/>
        <s v="1 h 52 min"/>
        <s v="1 h 25 min"/>
        <s v="1 h 21 min"/>
        <s v="1 h 55 min"/>
        <s v="1 h 53 min"/>
        <s v="2 h 3 min"/>
        <s v="1 h 44 min"/>
        <s v="2 h 12 min"/>
        <s v="1 h 42 min"/>
        <s v="1 h 59 min"/>
        <s v="2 h"/>
        <s v="1 h 32 min"/>
        <s v="2 h 5 min"/>
        <s v="1 h 46 min"/>
        <m/>
        <s v="1 h 27 min"/>
        <s v="1 h 41 min"/>
        <s v="TBA"/>
        <s v="2 h 14 min"/>
        <s v="2 h 2 min"/>
        <s v="1 h 54 min"/>
      </sharedItems>
    </cacheField>
    <cacheField name="Language" numFmtId="0">
      <sharedItems containsBlank="1">
        <s v="English"/>
        <s v="Spanish"/>
        <s v="Arabic"/>
        <s v="Korean"/>
        <s v="Hindi"/>
        <s v="Italian"/>
        <s v="Indonesian"/>
        <s v="Polish"/>
        <s v="Japanese"/>
        <s v="Turkish"/>
        <s v="French"/>
        <s v="Dutch"/>
        <s v="Thai"/>
        <s v="Swedish"/>
        <s v="Norwegian"/>
        <s v="German"/>
        <s v="Danish"/>
        <s v="Filipino"/>
        <s v="Portuguese"/>
        <s v="Zulu"/>
        <m/>
      </sharedItems>
    </cacheField>
    <cacheField name="MONTH" numFmtId="0">
      <sharedItems containsBlank="1">
        <s v="JAN"/>
        <s v="FEB"/>
        <s v="MARCH"/>
        <s v="APRIL"/>
        <s v="MAY"/>
        <s v="JUNE"/>
        <s v="JULY"/>
        <s v="AUG"/>
        <s v="SEP"/>
        <s v="OCT"/>
        <s v="NOV"/>
        <s v="DEC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18" sheet="Sheet1"/>
  </cacheSource>
  <cacheFields>
    <cacheField name="Title" numFmtId="0">
      <sharedItems>
        <s v="*The Pale Blue Eye*"/>
        <s v="*Noise*"/>
        <s v="*Dog Gone*"/>
        <s v="*Disconnect: The Wedding Planner*"/>
        <s v="*Alkhallat+*"/>
        <s v="*Jung E*"/>
        <s v="*Mission Majnu*"/>
        <s v="*The Price of Family*"/>
        <s v="*You People*"/>
        <s v="*True Spirit*"/>
        <s v="*Infiesto*"/>
        <s v="*Dear David*"/>
        <s v="*Your Place or Mine*"/>
        <s v="*Squared Love All Over Again*"/>
        <s v="*All the Places*"/>
        <s v="*Unlocked*"/>
        <s v="*The Strays*"/>
        <s v="*Call Me Chihiro*"/>
        <s v="*We Have a Ghost*"/>
        <s v="*Tonight You're Sleeping with Me*"/>
        <s v="*10 Days of a Good Man*"/>
        <s v="*Love at First Kiss*"/>
        <s v="*Faraway*"/>
        <s v="*Have a Nice Day!*"/>
        <s v="*Luther: The Fallen Sun*"/>
        <s v="*In His Shadow*"/>
        <s v="*The Magician's Elephant*"/>
        <s v="*Chor Nikal Ke Bhaga*"/>
        <s v="*Kill Boksoon*"/>
        <s v="*Murder Mystery 2*"/>
        <s v="*Chupa*"/>
        <s v="*Kings of Mulberry Street: Let Love Reign*"/>
        <s v="*Oh Belinda*"/>
        <s v="*Hunger*"/>
        <s v="*Queens on the Run*"/>
        <s v="*Phenomena*"/>
        <s v="*A Tourist's Guide to Love*"/>
        <s v="*Chokehold*"/>
        <s v="*One More Time*"/>
        <s v="*Kiss, Kiss!*"/>
        <s v="*The Matchmaker*"/>
        <s v="*AKA*"/>
        <s v="*Royalteen: Princess Margrethe*"/>
        <s v="*The Mother*"/>
        <s v="*Fanfic*"/>
        <s v="*Kathal – A Jackfruit Mystery*"/>
        <s v="*Hard Feelings*"/>
        <s v="*Mother's Day*"/>
        <s v="*Blood and Gold*"/>
        <s v="*Where the Tracks End*"/>
        <s v="*A Beautiful Life*"/>
        <s v="*Missed Connections*"/>
        <s v="*Rich in Love 2*"/>
        <s v="*The Wonder Weeks*"/>
        <s v="*You Do You*"/>
        <s v="*Black Clover: Sword of the Wizard King*"/>
        <s v="*Extraction 2*"/>
        <s v="*iNumber Number: Jozi Gold*"/>
        <s v="*Make Me Believe*"/>
        <s v="*The Perfect Find*"/>
        <s v="*Through My Window: Across the Sea*"/>
        <s v="*Lust Stories 2*"/>
        <s v="*Nimona*"/>
        <s v="*Gold Brick*"/>
        <s v="*Seasons*"/>
        <s v="*The Out-Laws*"/>
        <s v="*Mr. Car and the Knights Templar*"/>
        <s v="*Bird Box Barcelona*"/>
        <s v="*Love Tactics 2*"/>
        <s v="*The (Almost) Legends*"/>
        <s v="*They Cloned Tyrone*"/>
        <s v="*Happiness for Beginners*"/>
        <s v="*Paradise*"/>
        <s v="*The Murderer*"/>
        <s v="*Today We'll Talk About That Day*"/>
        <s v="*Big Nunu's Little Heist*"/>
        <s v="*Soulcatcher*"/>
        <s v="*Head to Head*"/>
        <s v="*Zom 100: Bucket List of the Dead*"/>
        <s v="*Heart of Stone*"/>
        <s v="*10 Days of a Bad Man*"/>
        <s v="*Love, Sex &amp; 30 Candles*"/>
        <s v="*The Monkey King*"/>
        <s v="Awaiting release"/>
        <s v="*Squared Love Everlasting*[2]"/>
        <s v="*Killer Book Club*[4]"/>
        <s v="*You Are So Not Invited To My Bat Mitzvah*[6]"/>
        <s v="*The Great Seduction*[8]"/>
        <s v="*A Day and a Half*[9]"/>
        <s v="*Friday Night Plan*[11]"/>
        <s v="*Happy Ending*[12]"/>
        <s v="*What If?*[14]"/>
        <s v="*Freestyle*[15]"/>
        <s v="*Ehrengard: The Art of Seduction*[17]"/>
        <s v="*Once Upon a Crime*"/>
        <s v="*El Conde*[21]"/>
        <s v="*Love at First Sight*[23]"/>
        <s v="*Spy Kids: Armageddon*[25][26]"/>
        <s v="*Street Flow 2*[28]"/>
        <s v="*Overhaul*[30]"/>
        <s v="*Nowhere*[32]"/>
        <s v="*Ballerina*[34]"/>
        <s v="*Reptile*[35][36]"/>
        <s v="*Fair Play*[39]"/>
        <s v="*Pain Hustlers*[41][42][43]"/>
        <s v="*Wingwomen*[45][46]"/>
        <s v="*The Killer*[48][49]"/>
        <s v="*Best. Christmas. Ever.*[50][51]"/>
        <s v="*Rustin*[53]"/>
        <s v="*Cryptoshlag*"/>
        <s v="*Leo*[55]"/>
        <s v="*Leave the World Behind*[57]"/>
        <s v="*Chicken Run: Dawn of the Nugget*[58]"/>
        <s v="*Maestro*[61][62]"/>
        <s v="*Rebel Moon*[64][65][66]"/>
        <s v="*Lift*[67][68]"/>
      </sharedItems>
    </cacheField>
    <cacheField name="Genre" numFmtId="0">
      <sharedItems containsBlank="1">
        <s v="Historical thriller drama"/>
        <s v="Drama"/>
        <s v="Family drama"/>
        <s v="Romantic comedy"/>
        <s v="Satiricalthriller"/>
        <s v="Sci-fiaction / adventure"/>
        <s v="Spy thriller"/>
        <s v="Comedy"/>
        <s v="Biopic"/>
        <s v="Thriller"/>
        <s v="Coming-of-ageromantic drama"/>
        <s v="Comedy-drama"/>
        <s v="Familyadventure"/>
        <s v="Romantic drama"/>
        <s v="Crime drama"/>
        <s v="Animation"/>
        <s v="Heistthriller"/>
        <s v="Crime thriller"/>
        <s v="Mystery comedy"/>
        <s v="Fantasyadventure"/>
        <s v="Thriller drama"/>
        <s v="Psychological thriller"/>
        <s v="Action thriller"/>
        <s v="Coming-of-age"/>
        <s v="Action drama"/>
        <s v="Darkcrimedramedy"/>
        <s v="Action"/>
        <s v="Western"/>
        <s v="Family film"/>
        <s v="Comedy drama"/>
        <s v="Anime"/>
        <s v="Romance"/>
        <s v="Anthology film"/>
        <s v="Animatedscience fiction"/>
        <s v="Action comedy"/>
        <s v="Post-apocalyptichorror-thriller"/>
        <s v="Sci-ficomedy mystery"/>
        <s v="Sci-fiaction-thriller"/>
        <s v="Black comedy"/>
        <s v="Melodrama"/>
        <s v="Thrillercomedy"/>
        <s v="Zombie apocalypse / comedy"/>
        <s v="Spythriller"/>
        <s v="Animatedaction comedy"/>
        <m/>
        <s v="Slasher"/>
        <s v="Dramedy"/>
        <s v="Fantasy"/>
        <s v="Action-adventure"/>
        <s v="Erotic thriller"/>
        <s v="Actiondramedy"/>
        <s v="Neo-noiraction thriller"/>
        <s v="Biographical drama"/>
        <s v="Animatedmusical"/>
        <s v="Stop motioncomedy"/>
        <s v="Space opera"/>
        <s v="Action comedy-thriller"/>
      </sharedItems>
    </cacheField>
    <cacheField name="Premiere">
      <sharedItems containsDate="1" containsBlank="1" containsMixedTypes="1">
        <d v="2023-01-06T00:00:00Z"/>
        <d v="2023-01-11T00:00:00Z"/>
        <d v="2023-01-13T00:00:00Z"/>
        <d v="2023-01-19T00:00:00Z"/>
        <d v="2023-01-20T00:00:00Z"/>
        <d v="2023-01-25T00:00:00Z"/>
        <d v="2023-01-27T00:00:00Z"/>
        <d v="2023-02-03T00:00:00Z"/>
        <d v="2023-02-09T00:00:00Z"/>
        <d v="2023-02-10T00:00:00Z"/>
        <d v="2023-02-13T00:00:00Z"/>
        <d v="2023-02-14T00:00:00Z"/>
        <d v="2023-02-17T00:00:00Z"/>
        <d v="2023-02-22T00:00:00Z"/>
        <d v="2023-02-23T00:00:00Z"/>
        <d v="2023-02-24T00:00:00Z"/>
        <d v="2023-03-01T00:00:00Z"/>
        <d v="2023-03-03T00:00:00Z"/>
        <d v="2023-03-08T00:00:00Z"/>
        <d v="2023-03-10T00:00:00Z"/>
        <d v="2023-03-17T00:00:00Z"/>
        <d v="2023-03-24T00:00:00Z"/>
        <d v="2023-03-31T00:00:00Z"/>
        <d v="2023-04-07T00:00:00Z"/>
        <d v="2023-04-08T00:00:00Z"/>
        <d v="2023-04-14T00:00:00Z"/>
        <d v="2023-04-21T00:00:00Z"/>
        <d v="2023-04-26T00:00:00Z"/>
        <d v="2023-04-27T00:00:00Z"/>
        <d v="2023-04-28T00:00:00Z"/>
        <d v="2023-05-11T00:00:00Z"/>
        <d v="2023-05-12T00:00:00Z"/>
        <d v="2023-05-17T00:00:00Z"/>
        <d v="2023-05-19T00:00:00Z"/>
        <d v="2023-05-24T00:00:00Z"/>
        <d v="2023-05-26T00:00:00Z"/>
        <d v="2023-06-01T00:00:00Z"/>
        <d v="2023-06-02T00:00:00Z"/>
        <d v="2023-06-09T00:00:00Z"/>
        <d v="2023-06-16T00:00:00Z"/>
        <d v="2023-06-23T00:00:00Z"/>
        <d v="2023-06-29T00:00:00Z"/>
        <d v="2023-06-30T00:00:00Z"/>
        <d v="2023-07-06T00:00:00Z"/>
        <d v="2023-07-07T00:00:00Z"/>
        <d v="2023-07-12T00:00:00Z"/>
        <d v="2023-07-14T00:00:00Z"/>
        <d v="2023-07-19T00:00:00Z"/>
        <d v="2023-07-21T00:00:00Z"/>
        <d v="2023-07-27T00:00:00Z"/>
        <d v="2023-07-28T00:00:00Z"/>
        <d v="2023-08-02T00:00:00Z"/>
        <d v="2023-08-03T00:00:00Z"/>
        <d v="2023-08-11T00:00:00Z"/>
        <d v="2023-08-18T00:00:00Z"/>
        <m/>
        <s v="August 23, 2023[3]"/>
        <s v="August 25, 2023[5]"/>
        <s v="August 25, 2023[7]"/>
        <d v="2023-08-30T00:00:00Z"/>
        <s v="September 1, 2023[10]"/>
        <d v="2023-09-01T00:00:00Z"/>
        <s v="September 1, 2023[13]"/>
        <d v="2023-09-07T00:00:00Z"/>
        <s v="September 13, 2023[16]"/>
        <s v="September 14, 2023[18][19]"/>
        <s v="September 14, 2023[20]"/>
        <s v="September 15, 2023[22]"/>
        <s v="September 15, 2023[24]"/>
        <s v="September 22, 2023[27]"/>
        <s v="September 27, 2023[29]"/>
        <s v="September 27, 2023[31]"/>
        <s v="September 29, 2023[33]"/>
        <s v="October 6, 2023[31]"/>
        <s v="October 6, 2023[37][38]"/>
        <s v="October 13, 2023[40]"/>
        <s v="October 27, 2023[44][38]"/>
        <s v="November 1, 2023[47]"/>
        <s v="November 10, 2023[44][38]"/>
        <s v="November 16, 2023[38][52]"/>
        <s v="November 17, 2023[54]"/>
        <s v="November 17, 2023[29]"/>
        <s v="November 21, 2023[44][56]"/>
        <s v="December 8, 2023[44][38]"/>
        <s v="December 15, 2023[59][60]"/>
        <s v="December 20, 2023[63]"/>
        <s v="December 22, 2023[44][38]"/>
        <s v="January 12, 2024[69]"/>
      </sharedItems>
    </cacheField>
    <cacheField name="Runtime" numFmtId="0">
      <sharedItems containsBlank="1">
        <s v="2 h 10 min"/>
        <s v="1 h 45 min"/>
        <s v="1 h 35 min"/>
        <s v="1 h 47 min"/>
        <s v="1 h 57 min"/>
        <s v="1 h 39 min"/>
        <s v="2 h 9 min"/>
        <s v="1 h 30 min"/>
        <s v="1 h 58 min"/>
        <s v="1 h 49 min"/>
        <s v="1 h 36 min"/>
        <s v="1 h 51 min"/>
        <s v="1 h 40 min"/>
        <s v="1 h 37 min"/>
        <s v="2 h 11 min"/>
        <s v="2 h 7 min"/>
        <s v="1 h 33 min"/>
        <s v="2 h 4 min"/>
        <s v="1 h 29 min"/>
        <s v="1 h 43 min"/>
        <s v="1 h 50 min"/>
        <s v="2 h 19 min"/>
        <s v="1 h 38 min"/>
        <s v="1 h 34 min"/>
        <s v="1 h 52 min"/>
        <s v="1 h 25 min"/>
        <s v="1 h 21 min"/>
        <s v="1 h 55 min"/>
        <s v="1 h 53 min"/>
        <s v="2 h 3 min"/>
        <s v="1 h 44 min"/>
        <s v="2 h 12 min"/>
        <s v="1 h 42 min"/>
        <s v="1 h 59 min"/>
        <s v="2 h"/>
        <s v="1 h 32 min"/>
        <s v="2 h 5 min"/>
        <s v="1 h 46 min"/>
        <m/>
        <s v="1 h 27 min"/>
        <s v="1 h 41 min"/>
        <s v="TBA"/>
        <s v="2 h 14 min"/>
        <s v="2 h 2 min"/>
        <s v="1 h 54 min"/>
      </sharedItems>
    </cacheField>
    <cacheField name="Language" numFmtId="0">
      <sharedItems containsBlank="1">
        <s v="English"/>
        <s v="Spanish"/>
        <s v="Arabic"/>
        <s v="Korean"/>
        <s v="Hindi"/>
        <s v="Italian"/>
        <s v="Indonesian"/>
        <s v="Polish"/>
        <s v="Japanese"/>
        <s v="Turkish"/>
        <s v="French"/>
        <s v="Dutch"/>
        <s v="Thai"/>
        <s v="Swedish"/>
        <s v="Norwegian"/>
        <s v="German"/>
        <s v="Danish"/>
        <s v="Filipino"/>
        <s v="Portuguese"/>
        <s v="Zulu"/>
        <m/>
      </sharedItems>
    </cacheField>
    <cacheField name="MONTH" numFmtId="0">
      <sharedItems>
        <s v="JAN"/>
        <s v="FEB"/>
        <s v="MARCH"/>
        <s v="APRIL"/>
        <s v="MAY"/>
        <s v="JUNE"/>
        <s v="JULY"/>
        <s v="AUG"/>
        <s v="SEP"/>
        <s v="OCT"/>
        <s v="NOV"/>
        <s v="DEC"/>
      </sharedItems>
    </cacheField>
    <cacheField name="HOURS">
      <sharedItems containsMixedTypes="1" containsNumber="1" containsInteger="1">
        <s v="2"/>
        <s v="1"/>
        <s v=""/>
        <n v="0.0"/>
      </sharedItems>
    </cacheField>
    <cacheField name="MIN" numFmtId="0">
      <sharedItems>
        <s v="10"/>
        <s v="45"/>
        <s v="35"/>
        <s v="47"/>
        <s v="57"/>
        <s v="39"/>
        <s v="9 "/>
        <s v="30"/>
        <s v="58"/>
        <s v="49"/>
        <s v="36"/>
        <s v="51"/>
        <s v="40"/>
        <s v="37"/>
        <s v="11"/>
        <s v="7 "/>
        <s v="33"/>
        <s v="4 "/>
        <s v="29"/>
        <s v="43"/>
        <s v="50"/>
        <s v="19"/>
        <s v="38"/>
        <s v="34"/>
        <s v="52"/>
        <s v="25"/>
        <s v="21"/>
        <s v="55"/>
        <s v="53"/>
        <s v="3 "/>
        <s v="44"/>
        <s v="12"/>
        <s v="42"/>
        <s v="59"/>
        <s v=""/>
        <s v="32"/>
        <s v="5 "/>
        <s v="46"/>
        <s v="27"/>
        <s v="41"/>
        <s v="14"/>
        <s v="2 "/>
        <s v="54"/>
      </sharedItems>
    </cacheField>
    <cacheField name="RUN TIME" numFmtId="0">
      <sharedItems containsSemiMixedTypes="0" containsString="0" containsNumber="1" containsInteger="1">
        <n v="130.0"/>
        <n v="105.0"/>
        <n v="95.0"/>
        <n v="107.0"/>
        <n v="117.0"/>
        <n v="99.0"/>
        <n v="129.0"/>
        <n v="90.0"/>
        <n v="118.0"/>
        <n v="109.0"/>
        <n v="96.0"/>
        <n v="111.0"/>
        <n v="100.0"/>
        <n v="97.0"/>
        <n v="131.0"/>
        <n v="127.0"/>
        <n v="93.0"/>
        <n v="124.0"/>
        <n v="89.0"/>
        <n v="103.0"/>
        <n v="110.0"/>
        <n v="139.0"/>
        <n v="98.0"/>
        <n v="94.0"/>
        <n v="112.0"/>
        <n v="85.0"/>
        <n v="81.0"/>
        <n v="115.0"/>
        <n v="113.0"/>
        <n v="123.0"/>
        <n v="104.0"/>
        <n v="132.0"/>
        <n v="102.0"/>
        <n v="119.0"/>
        <n v="120.0"/>
        <n v="92.0"/>
        <n v="125.0"/>
        <n v="106.0"/>
        <n v="0.0"/>
        <n v="87.0"/>
        <n v="101.0"/>
        <n v="134.0"/>
        <n v="122.0"/>
        <n v="114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36" sheet="Sheet1"/>
  </cacheSource>
  <cacheFields>
    <cacheField name="Title" numFmtId="0">
      <sharedItems containsBlank="1">
        <s v="*The Pale Blue Eye*"/>
        <s v="*Noise*"/>
        <s v="*Dog Gone*"/>
        <s v="*Disconnect: The Wedding Planner*"/>
        <s v="*Alkhallat+*"/>
        <s v="*Jung E*"/>
        <s v="*Mission Majnu*"/>
        <s v="*The Price of Family*"/>
        <s v="*You People*"/>
        <s v="*True Spirit*"/>
        <s v="*Infiesto*"/>
        <s v="*Dear David*"/>
        <s v="*Your Place or Mine*"/>
        <s v="*Squared Love All Over Again*"/>
        <s v="*All the Places*"/>
        <s v="*Unlocked*"/>
        <s v="*The Strays*"/>
        <s v="*Call Me Chihiro*"/>
        <s v="*We Have a Ghost*"/>
        <s v="*Tonight You're Sleeping with Me*"/>
        <s v="*10 Days of a Good Man*"/>
        <s v="*Love at First Kiss*"/>
        <s v="*Faraway*"/>
        <s v="*Have a Nice Day!*"/>
        <s v="*Luther: The Fallen Sun*"/>
        <s v="*In His Shadow*"/>
        <s v="*The Magician's Elephant*"/>
        <s v="*Chor Nikal Ke Bhaga*"/>
        <s v="*Kill Boksoon*"/>
        <s v="*Murder Mystery 2*"/>
        <s v="*Chupa*"/>
        <s v="*Kings of Mulberry Street: Let Love Reign*"/>
        <s v="*Oh Belinda*"/>
        <s v="*Hunger*"/>
        <s v="*Queens on the Run*"/>
        <s v="*Phenomena*"/>
        <s v="*A Tourist's Guide to Love*"/>
        <s v="*Chokehold*"/>
        <s v="*One More Time*"/>
        <s v="*Kiss, Kiss!*"/>
        <s v="*The Matchmaker*"/>
        <s v="*AKA*"/>
        <s v="*Royalteen: Princess Margrethe*"/>
        <s v="*The Mother*"/>
        <s v="*Fanfic*"/>
        <s v="*Kathal – A Jackfruit Mystery*"/>
        <s v="*Hard Feelings*"/>
        <s v="*Mother's Day*"/>
        <s v="*Blood and Gold*"/>
        <s v="*Where the Tracks End*"/>
        <s v="*A Beautiful Life*"/>
        <s v="*Missed Connections*"/>
        <s v="*Rich in Love 2*"/>
        <s v="*The Wonder Weeks*"/>
        <s v="*You Do You*"/>
        <s v="*Black Clover: Sword of the Wizard King*"/>
        <s v="*Extraction 2*"/>
        <s v="*iNumber Number: Jozi Gold*"/>
        <s v="*Make Me Believe*"/>
        <s v="*The Perfect Find*"/>
        <s v="*Through My Window: Across the Sea*"/>
        <s v="*Lust Stories 2*"/>
        <s v="*Nimona*"/>
        <s v="*Gold Brick*"/>
        <s v="*Seasons*"/>
        <s v="*The Out-Laws*"/>
        <s v="*Mr. Car and the Knights Templar*"/>
        <s v="*Bird Box Barcelona*"/>
        <s v="*Love Tactics 2*"/>
        <s v="*The (Almost) Legends*"/>
        <s v="*They Cloned Tyrone*"/>
        <s v="*Happiness for Beginners*"/>
        <s v="*Paradise*"/>
        <s v="*The Murderer*"/>
        <s v="*Today We'll Talk About That Day*"/>
        <s v="*Big Nunu's Little Heist*"/>
        <s v="*Soulcatcher*"/>
        <s v="*Head to Head*"/>
        <s v="*Zom 100: Bucket List of the Dead*"/>
        <s v="*Heart of Stone*"/>
        <s v="*10 Days of a Bad Man*"/>
        <s v="*Love, Sex &amp; 30 Candles*"/>
        <s v="*The Monkey King*"/>
        <s v="Awaiting release"/>
        <s v="*Squared Love Everlasting*[2]"/>
        <s v="*Killer Book Club*[4]"/>
        <s v="*You Are So Not Invited To My Bat Mitzvah*[6]"/>
        <s v="*The Great Seduction*[8]"/>
        <s v="*A Day and a Half*[9]"/>
        <s v="*Friday Night Plan*[11]"/>
        <s v="*Happy Ending*[12]"/>
        <s v="*What If?*[14]"/>
        <s v="*Freestyle*[15]"/>
        <s v="*Ehrengard: The Art of Seduction*[17]"/>
        <s v="*Once Upon a Crime*"/>
        <s v="*El Conde*[21]"/>
        <s v="*Love at First Sight*[23]"/>
        <s v="*Spy Kids: Armageddon*[25][26]"/>
        <s v="*Street Flow 2*[28]"/>
        <s v="*Overhaul*[30]"/>
        <s v="*Nowhere*[32]"/>
        <s v="*Ballerina*[34]"/>
        <s v="*Reptile*[35][36]"/>
        <s v="*Fair Play*[39]"/>
        <s v="*Pain Hustlers*[41][42][43]"/>
        <s v="*Wingwomen*[45][46]"/>
        <s v="*The Killer*[48][49]"/>
        <s v="*Best. Christmas. Ever.*[50][51]"/>
        <s v="*Rustin*[53]"/>
        <s v="*Cryptoshlag*"/>
        <s v="*Leo*[55]"/>
        <s v="*Leave the World Behind*[57]"/>
        <s v="*Chicken Run: Dawn of the Nugget*[58]"/>
        <s v="*Maestro*[61][62]"/>
        <s v="*Rebel Moon*[64][65][66]"/>
        <s v="*Lift*[67][68]"/>
        <m/>
      </sharedItems>
    </cacheField>
    <cacheField name="Genre" numFmtId="0">
      <sharedItems containsBlank="1">
        <s v="Historical thriller drama"/>
        <s v="Drama"/>
        <s v="Family drama"/>
        <s v="Romantic comedy"/>
        <s v="Satiricalthriller"/>
        <s v="Sci-fiaction / adventure"/>
        <s v="Spy thriller"/>
        <s v="Comedy"/>
        <s v="Biopic"/>
        <s v="Thriller"/>
        <s v="Coming-of-ageromantic drama"/>
        <s v="Comedy-drama"/>
        <s v="Familyadventure"/>
        <s v="Romantic drama"/>
        <s v="Crime drama"/>
        <s v="Animation"/>
        <s v="Heistthriller"/>
        <s v="Crime thriller"/>
        <s v="Mystery comedy"/>
        <s v="Fantasyadventure"/>
        <s v="Thriller drama"/>
        <s v="Psychological thriller"/>
        <s v="Action thriller"/>
        <s v="Coming-of-age"/>
        <s v="Action drama"/>
        <s v="Darkcrimedramedy"/>
        <s v="Action"/>
        <s v="Western"/>
        <s v="Family film"/>
        <s v="Comedy drama"/>
        <s v="Anime"/>
        <s v="Romance"/>
        <s v="Anthology film"/>
        <s v="Animatedscience fiction"/>
        <s v="Action comedy"/>
        <s v="Post-apocalyptichorror-thriller"/>
        <s v="Sci-ficomedy mystery"/>
        <s v="Sci-fiaction-thriller"/>
        <s v="Black comedy"/>
        <s v="Melodrama"/>
        <s v="Thrillercomedy"/>
        <s v="Zombie apocalypse / comedy"/>
        <s v="Spythriller"/>
        <s v="Animatedaction comedy"/>
        <m/>
        <s v="Slasher"/>
        <s v="Dramedy"/>
        <s v="Fantasy"/>
        <s v="Action-adventure"/>
        <s v="Erotic thriller"/>
        <s v="Actiondramedy"/>
        <s v="Neo-noiraction thriller"/>
        <s v="Biographical drama"/>
        <s v="Animatedmusical"/>
        <s v="Stop motioncomedy"/>
        <s v="Space opera"/>
        <s v="Action comedy-thriller"/>
      </sharedItems>
    </cacheField>
    <cacheField name="Premiere">
      <sharedItems containsDate="1" containsBlank="1" containsMixedTypes="1">
        <d v="2023-01-06T00:00:00Z"/>
        <d v="2023-01-11T00:00:00Z"/>
        <d v="2023-01-13T00:00:00Z"/>
        <d v="2023-01-19T00:00:00Z"/>
        <d v="2023-01-20T00:00:00Z"/>
        <d v="2023-01-25T00:00:00Z"/>
        <d v="2023-01-27T00:00:00Z"/>
        <d v="2023-02-03T00:00:00Z"/>
        <d v="2023-02-09T00:00:00Z"/>
        <d v="2023-02-10T00:00:00Z"/>
        <d v="2023-02-13T00:00:00Z"/>
        <d v="2023-02-14T00:00:00Z"/>
        <d v="2023-02-17T00:00:00Z"/>
        <d v="2023-02-22T00:00:00Z"/>
        <d v="2023-02-23T00:00:00Z"/>
        <d v="2023-02-24T00:00:00Z"/>
        <d v="2023-03-01T00:00:00Z"/>
        <d v="2023-03-03T00:00:00Z"/>
        <d v="2023-03-08T00:00:00Z"/>
        <d v="2023-03-10T00:00:00Z"/>
        <d v="2023-03-17T00:00:00Z"/>
        <d v="2023-03-24T00:00:00Z"/>
        <d v="2023-03-31T00:00:00Z"/>
        <d v="2023-04-07T00:00:00Z"/>
        <d v="2023-04-08T00:00:00Z"/>
        <d v="2023-04-14T00:00:00Z"/>
        <d v="2023-04-21T00:00:00Z"/>
        <d v="2023-04-26T00:00:00Z"/>
        <d v="2023-04-27T00:00:00Z"/>
        <d v="2023-04-28T00:00:00Z"/>
        <d v="2023-05-11T00:00:00Z"/>
        <d v="2023-05-12T00:00:00Z"/>
        <d v="2023-05-17T00:00:00Z"/>
        <d v="2023-05-19T00:00:00Z"/>
        <d v="2023-05-24T00:00:00Z"/>
        <d v="2023-05-26T00:00:00Z"/>
        <d v="2023-06-01T00:00:00Z"/>
        <d v="2023-06-02T00:00:00Z"/>
        <d v="2023-06-09T00:00:00Z"/>
        <d v="2023-06-16T00:00:00Z"/>
        <d v="2023-06-23T00:00:00Z"/>
        <d v="2023-06-29T00:00:00Z"/>
        <d v="2023-06-30T00:00:00Z"/>
        <d v="2023-07-06T00:00:00Z"/>
        <d v="2023-07-07T00:00:00Z"/>
        <d v="2023-07-12T00:00:00Z"/>
        <d v="2023-07-14T00:00:00Z"/>
        <d v="2023-07-19T00:00:00Z"/>
        <d v="2023-07-21T00:00:00Z"/>
        <d v="2023-07-27T00:00:00Z"/>
        <d v="2023-07-28T00:00:00Z"/>
        <d v="2023-08-02T00:00:00Z"/>
        <d v="2023-08-03T00:00:00Z"/>
        <d v="2023-08-11T00:00:00Z"/>
        <d v="2023-08-18T00:00:00Z"/>
        <m/>
        <s v="August 23, 2023[3]"/>
        <s v="August 25, 2023[5]"/>
        <s v="August 25, 2023[7]"/>
        <d v="2023-08-30T00:00:00Z"/>
        <s v="September 1, 2023[10]"/>
        <d v="2023-09-01T00:00:00Z"/>
        <s v="September 1, 2023[13]"/>
        <d v="2023-09-07T00:00:00Z"/>
        <s v="September 13, 2023[16]"/>
        <s v="September 14, 2023[18][19]"/>
        <s v="September 14, 2023[20]"/>
        <s v="September 15, 2023[22]"/>
        <s v="September 15, 2023[24]"/>
        <s v="September 22, 2023[27]"/>
        <s v="September 27, 2023[29]"/>
        <s v="September 27, 2023[31]"/>
        <s v="September 29, 2023[33]"/>
        <s v="October 6, 2023[31]"/>
        <s v="October 6, 2023[37][38]"/>
        <s v="October 13, 2023[40]"/>
        <s v="October 27, 2023[44][38]"/>
        <s v="November 1, 2023[47]"/>
        <s v="November 10, 2023[44][38]"/>
        <s v="November 16, 2023[38][52]"/>
        <s v="November 17, 2023[54]"/>
        <s v="November 17, 2023[29]"/>
        <s v="November 21, 2023[44][56]"/>
        <s v="December 8, 2023[44][38]"/>
        <s v="December 15, 2023[59][60]"/>
        <s v="December 20, 2023[63]"/>
        <s v="December 22, 2023[44][38]"/>
        <s v="January 12, 2024[69]"/>
      </sharedItems>
    </cacheField>
    <cacheField name="Runtime" numFmtId="0">
      <sharedItems containsBlank="1">
        <s v="2 h 10 min"/>
        <s v="1 h 45 min"/>
        <s v="1 h 35 min"/>
        <s v="1 h 47 min"/>
        <s v="1 h 57 min"/>
        <s v="1 h 39 min"/>
        <s v="2 h 9 min"/>
        <s v="1 h 30 min"/>
        <s v="1 h 58 min"/>
        <s v="1 h 49 min"/>
        <s v="1 h 36 min"/>
        <s v="1 h 51 min"/>
        <s v="1 h 40 min"/>
        <s v="1 h 37 min"/>
        <s v="2 h 11 min"/>
        <s v="2 h 7 min"/>
        <s v="1 h 33 min"/>
        <s v="2 h 4 min"/>
        <s v="1 h 29 min"/>
        <s v="1 h 43 min"/>
        <s v="1 h 50 min"/>
        <s v="2 h 19 min"/>
        <s v="1 h 38 min"/>
        <s v="1 h 34 min"/>
        <s v="1 h 52 min"/>
        <s v="1 h 25 min"/>
        <s v="1 h 21 min"/>
        <s v="1 h 55 min"/>
        <s v="1 h 53 min"/>
        <s v="2 h 3 min"/>
        <s v="1 h 44 min"/>
        <s v="2 h 12 min"/>
        <s v="1 h 42 min"/>
        <s v="1 h 59 min"/>
        <s v="2 h"/>
        <s v="1 h 32 min"/>
        <s v="2 h 5 min"/>
        <s v="1 h 46 min"/>
        <m/>
        <s v="1 h 27 min"/>
        <s v="1 h 41 min"/>
        <s v="TBA"/>
        <s v="2 h 14 min"/>
        <s v="2 h 2 min"/>
        <s v="1 h 54 min"/>
      </sharedItems>
    </cacheField>
    <cacheField name="Language" numFmtId="0">
      <sharedItems containsBlank="1">
        <s v="English"/>
        <s v="Spanish"/>
        <s v="Arabic"/>
        <s v="Korean"/>
        <s v="Hindi"/>
        <s v="Italian"/>
        <s v="Indonesian"/>
        <s v="Polish"/>
        <s v="Japanese"/>
        <s v="Turkish"/>
        <s v="French"/>
        <s v="Dutch"/>
        <s v="Thai"/>
        <s v="Swedish"/>
        <s v="Norwegian"/>
        <s v="German"/>
        <s v="Danish"/>
        <s v="Filipino"/>
        <s v="Portuguese"/>
        <s v="Zulu"/>
        <m/>
      </sharedItems>
    </cacheField>
    <cacheField name="MONTH" numFmtId="0">
      <sharedItems containsBlank="1">
        <s v="JAN"/>
        <s v="FEB"/>
        <s v="MARCH"/>
        <s v="APRIL"/>
        <s v="MAY"/>
        <s v="JUNE"/>
        <s v="JULY"/>
        <s v="AUG"/>
        <s v="SEP"/>
        <s v="OCT"/>
        <s v="NOV"/>
        <s v="DEC"/>
        <m/>
      </sharedItems>
    </cacheField>
    <cacheField name="HOURS">
      <sharedItems containsBlank="1" containsMixedTypes="1" containsNumber="1" containsInteger="1">
        <s v="2"/>
        <s v="1"/>
        <s v=""/>
        <n v="0.0"/>
        <m/>
      </sharedItems>
    </cacheField>
    <cacheField name="MIN" numFmtId="0">
      <sharedItems containsBlank="1">
        <s v="10"/>
        <s v="45"/>
        <s v="35"/>
        <s v="47"/>
        <s v="57"/>
        <s v="39"/>
        <s v="9 "/>
        <s v="30"/>
        <s v="58"/>
        <s v="49"/>
        <s v="36"/>
        <s v="51"/>
        <s v="40"/>
        <s v="37"/>
        <s v="11"/>
        <s v="7 "/>
        <s v="33"/>
        <s v="4 "/>
        <s v="29"/>
        <s v="43"/>
        <s v="50"/>
        <s v="19"/>
        <s v="38"/>
        <s v="34"/>
        <s v="52"/>
        <s v="25"/>
        <s v="21"/>
        <s v="55"/>
        <s v="53"/>
        <s v="3 "/>
        <s v="44"/>
        <s v="12"/>
        <s v="42"/>
        <s v="59"/>
        <s v=""/>
        <s v="32"/>
        <s v="5 "/>
        <s v="46"/>
        <s v="27"/>
        <s v="41"/>
        <s v="14"/>
        <s v="2 "/>
        <s v="54"/>
        <m/>
      </sharedItems>
    </cacheField>
    <cacheField name="RUN TIME" numFmtId="0">
      <sharedItems containsString="0" containsBlank="1" containsNumber="1" containsInteger="1">
        <n v="130.0"/>
        <n v="105.0"/>
        <n v="95.0"/>
        <n v="107.0"/>
        <n v="117.0"/>
        <n v="99.0"/>
        <n v="129.0"/>
        <n v="90.0"/>
        <n v="118.0"/>
        <n v="109.0"/>
        <n v="96.0"/>
        <n v="111.0"/>
        <n v="100.0"/>
        <n v="97.0"/>
        <n v="131.0"/>
        <n v="127.0"/>
        <n v="93.0"/>
        <n v="124.0"/>
        <n v="89.0"/>
        <n v="103.0"/>
        <n v="110.0"/>
        <n v="139.0"/>
        <n v="98.0"/>
        <n v="94.0"/>
        <n v="112.0"/>
        <n v="85.0"/>
        <n v="81.0"/>
        <n v="115.0"/>
        <n v="113.0"/>
        <n v="123.0"/>
        <n v="104.0"/>
        <n v="132.0"/>
        <n v="102.0"/>
        <n v="119.0"/>
        <n v="120.0"/>
        <n v="92.0"/>
        <n v="125.0"/>
        <n v="106.0"/>
        <n v="0.0"/>
        <n v="87.0"/>
        <n v="101.0"/>
        <n v="134.0"/>
        <n v="122.0"/>
        <n v="11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13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Genre" axis="axisRow" compact="0" outline="0" multipleItemSelectionAllowed="1" showAll="0" sortType="ascending">
      <items>
        <item x="44"/>
        <item x="26"/>
        <item x="34"/>
        <item x="56"/>
        <item x="24"/>
        <item x="22"/>
        <item x="48"/>
        <item x="50"/>
        <item x="43"/>
        <item x="53"/>
        <item x="33"/>
        <item x="15"/>
        <item x="30"/>
        <item x="32"/>
        <item x="52"/>
        <item x="8"/>
        <item x="38"/>
        <item x="7"/>
        <item x="29"/>
        <item x="11"/>
        <item x="23"/>
        <item x="10"/>
        <item x="14"/>
        <item x="17"/>
        <item x="25"/>
        <item x="1"/>
        <item x="46"/>
        <item x="49"/>
        <item x="2"/>
        <item x="28"/>
        <item x="12"/>
        <item x="47"/>
        <item x="19"/>
        <item x="16"/>
        <item x="0"/>
        <item x="39"/>
        <item x="18"/>
        <item x="51"/>
        <item x="35"/>
        <item x="21"/>
        <item x="31"/>
        <item x="3"/>
        <item x="13"/>
        <item x="4"/>
        <item x="5"/>
        <item x="37"/>
        <item x="36"/>
        <item x="45"/>
        <item x="55"/>
        <item x="6"/>
        <item x="42"/>
        <item x="54"/>
        <item x="9"/>
        <item x="20"/>
        <item x="40"/>
        <item x="27"/>
        <item x="41"/>
        <item t="default"/>
      </items>
    </pivotField>
    <pivotField name="Premi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un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Language" axis="axisRow" compact="0" outline="0" multipleItemSelectionAllowed="1" showAll="0" sortType="ascending">
      <items>
        <item x="20"/>
        <item x="2"/>
        <item x="16"/>
        <item x="11"/>
        <item x="0"/>
        <item x="17"/>
        <item x="10"/>
        <item x="15"/>
        <item x="4"/>
        <item x="6"/>
        <item x="5"/>
        <item x="8"/>
        <item x="3"/>
        <item x="14"/>
        <item x="7"/>
        <item x="18"/>
        <item x="1"/>
        <item x="13"/>
        <item x="12"/>
        <item x="9"/>
        <item x="19"/>
        <item t="default"/>
      </items>
    </pivotField>
  </pivotFields>
  <rowFields>
    <field x="4"/>
    <field x="1"/>
  </row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B15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emi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un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ONTH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5"/>
  </rowFields>
  <dataFields>
    <dataField name="COUNTA of MONTH" fld="5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1" dataCaption="" compact="0" compactData="0">
  <location ref="A1:B23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emie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un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Language" axis="axisRow" compact="0" outline="0" multipleItemSelectionAllowed="1" showAll="0" sortType="ascending">
      <items>
        <item x="20"/>
        <item x="2"/>
        <item x="16"/>
        <item x="11"/>
        <item x="0"/>
        <item x="17"/>
        <item x="10"/>
        <item x="15"/>
        <item x="4"/>
        <item x="6"/>
        <item x="5"/>
        <item x="8"/>
        <item x="3"/>
        <item x="14"/>
        <item x="7"/>
        <item x="18"/>
        <item x="1"/>
        <item x="13"/>
        <item x="12"/>
        <item x="9"/>
        <item x="19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4"/>
  </rowFields>
  <dataFields>
    <dataField name="COUNTA of Premiere" fld="2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2" dataCaption="" compact="0" compactData="0">
  <location ref="A1:B118" firstHeaderRow="0" firstDataRow="1" firstDataCol="0"/>
  <pivotFields>
    <pivotField name="Title" axis="axisRow" compact="0" outline="0" multipleItemSelectionAllowed="1" showAll="0" sortType="ascending">
      <items>
        <item x="80"/>
        <item x="20"/>
        <item x="50"/>
        <item x="88"/>
        <item x="36"/>
        <item x="41"/>
        <item x="4"/>
        <item x="14"/>
        <item x="101"/>
        <item x="107"/>
        <item x="75"/>
        <item x="67"/>
        <item x="55"/>
        <item x="48"/>
        <item x="17"/>
        <item x="112"/>
        <item x="37"/>
        <item x="27"/>
        <item x="30"/>
        <item x="109"/>
        <item x="11"/>
        <item x="3"/>
        <item x="2"/>
        <item x="93"/>
        <item x="95"/>
        <item x="56"/>
        <item x="103"/>
        <item x="44"/>
        <item x="22"/>
        <item x="92"/>
        <item x="89"/>
        <item x="63"/>
        <item x="71"/>
        <item x="90"/>
        <item x="46"/>
        <item x="23"/>
        <item x="77"/>
        <item x="79"/>
        <item x="33"/>
        <item x="25"/>
        <item x="10"/>
        <item x="57"/>
        <item x="5"/>
        <item x="45"/>
        <item x="28"/>
        <item x="85"/>
        <item x="31"/>
        <item x="39"/>
        <item x="111"/>
        <item x="110"/>
        <item x="115"/>
        <item x="21"/>
        <item x="96"/>
        <item x="68"/>
        <item x="81"/>
        <item x="61"/>
        <item x="24"/>
        <item x="113"/>
        <item x="58"/>
        <item x="51"/>
        <item x="6"/>
        <item x="47"/>
        <item x="66"/>
        <item x="29"/>
        <item x="62"/>
        <item x="1"/>
        <item x="100"/>
        <item x="32"/>
        <item x="94"/>
        <item x="38"/>
        <item x="99"/>
        <item x="104"/>
        <item x="72"/>
        <item x="35"/>
        <item x="34"/>
        <item x="114"/>
        <item x="102"/>
        <item x="52"/>
        <item x="42"/>
        <item x="108"/>
        <item x="64"/>
        <item x="76"/>
        <item x="97"/>
        <item x="13"/>
        <item x="84"/>
        <item x="98"/>
        <item x="69"/>
        <item x="87"/>
        <item x="106"/>
        <item x="26"/>
        <item x="40"/>
        <item x="82"/>
        <item x="43"/>
        <item x="73"/>
        <item x="65"/>
        <item x="0"/>
        <item x="59"/>
        <item x="7"/>
        <item x="16"/>
        <item x="53"/>
        <item x="70"/>
        <item x="60"/>
        <item x="74"/>
        <item x="19"/>
        <item x="9"/>
        <item x="15"/>
        <item x="18"/>
        <item x="91"/>
        <item x="49"/>
        <item x="105"/>
        <item x="86"/>
        <item x="54"/>
        <item x="8"/>
        <item x="12"/>
        <item x="78"/>
        <item x="83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remi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un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t="default"/>
      </items>
    </pivotField>
    <pivotField name="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UN 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0"/>
  </rowFields>
  <dataFields>
    <dataField name="SUM of RUN TIME" fld="8" baseField="0"/>
  </dataFields>
</pivotTableDefinition>
</file>

<file path=xl/pivotTables/pivotTable5.xml><?xml version="1.0" encoding="utf-8"?>
<pivotTableDefinition xmlns="http://schemas.openxmlformats.org/spreadsheetml/2006/main" name="Pivot Table 5" cacheId="3" dataCaption="" compact="0" compactData="0">
  <location ref="A1:B59" firstHeaderRow="0" firstDataRow="1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Genr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emi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Run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RUN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>
    <field x="1"/>
  </rowFields>
  <dataFields>
    <dataField name="COUNTA of Genr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IFERROR(__xludf.DUMMYFUNCTION("importhtml(""https://en.wikipedia.org/wiki/List_of_Netflix_original_films_(since_2023)"",""table"",1)"),"Title")</f>
        <v>Title</v>
      </c>
      <c r="B1" s="1" t="str">
        <f>IFERROR(__xludf.DUMMYFUNCTION("""COMPUTED_VALUE"""),"Genre")</f>
        <v>Genre</v>
      </c>
      <c r="C1" s="1" t="str">
        <f>IFERROR(__xludf.DUMMYFUNCTION("""COMPUTED_VALUE"""),"Premiere")</f>
        <v>Premiere</v>
      </c>
      <c r="D1" s="1" t="str">
        <f>IFERROR(__xludf.DUMMYFUNCTION("""COMPUTED_VALUE"""),"Runtime")</f>
        <v>Runtime</v>
      </c>
      <c r="E1" s="1" t="str">
        <f>IFERROR(__xludf.DUMMYFUNCTION("""COMPUTED_VALUE"""),"Language")</f>
        <v>Language</v>
      </c>
      <c r="F1" s="2" t="s">
        <v>0</v>
      </c>
      <c r="G1" s="2" t="s">
        <v>1</v>
      </c>
      <c r="H1" s="2" t="s">
        <v>2</v>
      </c>
      <c r="I1" s="2" t="s">
        <v>3</v>
      </c>
    </row>
    <row r="2">
      <c r="A2" s="1" t="str">
        <f>IFERROR(__xludf.DUMMYFUNCTION("""COMPUTED_VALUE"""),"*The Pale Blue Eye*")</f>
        <v>*The Pale Blue Eye*</v>
      </c>
      <c r="B2" s="1" t="str">
        <f>IFERROR(__xludf.DUMMYFUNCTION("""COMPUTED_VALUE"""),"Historical thriller drama")</f>
        <v>Historical thriller drama</v>
      </c>
      <c r="C2" s="3">
        <f>IFERROR(__xludf.DUMMYFUNCTION("""COMPUTED_VALUE"""),44932.0)</f>
        <v>44932</v>
      </c>
      <c r="D2" s="1" t="str">
        <f>IFERROR(__xludf.DUMMYFUNCTION("""COMPUTED_VALUE"""),"2 h 10 min")</f>
        <v>2 h 10 min</v>
      </c>
      <c r="E2" s="1" t="str">
        <f>IFERROR(__xludf.DUMMYFUNCTION("""COMPUTED_VALUE"""),"English")</f>
        <v>English</v>
      </c>
      <c r="F2" s="2" t="s">
        <v>4</v>
      </c>
      <c r="G2" s="4" t="str">
        <f t="shared" ref="G2:G89" si="1">LEFT(D2,1)</f>
        <v>2</v>
      </c>
      <c r="H2" s="1" t="str">
        <f t="shared" ref="H2:H118" si="2">MID(D2,5,2)</f>
        <v>10</v>
      </c>
      <c r="I2" s="1">
        <f t="shared" ref="I2:I118" si="3">G2*60+H2</f>
        <v>130</v>
      </c>
    </row>
    <row r="3">
      <c r="A3" s="1" t="str">
        <f>IFERROR(__xludf.DUMMYFUNCTION("""COMPUTED_VALUE"""),"*Noise*")</f>
        <v>*Noise*</v>
      </c>
      <c r="B3" s="1" t="str">
        <f>IFERROR(__xludf.DUMMYFUNCTION("""COMPUTED_VALUE"""),"Drama")</f>
        <v>Drama</v>
      </c>
      <c r="C3" s="3">
        <f>IFERROR(__xludf.DUMMYFUNCTION("""COMPUTED_VALUE"""),44937.0)</f>
        <v>44937</v>
      </c>
      <c r="D3" s="1" t="str">
        <f>IFERROR(__xludf.DUMMYFUNCTION("""COMPUTED_VALUE"""),"1 h 45 min")</f>
        <v>1 h 45 min</v>
      </c>
      <c r="E3" s="1" t="str">
        <f>IFERROR(__xludf.DUMMYFUNCTION("""COMPUTED_VALUE"""),"Spanish")</f>
        <v>Spanish</v>
      </c>
      <c r="F3" s="2" t="s">
        <v>4</v>
      </c>
      <c r="G3" s="4" t="str">
        <f t="shared" si="1"/>
        <v>1</v>
      </c>
      <c r="H3" s="1" t="str">
        <f t="shared" si="2"/>
        <v>45</v>
      </c>
      <c r="I3" s="1">
        <f t="shared" si="3"/>
        <v>105</v>
      </c>
    </row>
    <row r="4">
      <c r="A4" s="1" t="str">
        <f>IFERROR(__xludf.DUMMYFUNCTION("""COMPUTED_VALUE"""),"*Dog Gone*")</f>
        <v>*Dog Gone*</v>
      </c>
      <c r="B4" s="1" t="str">
        <f>IFERROR(__xludf.DUMMYFUNCTION("""COMPUTED_VALUE"""),"Family drama")</f>
        <v>Family drama</v>
      </c>
      <c r="C4" s="3">
        <f>IFERROR(__xludf.DUMMYFUNCTION("""COMPUTED_VALUE"""),44939.0)</f>
        <v>44939</v>
      </c>
      <c r="D4" s="1" t="str">
        <f>IFERROR(__xludf.DUMMYFUNCTION("""COMPUTED_VALUE"""),"1 h 35 min")</f>
        <v>1 h 35 min</v>
      </c>
      <c r="E4" s="1" t="str">
        <f>IFERROR(__xludf.DUMMYFUNCTION("""COMPUTED_VALUE"""),"English")</f>
        <v>English</v>
      </c>
      <c r="F4" s="2" t="s">
        <v>4</v>
      </c>
      <c r="G4" s="4" t="str">
        <f t="shared" si="1"/>
        <v>1</v>
      </c>
      <c r="H4" s="1" t="str">
        <f t="shared" si="2"/>
        <v>35</v>
      </c>
      <c r="I4" s="1">
        <f t="shared" si="3"/>
        <v>95</v>
      </c>
    </row>
    <row r="5">
      <c r="A5" s="1" t="str">
        <f>IFERROR(__xludf.DUMMYFUNCTION("""COMPUTED_VALUE"""),"*Disconnect: The Wedding Planner*")</f>
        <v>*Disconnect: The Wedding Planner*</v>
      </c>
      <c r="B5" s="1" t="str">
        <f>IFERROR(__xludf.DUMMYFUNCTION("""COMPUTED_VALUE"""),"Romantic comedy")</f>
        <v>Romantic comedy</v>
      </c>
      <c r="C5" s="3">
        <f>IFERROR(__xludf.DUMMYFUNCTION("""COMPUTED_VALUE"""),44939.0)</f>
        <v>44939</v>
      </c>
      <c r="D5" s="1" t="str">
        <f>IFERROR(__xludf.DUMMYFUNCTION("""COMPUTED_VALUE"""),"1 h 47 min")</f>
        <v>1 h 47 min</v>
      </c>
      <c r="E5" s="1" t="str">
        <f>IFERROR(__xludf.DUMMYFUNCTION("""COMPUTED_VALUE"""),"English")</f>
        <v>English</v>
      </c>
      <c r="F5" s="2" t="s">
        <v>4</v>
      </c>
      <c r="G5" s="4" t="str">
        <f t="shared" si="1"/>
        <v>1</v>
      </c>
      <c r="H5" s="1" t="str">
        <f t="shared" si="2"/>
        <v>47</v>
      </c>
      <c r="I5" s="1">
        <f t="shared" si="3"/>
        <v>107</v>
      </c>
    </row>
    <row r="6">
      <c r="A6" s="1" t="str">
        <f>IFERROR(__xludf.DUMMYFUNCTION("""COMPUTED_VALUE"""),"*Alkhallat+*")</f>
        <v>*Alkhallat+*</v>
      </c>
      <c r="B6" s="1" t="str">
        <f>IFERROR(__xludf.DUMMYFUNCTION("""COMPUTED_VALUE"""),"Satiricalthriller")</f>
        <v>Satiricalthriller</v>
      </c>
      <c r="C6" s="3">
        <f>IFERROR(__xludf.DUMMYFUNCTION("""COMPUTED_VALUE"""),44945.0)</f>
        <v>44945</v>
      </c>
      <c r="D6" s="1" t="str">
        <f>IFERROR(__xludf.DUMMYFUNCTION("""COMPUTED_VALUE"""),"1 h 57 min")</f>
        <v>1 h 57 min</v>
      </c>
      <c r="E6" s="1" t="str">
        <f>IFERROR(__xludf.DUMMYFUNCTION("""COMPUTED_VALUE"""),"Arabic")</f>
        <v>Arabic</v>
      </c>
      <c r="F6" s="2" t="s">
        <v>4</v>
      </c>
      <c r="G6" s="4" t="str">
        <f t="shared" si="1"/>
        <v>1</v>
      </c>
      <c r="H6" s="1" t="str">
        <f t="shared" si="2"/>
        <v>57</v>
      </c>
      <c r="I6" s="1">
        <f t="shared" si="3"/>
        <v>117</v>
      </c>
    </row>
    <row r="7">
      <c r="A7" s="1" t="str">
        <f>IFERROR(__xludf.DUMMYFUNCTION("""COMPUTED_VALUE"""),"*Jung E*")</f>
        <v>*Jung E*</v>
      </c>
      <c r="B7" s="1" t="str">
        <f>IFERROR(__xludf.DUMMYFUNCTION("""COMPUTED_VALUE"""),"Sci-fiaction / adventure")</f>
        <v>Sci-fiaction / adventure</v>
      </c>
      <c r="C7" s="3">
        <f>IFERROR(__xludf.DUMMYFUNCTION("""COMPUTED_VALUE"""),44946.0)</f>
        <v>44946</v>
      </c>
      <c r="D7" s="1" t="str">
        <f>IFERROR(__xludf.DUMMYFUNCTION("""COMPUTED_VALUE"""),"1 h 39 min")</f>
        <v>1 h 39 min</v>
      </c>
      <c r="E7" s="1" t="str">
        <f>IFERROR(__xludf.DUMMYFUNCTION("""COMPUTED_VALUE"""),"Korean")</f>
        <v>Korean</v>
      </c>
      <c r="F7" s="2" t="s">
        <v>4</v>
      </c>
      <c r="G7" s="4" t="str">
        <f t="shared" si="1"/>
        <v>1</v>
      </c>
      <c r="H7" s="1" t="str">
        <f t="shared" si="2"/>
        <v>39</v>
      </c>
      <c r="I7" s="1">
        <f t="shared" si="3"/>
        <v>99</v>
      </c>
    </row>
    <row r="8">
      <c r="A8" s="1" t="str">
        <f>IFERROR(__xludf.DUMMYFUNCTION("""COMPUTED_VALUE"""),"*Mission Majnu*")</f>
        <v>*Mission Majnu*</v>
      </c>
      <c r="B8" s="1" t="str">
        <f>IFERROR(__xludf.DUMMYFUNCTION("""COMPUTED_VALUE"""),"Spy thriller")</f>
        <v>Spy thriller</v>
      </c>
      <c r="C8" s="3">
        <f>IFERROR(__xludf.DUMMYFUNCTION("""COMPUTED_VALUE"""),44946.0)</f>
        <v>44946</v>
      </c>
      <c r="D8" s="1" t="str">
        <f>IFERROR(__xludf.DUMMYFUNCTION("""COMPUTED_VALUE"""),"2 h 9 min")</f>
        <v>2 h 9 min</v>
      </c>
      <c r="E8" s="1" t="str">
        <f>IFERROR(__xludf.DUMMYFUNCTION("""COMPUTED_VALUE"""),"Hindi")</f>
        <v>Hindi</v>
      </c>
      <c r="F8" s="2" t="s">
        <v>4</v>
      </c>
      <c r="G8" s="4" t="str">
        <f t="shared" si="1"/>
        <v>2</v>
      </c>
      <c r="H8" s="1" t="str">
        <f t="shared" si="2"/>
        <v>9 </v>
      </c>
      <c r="I8" s="1">
        <f t="shared" si="3"/>
        <v>129</v>
      </c>
    </row>
    <row r="9">
      <c r="A9" s="1" t="str">
        <f>IFERROR(__xludf.DUMMYFUNCTION("""COMPUTED_VALUE"""),"*The Price of Family*")</f>
        <v>*The Price of Family*</v>
      </c>
      <c r="B9" s="1" t="str">
        <f>IFERROR(__xludf.DUMMYFUNCTION("""COMPUTED_VALUE"""),"Comedy")</f>
        <v>Comedy</v>
      </c>
      <c r="C9" s="3">
        <f>IFERROR(__xludf.DUMMYFUNCTION("""COMPUTED_VALUE"""),44951.0)</f>
        <v>44951</v>
      </c>
      <c r="D9" s="1" t="str">
        <f>IFERROR(__xludf.DUMMYFUNCTION("""COMPUTED_VALUE"""),"1 h 30 min")</f>
        <v>1 h 30 min</v>
      </c>
      <c r="E9" s="1" t="str">
        <f>IFERROR(__xludf.DUMMYFUNCTION("""COMPUTED_VALUE"""),"Italian")</f>
        <v>Italian</v>
      </c>
      <c r="F9" s="2" t="s">
        <v>4</v>
      </c>
      <c r="G9" s="4" t="str">
        <f t="shared" si="1"/>
        <v>1</v>
      </c>
      <c r="H9" s="1" t="str">
        <f t="shared" si="2"/>
        <v>30</v>
      </c>
      <c r="I9" s="1">
        <f t="shared" si="3"/>
        <v>90</v>
      </c>
    </row>
    <row r="10">
      <c r="A10" s="1" t="str">
        <f>IFERROR(__xludf.DUMMYFUNCTION("""COMPUTED_VALUE"""),"*You People*")</f>
        <v>*You People*</v>
      </c>
      <c r="B10" s="1" t="str">
        <f>IFERROR(__xludf.DUMMYFUNCTION("""COMPUTED_VALUE"""),"Comedy")</f>
        <v>Comedy</v>
      </c>
      <c r="C10" s="3">
        <f>IFERROR(__xludf.DUMMYFUNCTION("""COMPUTED_VALUE"""),44953.0)</f>
        <v>44953</v>
      </c>
      <c r="D10" s="1" t="str">
        <f>IFERROR(__xludf.DUMMYFUNCTION("""COMPUTED_VALUE"""),"1 h 58 min")</f>
        <v>1 h 58 min</v>
      </c>
      <c r="E10" s="1" t="str">
        <f>IFERROR(__xludf.DUMMYFUNCTION("""COMPUTED_VALUE"""),"English")</f>
        <v>English</v>
      </c>
      <c r="F10" s="2" t="s">
        <v>4</v>
      </c>
      <c r="G10" s="4" t="str">
        <f t="shared" si="1"/>
        <v>1</v>
      </c>
      <c r="H10" s="1" t="str">
        <f t="shared" si="2"/>
        <v>58</v>
      </c>
      <c r="I10" s="1">
        <f t="shared" si="3"/>
        <v>118</v>
      </c>
    </row>
    <row r="11">
      <c r="A11" s="1" t="str">
        <f>IFERROR(__xludf.DUMMYFUNCTION("""COMPUTED_VALUE"""),"*True Spirit*")</f>
        <v>*True Spirit*</v>
      </c>
      <c r="B11" s="1" t="str">
        <f>IFERROR(__xludf.DUMMYFUNCTION("""COMPUTED_VALUE"""),"Biopic")</f>
        <v>Biopic</v>
      </c>
      <c r="C11" s="3">
        <f>IFERROR(__xludf.DUMMYFUNCTION("""COMPUTED_VALUE"""),44960.0)</f>
        <v>44960</v>
      </c>
      <c r="D11" s="1" t="str">
        <f>IFERROR(__xludf.DUMMYFUNCTION("""COMPUTED_VALUE"""),"1 h 49 min")</f>
        <v>1 h 49 min</v>
      </c>
      <c r="E11" s="1" t="str">
        <f>IFERROR(__xludf.DUMMYFUNCTION("""COMPUTED_VALUE"""),"English")</f>
        <v>English</v>
      </c>
      <c r="F11" s="2" t="s">
        <v>5</v>
      </c>
      <c r="G11" s="4" t="str">
        <f t="shared" si="1"/>
        <v>1</v>
      </c>
      <c r="H11" s="1" t="str">
        <f t="shared" si="2"/>
        <v>49</v>
      </c>
      <c r="I11" s="1">
        <f t="shared" si="3"/>
        <v>109</v>
      </c>
    </row>
    <row r="12">
      <c r="A12" s="1" t="str">
        <f>IFERROR(__xludf.DUMMYFUNCTION("""COMPUTED_VALUE"""),"*Infiesto*")</f>
        <v>*Infiesto*</v>
      </c>
      <c r="B12" s="1" t="str">
        <f>IFERROR(__xludf.DUMMYFUNCTION("""COMPUTED_VALUE"""),"Thriller")</f>
        <v>Thriller</v>
      </c>
      <c r="C12" s="3">
        <f>IFERROR(__xludf.DUMMYFUNCTION("""COMPUTED_VALUE"""),44960.0)</f>
        <v>44960</v>
      </c>
      <c r="D12" s="1" t="str">
        <f>IFERROR(__xludf.DUMMYFUNCTION("""COMPUTED_VALUE"""),"1 h 36 min")</f>
        <v>1 h 36 min</v>
      </c>
      <c r="E12" s="1" t="str">
        <f>IFERROR(__xludf.DUMMYFUNCTION("""COMPUTED_VALUE"""),"Spanish")</f>
        <v>Spanish</v>
      </c>
      <c r="F12" s="2" t="s">
        <v>5</v>
      </c>
      <c r="G12" s="4" t="str">
        <f t="shared" si="1"/>
        <v>1</v>
      </c>
      <c r="H12" s="1" t="str">
        <f t="shared" si="2"/>
        <v>36</v>
      </c>
      <c r="I12" s="1">
        <f t="shared" si="3"/>
        <v>96</v>
      </c>
    </row>
    <row r="13">
      <c r="A13" s="1" t="str">
        <f>IFERROR(__xludf.DUMMYFUNCTION("""COMPUTED_VALUE"""),"*Dear David*")</f>
        <v>*Dear David*</v>
      </c>
      <c r="B13" s="1" t="str">
        <f>IFERROR(__xludf.DUMMYFUNCTION("""COMPUTED_VALUE"""),"Coming-of-ageromantic drama")</f>
        <v>Coming-of-ageromantic drama</v>
      </c>
      <c r="C13" s="3">
        <f>IFERROR(__xludf.DUMMYFUNCTION("""COMPUTED_VALUE"""),44966.0)</f>
        <v>44966</v>
      </c>
      <c r="D13" s="1" t="str">
        <f>IFERROR(__xludf.DUMMYFUNCTION("""COMPUTED_VALUE"""),"1 h 58 min")</f>
        <v>1 h 58 min</v>
      </c>
      <c r="E13" s="1" t="str">
        <f>IFERROR(__xludf.DUMMYFUNCTION("""COMPUTED_VALUE"""),"Indonesian")</f>
        <v>Indonesian</v>
      </c>
      <c r="F13" s="2" t="s">
        <v>5</v>
      </c>
      <c r="G13" s="4" t="str">
        <f t="shared" si="1"/>
        <v>1</v>
      </c>
      <c r="H13" s="1" t="str">
        <f t="shared" si="2"/>
        <v>58</v>
      </c>
      <c r="I13" s="1">
        <f t="shared" si="3"/>
        <v>118</v>
      </c>
    </row>
    <row r="14">
      <c r="A14" s="1" t="str">
        <f>IFERROR(__xludf.DUMMYFUNCTION("""COMPUTED_VALUE"""),"*Your Place or Mine*")</f>
        <v>*Your Place or Mine*</v>
      </c>
      <c r="B14" s="1" t="str">
        <f>IFERROR(__xludf.DUMMYFUNCTION("""COMPUTED_VALUE"""),"Romantic comedy")</f>
        <v>Romantic comedy</v>
      </c>
      <c r="C14" s="3">
        <f>IFERROR(__xludf.DUMMYFUNCTION("""COMPUTED_VALUE"""),44967.0)</f>
        <v>44967</v>
      </c>
      <c r="D14" s="1" t="str">
        <f>IFERROR(__xludf.DUMMYFUNCTION("""COMPUTED_VALUE"""),"1 h 51 min")</f>
        <v>1 h 51 min</v>
      </c>
      <c r="E14" s="1" t="str">
        <f>IFERROR(__xludf.DUMMYFUNCTION("""COMPUTED_VALUE"""),"English")</f>
        <v>English</v>
      </c>
      <c r="F14" s="2" t="s">
        <v>5</v>
      </c>
      <c r="G14" s="4" t="str">
        <f t="shared" si="1"/>
        <v>1</v>
      </c>
      <c r="H14" s="1" t="str">
        <f t="shared" si="2"/>
        <v>51</v>
      </c>
      <c r="I14" s="1">
        <f t="shared" si="3"/>
        <v>111</v>
      </c>
    </row>
    <row r="15">
      <c r="A15" s="1" t="str">
        <f>IFERROR(__xludf.DUMMYFUNCTION("""COMPUTED_VALUE"""),"*Squared Love All Over Again*")</f>
        <v>*Squared Love All Over Again*</v>
      </c>
      <c r="B15" s="1" t="str">
        <f>IFERROR(__xludf.DUMMYFUNCTION("""COMPUTED_VALUE"""),"Romantic comedy")</f>
        <v>Romantic comedy</v>
      </c>
      <c r="C15" s="3">
        <f>IFERROR(__xludf.DUMMYFUNCTION("""COMPUTED_VALUE"""),44970.0)</f>
        <v>44970</v>
      </c>
      <c r="D15" s="1" t="str">
        <f>IFERROR(__xludf.DUMMYFUNCTION("""COMPUTED_VALUE"""),"1 h 40 min")</f>
        <v>1 h 40 min</v>
      </c>
      <c r="E15" s="1" t="str">
        <f>IFERROR(__xludf.DUMMYFUNCTION("""COMPUTED_VALUE"""),"Polish")</f>
        <v>Polish</v>
      </c>
      <c r="F15" s="2" t="s">
        <v>5</v>
      </c>
      <c r="G15" s="4" t="str">
        <f t="shared" si="1"/>
        <v>1</v>
      </c>
      <c r="H15" s="1" t="str">
        <f t="shared" si="2"/>
        <v>40</v>
      </c>
      <c r="I15" s="1">
        <f t="shared" si="3"/>
        <v>100</v>
      </c>
    </row>
    <row r="16">
      <c r="A16" s="1" t="str">
        <f>IFERROR(__xludf.DUMMYFUNCTION("""COMPUTED_VALUE"""),"*All the Places*")</f>
        <v>*All the Places*</v>
      </c>
      <c r="B16" s="1" t="str">
        <f>IFERROR(__xludf.DUMMYFUNCTION("""COMPUTED_VALUE"""),"Comedy-drama")</f>
        <v>Comedy-drama</v>
      </c>
      <c r="C16" s="3">
        <f>IFERROR(__xludf.DUMMYFUNCTION("""COMPUTED_VALUE"""),44971.0)</f>
        <v>44971</v>
      </c>
      <c r="D16" s="1" t="str">
        <f>IFERROR(__xludf.DUMMYFUNCTION("""COMPUTED_VALUE"""),"1 h 37 min")</f>
        <v>1 h 37 min</v>
      </c>
      <c r="E16" s="1" t="str">
        <f>IFERROR(__xludf.DUMMYFUNCTION("""COMPUTED_VALUE"""),"Spanish")</f>
        <v>Spanish</v>
      </c>
      <c r="F16" s="2" t="s">
        <v>5</v>
      </c>
      <c r="G16" s="4" t="str">
        <f t="shared" si="1"/>
        <v>1</v>
      </c>
      <c r="H16" s="1" t="str">
        <f t="shared" si="2"/>
        <v>37</v>
      </c>
      <c r="I16" s="1">
        <f t="shared" si="3"/>
        <v>97</v>
      </c>
    </row>
    <row r="17">
      <c r="A17" s="1" t="str">
        <f>IFERROR(__xludf.DUMMYFUNCTION("""COMPUTED_VALUE"""),"*Unlocked*")</f>
        <v>*Unlocked*</v>
      </c>
      <c r="B17" s="1" t="str">
        <f>IFERROR(__xludf.DUMMYFUNCTION("""COMPUTED_VALUE"""),"Thriller")</f>
        <v>Thriller</v>
      </c>
      <c r="C17" s="3">
        <f>IFERROR(__xludf.DUMMYFUNCTION("""COMPUTED_VALUE"""),44974.0)</f>
        <v>44974</v>
      </c>
      <c r="D17" s="1" t="str">
        <f>IFERROR(__xludf.DUMMYFUNCTION("""COMPUTED_VALUE"""),"1 h 57 min")</f>
        <v>1 h 57 min</v>
      </c>
      <c r="E17" s="1" t="str">
        <f>IFERROR(__xludf.DUMMYFUNCTION("""COMPUTED_VALUE"""),"Korean")</f>
        <v>Korean</v>
      </c>
      <c r="F17" s="2" t="s">
        <v>5</v>
      </c>
      <c r="G17" s="4" t="str">
        <f t="shared" si="1"/>
        <v>1</v>
      </c>
      <c r="H17" s="1" t="str">
        <f t="shared" si="2"/>
        <v>57</v>
      </c>
      <c r="I17" s="1">
        <f t="shared" si="3"/>
        <v>117</v>
      </c>
    </row>
    <row r="18">
      <c r="A18" s="1" t="str">
        <f>IFERROR(__xludf.DUMMYFUNCTION("""COMPUTED_VALUE"""),"*The Strays*")</f>
        <v>*The Strays*</v>
      </c>
      <c r="B18" s="1" t="str">
        <f>IFERROR(__xludf.DUMMYFUNCTION("""COMPUTED_VALUE"""),"Drama")</f>
        <v>Drama</v>
      </c>
      <c r="C18" s="3">
        <f>IFERROR(__xludf.DUMMYFUNCTION("""COMPUTED_VALUE"""),44979.0)</f>
        <v>44979</v>
      </c>
      <c r="D18" s="1" t="str">
        <f>IFERROR(__xludf.DUMMYFUNCTION("""COMPUTED_VALUE"""),"1 h 37 min")</f>
        <v>1 h 37 min</v>
      </c>
      <c r="E18" s="1" t="str">
        <f>IFERROR(__xludf.DUMMYFUNCTION("""COMPUTED_VALUE"""),"English")</f>
        <v>English</v>
      </c>
      <c r="F18" s="2" t="s">
        <v>5</v>
      </c>
      <c r="G18" s="4" t="str">
        <f t="shared" si="1"/>
        <v>1</v>
      </c>
      <c r="H18" s="1" t="str">
        <f t="shared" si="2"/>
        <v>37</v>
      </c>
      <c r="I18" s="1">
        <f t="shared" si="3"/>
        <v>97</v>
      </c>
    </row>
    <row r="19">
      <c r="A19" s="1" t="str">
        <f>IFERROR(__xludf.DUMMYFUNCTION("""COMPUTED_VALUE"""),"*Call Me Chihiro*")</f>
        <v>*Call Me Chihiro*</v>
      </c>
      <c r="B19" s="1" t="str">
        <f>IFERROR(__xludf.DUMMYFUNCTION("""COMPUTED_VALUE"""),"Drama")</f>
        <v>Drama</v>
      </c>
      <c r="C19" s="3">
        <f>IFERROR(__xludf.DUMMYFUNCTION("""COMPUTED_VALUE"""),44980.0)</f>
        <v>44980</v>
      </c>
      <c r="D19" s="1" t="str">
        <f>IFERROR(__xludf.DUMMYFUNCTION("""COMPUTED_VALUE"""),"2 h 11 min")</f>
        <v>2 h 11 min</v>
      </c>
      <c r="E19" s="1" t="str">
        <f>IFERROR(__xludf.DUMMYFUNCTION("""COMPUTED_VALUE"""),"Japanese")</f>
        <v>Japanese</v>
      </c>
      <c r="F19" s="2" t="s">
        <v>5</v>
      </c>
      <c r="G19" s="4" t="str">
        <f t="shared" si="1"/>
        <v>2</v>
      </c>
      <c r="H19" s="1" t="str">
        <f t="shared" si="2"/>
        <v>11</v>
      </c>
      <c r="I19" s="1">
        <f t="shared" si="3"/>
        <v>131</v>
      </c>
    </row>
    <row r="20">
      <c r="A20" s="1" t="str">
        <f>IFERROR(__xludf.DUMMYFUNCTION("""COMPUTED_VALUE"""),"*We Have a Ghost*")</f>
        <v>*We Have a Ghost*</v>
      </c>
      <c r="B20" s="1" t="str">
        <f>IFERROR(__xludf.DUMMYFUNCTION("""COMPUTED_VALUE"""),"Familyadventure")</f>
        <v>Familyadventure</v>
      </c>
      <c r="C20" s="3">
        <f>IFERROR(__xludf.DUMMYFUNCTION("""COMPUTED_VALUE"""),44981.0)</f>
        <v>44981</v>
      </c>
      <c r="D20" s="1" t="str">
        <f>IFERROR(__xludf.DUMMYFUNCTION("""COMPUTED_VALUE"""),"2 h 7 min")</f>
        <v>2 h 7 min</v>
      </c>
      <c r="E20" s="1" t="str">
        <f>IFERROR(__xludf.DUMMYFUNCTION("""COMPUTED_VALUE"""),"English")</f>
        <v>English</v>
      </c>
      <c r="F20" s="2" t="s">
        <v>5</v>
      </c>
      <c r="G20" s="4" t="str">
        <f t="shared" si="1"/>
        <v>2</v>
      </c>
      <c r="H20" s="1" t="str">
        <f t="shared" si="2"/>
        <v>7 </v>
      </c>
      <c r="I20" s="1">
        <f t="shared" si="3"/>
        <v>127</v>
      </c>
    </row>
    <row r="21">
      <c r="A21" s="1" t="str">
        <f>IFERROR(__xludf.DUMMYFUNCTION("""COMPUTED_VALUE"""),"*Tonight You're Sleeping with Me*")</f>
        <v>*Tonight You're Sleeping with Me*</v>
      </c>
      <c r="B21" s="1" t="str">
        <f>IFERROR(__xludf.DUMMYFUNCTION("""COMPUTED_VALUE"""),"Romantic drama")</f>
        <v>Romantic drama</v>
      </c>
      <c r="C21" s="3">
        <f>IFERROR(__xludf.DUMMYFUNCTION("""COMPUTED_VALUE"""),44986.0)</f>
        <v>44986</v>
      </c>
      <c r="D21" s="1" t="str">
        <f>IFERROR(__xludf.DUMMYFUNCTION("""COMPUTED_VALUE"""),"1 h 33 min")</f>
        <v>1 h 33 min</v>
      </c>
      <c r="E21" s="1" t="str">
        <f>IFERROR(__xludf.DUMMYFUNCTION("""COMPUTED_VALUE"""),"Polish")</f>
        <v>Polish</v>
      </c>
      <c r="F21" s="2" t="s">
        <v>6</v>
      </c>
      <c r="G21" s="4" t="str">
        <f t="shared" si="1"/>
        <v>1</v>
      </c>
      <c r="H21" s="1" t="str">
        <f t="shared" si="2"/>
        <v>33</v>
      </c>
      <c r="I21" s="1">
        <f t="shared" si="3"/>
        <v>93</v>
      </c>
    </row>
    <row r="22">
      <c r="A22" s="1" t="str">
        <f>IFERROR(__xludf.DUMMYFUNCTION("""COMPUTED_VALUE"""),"*10 Days of a Good Man*")</f>
        <v>*10 Days of a Good Man*</v>
      </c>
      <c r="B22" s="1" t="str">
        <f>IFERROR(__xludf.DUMMYFUNCTION("""COMPUTED_VALUE"""),"Drama")</f>
        <v>Drama</v>
      </c>
      <c r="C22" s="3">
        <f>IFERROR(__xludf.DUMMYFUNCTION("""COMPUTED_VALUE"""),44988.0)</f>
        <v>44988</v>
      </c>
      <c r="D22" s="1" t="str">
        <f>IFERROR(__xludf.DUMMYFUNCTION("""COMPUTED_VALUE"""),"2 h 4 min")</f>
        <v>2 h 4 min</v>
      </c>
      <c r="E22" s="1" t="str">
        <f>IFERROR(__xludf.DUMMYFUNCTION("""COMPUTED_VALUE"""),"Turkish")</f>
        <v>Turkish</v>
      </c>
      <c r="F22" s="2" t="s">
        <v>6</v>
      </c>
      <c r="G22" s="4" t="str">
        <f t="shared" si="1"/>
        <v>2</v>
      </c>
      <c r="H22" s="1" t="str">
        <f t="shared" si="2"/>
        <v>4 </v>
      </c>
      <c r="I22" s="1">
        <f t="shared" si="3"/>
        <v>124</v>
      </c>
    </row>
    <row r="23">
      <c r="A23" s="1" t="str">
        <f>IFERROR(__xludf.DUMMYFUNCTION("""COMPUTED_VALUE"""),"*Love at First Kiss*")</f>
        <v>*Love at First Kiss*</v>
      </c>
      <c r="B23" s="1" t="str">
        <f>IFERROR(__xludf.DUMMYFUNCTION("""COMPUTED_VALUE"""),"Romantic comedy")</f>
        <v>Romantic comedy</v>
      </c>
      <c r="C23" s="3">
        <f>IFERROR(__xludf.DUMMYFUNCTION("""COMPUTED_VALUE"""),44988.0)</f>
        <v>44988</v>
      </c>
      <c r="D23" s="1" t="str">
        <f>IFERROR(__xludf.DUMMYFUNCTION("""COMPUTED_VALUE"""),"1 h 36 min")</f>
        <v>1 h 36 min</v>
      </c>
      <c r="E23" s="1" t="str">
        <f>IFERROR(__xludf.DUMMYFUNCTION("""COMPUTED_VALUE"""),"Spanish")</f>
        <v>Spanish</v>
      </c>
      <c r="F23" s="2" t="s">
        <v>6</v>
      </c>
      <c r="G23" s="4" t="str">
        <f t="shared" si="1"/>
        <v>1</v>
      </c>
      <c r="H23" s="1" t="str">
        <f t="shared" si="2"/>
        <v>36</v>
      </c>
      <c r="I23" s="1">
        <f t="shared" si="3"/>
        <v>96</v>
      </c>
    </row>
    <row r="24">
      <c r="A24" s="1" t="str">
        <f>IFERROR(__xludf.DUMMYFUNCTION("""COMPUTED_VALUE"""),"*Faraway*")</f>
        <v>*Faraway*</v>
      </c>
      <c r="B24" s="1" t="str">
        <f>IFERROR(__xludf.DUMMYFUNCTION("""COMPUTED_VALUE"""),"Romantic comedy")</f>
        <v>Romantic comedy</v>
      </c>
      <c r="C24" s="3">
        <f>IFERROR(__xludf.DUMMYFUNCTION("""COMPUTED_VALUE"""),44993.0)</f>
        <v>44993</v>
      </c>
      <c r="D24" s="1" t="str">
        <f>IFERROR(__xludf.DUMMYFUNCTION("""COMPUTED_VALUE"""),"1 h 49 min")</f>
        <v>1 h 49 min</v>
      </c>
      <c r="E24" s="1" t="str">
        <f>IFERROR(__xludf.DUMMYFUNCTION("""COMPUTED_VALUE"""),"English")</f>
        <v>English</v>
      </c>
      <c r="F24" s="2" t="s">
        <v>6</v>
      </c>
      <c r="G24" s="4" t="str">
        <f t="shared" si="1"/>
        <v>1</v>
      </c>
      <c r="H24" s="1" t="str">
        <f t="shared" si="2"/>
        <v>49</v>
      </c>
      <c r="I24" s="1">
        <f t="shared" si="3"/>
        <v>109</v>
      </c>
    </row>
    <row r="25">
      <c r="A25" s="1" t="str">
        <f>IFERROR(__xludf.DUMMYFUNCTION("""COMPUTED_VALUE"""),"*Have a Nice Day!*")</f>
        <v>*Have a Nice Day!*</v>
      </c>
      <c r="B25" s="1" t="str">
        <f>IFERROR(__xludf.DUMMYFUNCTION("""COMPUTED_VALUE"""),"Comedy")</f>
        <v>Comedy</v>
      </c>
      <c r="C25" s="3">
        <f>IFERROR(__xludf.DUMMYFUNCTION("""COMPUTED_VALUE"""),44995.0)</f>
        <v>44995</v>
      </c>
      <c r="D25" s="1" t="str">
        <f>IFERROR(__xludf.DUMMYFUNCTION("""COMPUTED_VALUE"""),"1 h 33 min")</f>
        <v>1 h 33 min</v>
      </c>
      <c r="E25" s="1" t="str">
        <f>IFERROR(__xludf.DUMMYFUNCTION("""COMPUTED_VALUE"""),"Spanish")</f>
        <v>Spanish</v>
      </c>
      <c r="F25" s="2" t="s">
        <v>6</v>
      </c>
      <c r="G25" s="4" t="str">
        <f t="shared" si="1"/>
        <v>1</v>
      </c>
      <c r="H25" s="1" t="str">
        <f t="shared" si="2"/>
        <v>33</v>
      </c>
      <c r="I25" s="1">
        <f t="shared" si="3"/>
        <v>93</v>
      </c>
    </row>
    <row r="26">
      <c r="A26" s="1" t="str">
        <f>IFERROR(__xludf.DUMMYFUNCTION("""COMPUTED_VALUE"""),"*Luther: The Fallen Sun*")</f>
        <v>*Luther: The Fallen Sun*</v>
      </c>
      <c r="B26" s="1" t="str">
        <f>IFERROR(__xludf.DUMMYFUNCTION("""COMPUTED_VALUE"""),"Crime drama")</f>
        <v>Crime drama</v>
      </c>
      <c r="C26" s="3">
        <f>IFERROR(__xludf.DUMMYFUNCTION("""COMPUTED_VALUE"""),44995.0)</f>
        <v>44995</v>
      </c>
      <c r="D26" s="1" t="str">
        <f>IFERROR(__xludf.DUMMYFUNCTION("""COMPUTED_VALUE"""),"2 h 10 min")</f>
        <v>2 h 10 min</v>
      </c>
      <c r="E26" s="1" t="str">
        <f>IFERROR(__xludf.DUMMYFUNCTION("""COMPUTED_VALUE"""),"English")</f>
        <v>English</v>
      </c>
      <c r="F26" s="2" t="s">
        <v>6</v>
      </c>
      <c r="G26" s="4" t="str">
        <f t="shared" si="1"/>
        <v>2</v>
      </c>
      <c r="H26" s="1" t="str">
        <f t="shared" si="2"/>
        <v>10</v>
      </c>
      <c r="I26" s="1">
        <f t="shared" si="3"/>
        <v>130</v>
      </c>
    </row>
    <row r="27">
      <c r="A27" s="1" t="str">
        <f>IFERROR(__xludf.DUMMYFUNCTION("""COMPUTED_VALUE"""),"*In His Shadow*")</f>
        <v>*In His Shadow*</v>
      </c>
      <c r="B27" s="1" t="str">
        <f>IFERROR(__xludf.DUMMYFUNCTION("""COMPUTED_VALUE"""),"Drama")</f>
        <v>Drama</v>
      </c>
      <c r="C27" s="3">
        <f>IFERROR(__xludf.DUMMYFUNCTION("""COMPUTED_VALUE"""),45002.0)</f>
        <v>45002</v>
      </c>
      <c r="D27" s="1" t="str">
        <f>IFERROR(__xludf.DUMMYFUNCTION("""COMPUTED_VALUE"""),"1 h 29 min")</f>
        <v>1 h 29 min</v>
      </c>
      <c r="E27" s="1" t="str">
        <f>IFERROR(__xludf.DUMMYFUNCTION("""COMPUTED_VALUE"""),"French")</f>
        <v>French</v>
      </c>
      <c r="F27" s="2" t="s">
        <v>6</v>
      </c>
      <c r="G27" s="4" t="str">
        <f t="shared" si="1"/>
        <v>1</v>
      </c>
      <c r="H27" s="1" t="str">
        <f t="shared" si="2"/>
        <v>29</v>
      </c>
      <c r="I27" s="1">
        <f t="shared" si="3"/>
        <v>89</v>
      </c>
    </row>
    <row r="28">
      <c r="A28" s="1" t="str">
        <f>IFERROR(__xludf.DUMMYFUNCTION("""COMPUTED_VALUE"""),"*Noise*")</f>
        <v>*Noise*</v>
      </c>
      <c r="B28" s="1" t="str">
        <f>IFERROR(__xludf.DUMMYFUNCTION("""COMPUTED_VALUE"""),"Thriller")</f>
        <v>Thriller</v>
      </c>
      <c r="C28" s="3">
        <f>IFERROR(__xludf.DUMMYFUNCTION("""COMPUTED_VALUE"""),45002.0)</f>
        <v>45002</v>
      </c>
      <c r="D28" s="1" t="str">
        <f>IFERROR(__xludf.DUMMYFUNCTION("""COMPUTED_VALUE"""),"1 h 30 min")</f>
        <v>1 h 30 min</v>
      </c>
      <c r="E28" s="1" t="str">
        <f>IFERROR(__xludf.DUMMYFUNCTION("""COMPUTED_VALUE"""),"Dutch")</f>
        <v>Dutch</v>
      </c>
      <c r="F28" s="2" t="s">
        <v>6</v>
      </c>
      <c r="G28" s="4" t="str">
        <f t="shared" si="1"/>
        <v>1</v>
      </c>
      <c r="H28" s="1" t="str">
        <f t="shared" si="2"/>
        <v>30</v>
      </c>
      <c r="I28" s="1">
        <f t="shared" si="3"/>
        <v>90</v>
      </c>
    </row>
    <row r="29">
      <c r="A29" s="1" t="str">
        <f>IFERROR(__xludf.DUMMYFUNCTION("""COMPUTED_VALUE"""),"*The Magician's Elephant*")</f>
        <v>*The Magician's Elephant*</v>
      </c>
      <c r="B29" s="1" t="str">
        <f>IFERROR(__xludf.DUMMYFUNCTION("""COMPUTED_VALUE"""),"Animation")</f>
        <v>Animation</v>
      </c>
      <c r="C29" s="3">
        <f>IFERROR(__xludf.DUMMYFUNCTION("""COMPUTED_VALUE"""),45002.0)</f>
        <v>45002</v>
      </c>
      <c r="D29" s="1" t="str">
        <f>IFERROR(__xludf.DUMMYFUNCTION("""COMPUTED_VALUE"""),"1 h 43 min")</f>
        <v>1 h 43 min</v>
      </c>
      <c r="E29" s="1" t="str">
        <f>IFERROR(__xludf.DUMMYFUNCTION("""COMPUTED_VALUE"""),"English")</f>
        <v>English</v>
      </c>
      <c r="F29" s="2" t="s">
        <v>6</v>
      </c>
      <c r="G29" s="4" t="str">
        <f t="shared" si="1"/>
        <v>1</v>
      </c>
      <c r="H29" s="1" t="str">
        <f t="shared" si="2"/>
        <v>43</v>
      </c>
      <c r="I29" s="1">
        <f t="shared" si="3"/>
        <v>103</v>
      </c>
    </row>
    <row r="30">
      <c r="A30" s="1" t="str">
        <f>IFERROR(__xludf.DUMMYFUNCTION("""COMPUTED_VALUE"""),"*Chor Nikal Ke Bhaga*")</f>
        <v>*Chor Nikal Ke Bhaga*</v>
      </c>
      <c r="B30" s="1" t="str">
        <f>IFERROR(__xludf.DUMMYFUNCTION("""COMPUTED_VALUE"""),"Heistthriller")</f>
        <v>Heistthriller</v>
      </c>
      <c r="C30" s="3">
        <f>IFERROR(__xludf.DUMMYFUNCTION("""COMPUTED_VALUE"""),45009.0)</f>
        <v>45009</v>
      </c>
      <c r="D30" s="1" t="str">
        <f>IFERROR(__xludf.DUMMYFUNCTION("""COMPUTED_VALUE"""),"1 h 50 min")</f>
        <v>1 h 50 min</v>
      </c>
      <c r="E30" s="1" t="str">
        <f>IFERROR(__xludf.DUMMYFUNCTION("""COMPUTED_VALUE"""),"Hindi")</f>
        <v>Hindi</v>
      </c>
      <c r="F30" s="2" t="s">
        <v>6</v>
      </c>
      <c r="G30" s="4" t="str">
        <f t="shared" si="1"/>
        <v>1</v>
      </c>
      <c r="H30" s="1" t="str">
        <f t="shared" si="2"/>
        <v>50</v>
      </c>
      <c r="I30" s="1">
        <f t="shared" si="3"/>
        <v>110</v>
      </c>
    </row>
    <row r="31">
      <c r="A31" s="1" t="str">
        <f>IFERROR(__xludf.DUMMYFUNCTION("""COMPUTED_VALUE"""),"*Kill Boksoon*")</f>
        <v>*Kill Boksoon*</v>
      </c>
      <c r="B31" s="1" t="str">
        <f>IFERROR(__xludf.DUMMYFUNCTION("""COMPUTED_VALUE"""),"Crime thriller")</f>
        <v>Crime thriller</v>
      </c>
      <c r="C31" s="3">
        <f>IFERROR(__xludf.DUMMYFUNCTION("""COMPUTED_VALUE"""),45016.0)</f>
        <v>45016</v>
      </c>
      <c r="D31" s="1" t="str">
        <f>IFERROR(__xludf.DUMMYFUNCTION("""COMPUTED_VALUE"""),"2 h 19 min")</f>
        <v>2 h 19 min</v>
      </c>
      <c r="E31" s="1" t="str">
        <f>IFERROR(__xludf.DUMMYFUNCTION("""COMPUTED_VALUE"""),"Korean")</f>
        <v>Korean</v>
      </c>
      <c r="F31" s="2" t="s">
        <v>6</v>
      </c>
      <c r="G31" s="4" t="str">
        <f t="shared" si="1"/>
        <v>2</v>
      </c>
      <c r="H31" s="1" t="str">
        <f t="shared" si="2"/>
        <v>19</v>
      </c>
      <c r="I31" s="1">
        <f t="shared" si="3"/>
        <v>139</v>
      </c>
    </row>
    <row r="32">
      <c r="A32" s="1" t="str">
        <f>IFERROR(__xludf.DUMMYFUNCTION("""COMPUTED_VALUE"""),"*Murder Mystery 2*")</f>
        <v>*Murder Mystery 2*</v>
      </c>
      <c r="B32" s="1" t="str">
        <f>IFERROR(__xludf.DUMMYFUNCTION("""COMPUTED_VALUE"""),"Mystery comedy")</f>
        <v>Mystery comedy</v>
      </c>
      <c r="C32" s="3">
        <f>IFERROR(__xludf.DUMMYFUNCTION("""COMPUTED_VALUE"""),45016.0)</f>
        <v>45016</v>
      </c>
      <c r="D32" s="1" t="str">
        <f>IFERROR(__xludf.DUMMYFUNCTION("""COMPUTED_VALUE"""),"1 h 30 min")</f>
        <v>1 h 30 min</v>
      </c>
      <c r="E32" s="1" t="str">
        <f>IFERROR(__xludf.DUMMYFUNCTION("""COMPUTED_VALUE"""),"English")</f>
        <v>English</v>
      </c>
      <c r="F32" s="2" t="s">
        <v>6</v>
      </c>
      <c r="G32" s="4" t="str">
        <f t="shared" si="1"/>
        <v>1</v>
      </c>
      <c r="H32" s="1" t="str">
        <f t="shared" si="2"/>
        <v>30</v>
      </c>
      <c r="I32" s="1">
        <f t="shared" si="3"/>
        <v>90</v>
      </c>
    </row>
    <row r="33">
      <c r="A33" s="1" t="str">
        <f>IFERROR(__xludf.DUMMYFUNCTION("""COMPUTED_VALUE"""),"*Chupa*")</f>
        <v>*Chupa*</v>
      </c>
      <c r="B33" s="1" t="str">
        <f>IFERROR(__xludf.DUMMYFUNCTION("""COMPUTED_VALUE"""),"Fantasyadventure")</f>
        <v>Fantasyadventure</v>
      </c>
      <c r="C33" s="3">
        <f>IFERROR(__xludf.DUMMYFUNCTION("""COMPUTED_VALUE"""),45023.0)</f>
        <v>45023</v>
      </c>
      <c r="D33" s="1" t="str">
        <f>IFERROR(__xludf.DUMMYFUNCTION("""COMPUTED_VALUE"""),"1 h 38 min")</f>
        <v>1 h 38 min</v>
      </c>
      <c r="E33" s="1" t="str">
        <f>IFERROR(__xludf.DUMMYFUNCTION("""COMPUTED_VALUE"""),"English")</f>
        <v>English</v>
      </c>
      <c r="F33" s="2" t="s">
        <v>7</v>
      </c>
      <c r="G33" s="4" t="str">
        <f t="shared" si="1"/>
        <v>1</v>
      </c>
      <c r="H33" s="1" t="str">
        <f t="shared" si="2"/>
        <v>38</v>
      </c>
      <c r="I33" s="1">
        <f t="shared" si="3"/>
        <v>98</v>
      </c>
    </row>
    <row r="34">
      <c r="A34" s="1" t="str">
        <f>IFERROR(__xludf.DUMMYFUNCTION("""COMPUTED_VALUE"""),"*Kings of Mulberry Street: Let Love Reign*")</f>
        <v>*Kings of Mulberry Street: Let Love Reign*</v>
      </c>
      <c r="B34" s="1" t="str">
        <f>IFERROR(__xludf.DUMMYFUNCTION("""COMPUTED_VALUE"""),"Comedy")</f>
        <v>Comedy</v>
      </c>
      <c r="C34" s="3">
        <f>IFERROR(__xludf.DUMMYFUNCTION("""COMPUTED_VALUE"""),45023.0)</f>
        <v>45023</v>
      </c>
      <c r="D34" s="1" t="str">
        <f>IFERROR(__xludf.DUMMYFUNCTION("""COMPUTED_VALUE"""),"1 h 49 min")</f>
        <v>1 h 49 min</v>
      </c>
      <c r="E34" s="1" t="str">
        <f>IFERROR(__xludf.DUMMYFUNCTION("""COMPUTED_VALUE"""),"English")</f>
        <v>English</v>
      </c>
      <c r="F34" s="2" t="s">
        <v>7</v>
      </c>
      <c r="G34" s="4" t="str">
        <f t="shared" si="1"/>
        <v>1</v>
      </c>
      <c r="H34" s="1" t="str">
        <f t="shared" si="2"/>
        <v>49</v>
      </c>
      <c r="I34" s="1">
        <f t="shared" si="3"/>
        <v>109</v>
      </c>
    </row>
    <row r="35">
      <c r="A35" s="1" t="str">
        <f>IFERROR(__xludf.DUMMYFUNCTION("""COMPUTED_VALUE"""),"*Oh Belinda*")</f>
        <v>*Oh Belinda*</v>
      </c>
      <c r="B35" s="1" t="str">
        <f>IFERROR(__xludf.DUMMYFUNCTION("""COMPUTED_VALUE"""),"Drama")</f>
        <v>Drama</v>
      </c>
      <c r="C35" s="3">
        <f>IFERROR(__xludf.DUMMYFUNCTION("""COMPUTED_VALUE"""),45023.0)</f>
        <v>45023</v>
      </c>
      <c r="D35" s="1" t="str">
        <f>IFERROR(__xludf.DUMMYFUNCTION("""COMPUTED_VALUE"""),"1 h 37 min")</f>
        <v>1 h 37 min</v>
      </c>
      <c r="E35" s="1" t="str">
        <f>IFERROR(__xludf.DUMMYFUNCTION("""COMPUTED_VALUE"""),"Turkish")</f>
        <v>Turkish</v>
      </c>
      <c r="F35" s="2" t="s">
        <v>7</v>
      </c>
      <c r="G35" s="4" t="str">
        <f t="shared" si="1"/>
        <v>1</v>
      </c>
      <c r="H35" s="1" t="str">
        <f t="shared" si="2"/>
        <v>37</v>
      </c>
      <c r="I35" s="1">
        <f t="shared" si="3"/>
        <v>97</v>
      </c>
    </row>
    <row r="36">
      <c r="A36" s="1" t="str">
        <f>IFERROR(__xludf.DUMMYFUNCTION("""COMPUTED_VALUE"""),"*Hunger*")</f>
        <v>*Hunger*</v>
      </c>
      <c r="B36" s="1" t="str">
        <f>IFERROR(__xludf.DUMMYFUNCTION("""COMPUTED_VALUE"""),"Thriller drama")</f>
        <v>Thriller drama</v>
      </c>
      <c r="C36" s="3">
        <f>IFERROR(__xludf.DUMMYFUNCTION("""COMPUTED_VALUE"""),45024.0)</f>
        <v>45024</v>
      </c>
      <c r="D36" s="1" t="str">
        <f>IFERROR(__xludf.DUMMYFUNCTION("""COMPUTED_VALUE"""),"2 h 10 min")</f>
        <v>2 h 10 min</v>
      </c>
      <c r="E36" s="1" t="str">
        <f>IFERROR(__xludf.DUMMYFUNCTION("""COMPUTED_VALUE"""),"Thai")</f>
        <v>Thai</v>
      </c>
      <c r="F36" s="2" t="s">
        <v>7</v>
      </c>
      <c r="G36" s="4" t="str">
        <f t="shared" si="1"/>
        <v>2</v>
      </c>
      <c r="H36" s="1" t="str">
        <f t="shared" si="2"/>
        <v>10</v>
      </c>
      <c r="I36" s="1">
        <f t="shared" si="3"/>
        <v>130</v>
      </c>
    </row>
    <row r="37">
      <c r="A37" s="1" t="str">
        <f>IFERROR(__xludf.DUMMYFUNCTION("""COMPUTED_VALUE"""),"*Queens on the Run*")</f>
        <v>*Queens on the Run*</v>
      </c>
      <c r="B37" s="1" t="str">
        <f>IFERROR(__xludf.DUMMYFUNCTION("""COMPUTED_VALUE"""),"Comedy")</f>
        <v>Comedy</v>
      </c>
      <c r="C37" s="3">
        <f>IFERROR(__xludf.DUMMYFUNCTION("""COMPUTED_VALUE"""),45030.0)</f>
        <v>45030</v>
      </c>
      <c r="D37" s="1" t="str">
        <f>IFERROR(__xludf.DUMMYFUNCTION("""COMPUTED_VALUE"""),"1 h 37 min")</f>
        <v>1 h 37 min</v>
      </c>
      <c r="E37" s="1" t="str">
        <f>IFERROR(__xludf.DUMMYFUNCTION("""COMPUTED_VALUE"""),"Spanish")</f>
        <v>Spanish</v>
      </c>
      <c r="F37" s="2" t="s">
        <v>7</v>
      </c>
      <c r="G37" s="4" t="str">
        <f t="shared" si="1"/>
        <v>1</v>
      </c>
      <c r="H37" s="1" t="str">
        <f t="shared" si="2"/>
        <v>37</v>
      </c>
      <c r="I37" s="1">
        <f t="shared" si="3"/>
        <v>97</v>
      </c>
    </row>
    <row r="38">
      <c r="A38" s="1" t="str">
        <f>IFERROR(__xludf.DUMMYFUNCTION("""COMPUTED_VALUE"""),"*Phenomena*")</f>
        <v>*Phenomena*</v>
      </c>
      <c r="B38" s="1" t="str">
        <f>IFERROR(__xludf.DUMMYFUNCTION("""COMPUTED_VALUE"""),"Comedy")</f>
        <v>Comedy</v>
      </c>
      <c r="C38" s="3">
        <f>IFERROR(__xludf.DUMMYFUNCTION("""COMPUTED_VALUE"""),45030.0)</f>
        <v>45030</v>
      </c>
      <c r="D38" s="1" t="str">
        <f>IFERROR(__xludf.DUMMYFUNCTION("""COMPUTED_VALUE"""),"1 h 34 min")</f>
        <v>1 h 34 min</v>
      </c>
      <c r="E38" s="1" t="str">
        <f>IFERROR(__xludf.DUMMYFUNCTION("""COMPUTED_VALUE"""),"Spanish")</f>
        <v>Spanish</v>
      </c>
      <c r="F38" s="2" t="s">
        <v>7</v>
      </c>
      <c r="G38" s="4" t="str">
        <f t="shared" si="1"/>
        <v>1</v>
      </c>
      <c r="H38" s="1" t="str">
        <f t="shared" si="2"/>
        <v>34</v>
      </c>
      <c r="I38" s="1">
        <f t="shared" si="3"/>
        <v>94</v>
      </c>
    </row>
    <row r="39">
      <c r="A39" s="1" t="str">
        <f>IFERROR(__xludf.DUMMYFUNCTION("""COMPUTED_VALUE"""),"*A Tourist's Guide to Love*")</f>
        <v>*A Tourist's Guide to Love*</v>
      </c>
      <c r="B39" s="1" t="str">
        <f>IFERROR(__xludf.DUMMYFUNCTION("""COMPUTED_VALUE"""),"Romantic comedy")</f>
        <v>Romantic comedy</v>
      </c>
      <c r="C39" s="3">
        <f>IFERROR(__xludf.DUMMYFUNCTION("""COMPUTED_VALUE"""),45037.0)</f>
        <v>45037</v>
      </c>
      <c r="D39" s="1" t="str">
        <f>IFERROR(__xludf.DUMMYFUNCTION("""COMPUTED_VALUE"""),"1 h 36 min")</f>
        <v>1 h 36 min</v>
      </c>
      <c r="E39" s="1" t="str">
        <f>IFERROR(__xludf.DUMMYFUNCTION("""COMPUTED_VALUE"""),"English")</f>
        <v>English</v>
      </c>
      <c r="F39" s="2" t="s">
        <v>7</v>
      </c>
      <c r="G39" s="4" t="str">
        <f t="shared" si="1"/>
        <v>1</v>
      </c>
      <c r="H39" s="1" t="str">
        <f t="shared" si="2"/>
        <v>36</v>
      </c>
      <c r="I39" s="1">
        <f t="shared" si="3"/>
        <v>96</v>
      </c>
    </row>
    <row r="40">
      <c r="A40" s="1" t="str">
        <f>IFERROR(__xludf.DUMMYFUNCTION("""COMPUTED_VALUE"""),"*Chokehold*")</f>
        <v>*Chokehold*</v>
      </c>
      <c r="B40" s="1" t="str">
        <f>IFERROR(__xludf.DUMMYFUNCTION("""COMPUTED_VALUE"""),"Thriller")</f>
        <v>Thriller</v>
      </c>
      <c r="C40" s="3">
        <f>IFERROR(__xludf.DUMMYFUNCTION("""COMPUTED_VALUE"""),45037.0)</f>
        <v>45037</v>
      </c>
      <c r="D40" s="1" t="str">
        <f>IFERROR(__xludf.DUMMYFUNCTION("""COMPUTED_VALUE"""),"1 h 52 min")</f>
        <v>1 h 52 min</v>
      </c>
      <c r="E40" s="1" t="str">
        <f>IFERROR(__xludf.DUMMYFUNCTION("""COMPUTED_VALUE"""),"Turkish")</f>
        <v>Turkish</v>
      </c>
      <c r="F40" s="2" t="s">
        <v>7</v>
      </c>
      <c r="G40" s="4" t="str">
        <f t="shared" si="1"/>
        <v>1</v>
      </c>
      <c r="H40" s="1" t="str">
        <f t="shared" si="2"/>
        <v>52</v>
      </c>
      <c r="I40" s="1">
        <f t="shared" si="3"/>
        <v>112</v>
      </c>
    </row>
    <row r="41">
      <c r="A41" s="1" t="str">
        <f>IFERROR(__xludf.DUMMYFUNCTION("""COMPUTED_VALUE"""),"*One More Time*")</f>
        <v>*One More Time*</v>
      </c>
      <c r="B41" s="1" t="str">
        <f>IFERROR(__xludf.DUMMYFUNCTION("""COMPUTED_VALUE"""),"Comedy")</f>
        <v>Comedy</v>
      </c>
      <c r="C41" s="3">
        <f>IFERROR(__xludf.DUMMYFUNCTION("""COMPUTED_VALUE"""),45037.0)</f>
        <v>45037</v>
      </c>
      <c r="D41" s="1" t="str">
        <f>IFERROR(__xludf.DUMMYFUNCTION("""COMPUTED_VALUE"""),"1 h 25 min")</f>
        <v>1 h 25 min</v>
      </c>
      <c r="E41" s="1" t="str">
        <f>IFERROR(__xludf.DUMMYFUNCTION("""COMPUTED_VALUE"""),"Swedish")</f>
        <v>Swedish</v>
      </c>
      <c r="F41" s="2" t="s">
        <v>7</v>
      </c>
      <c r="G41" s="4" t="str">
        <f t="shared" si="1"/>
        <v>1</v>
      </c>
      <c r="H41" s="1" t="str">
        <f t="shared" si="2"/>
        <v>25</v>
      </c>
      <c r="I41" s="1">
        <f t="shared" si="3"/>
        <v>85</v>
      </c>
    </row>
    <row r="42">
      <c r="A42" s="1" t="str">
        <f>IFERROR(__xludf.DUMMYFUNCTION("""COMPUTED_VALUE"""),"*Kiss, Kiss!*")</f>
        <v>*Kiss, Kiss!*</v>
      </c>
      <c r="B42" s="1" t="str">
        <f>IFERROR(__xludf.DUMMYFUNCTION("""COMPUTED_VALUE"""),"Romantic comedy")</f>
        <v>Romantic comedy</v>
      </c>
      <c r="C42" s="3">
        <f>IFERROR(__xludf.DUMMYFUNCTION("""COMPUTED_VALUE"""),45042.0)</f>
        <v>45042</v>
      </c>
      <c r="D42" s="1" t="str">
        <f>IFERROR(__xludf.DUMMYFUNCTION("""COMPUTED_VALUE"""),"1 h 47 min")</f>
        <v>1 h 47 min</v>
      </c>
      <c r="E42" s="1" t="str">
        <f>IFERROR(__xludf.DUMMYFUNCTION("""COMPUTED_VALUE"""),"Polish")</f>
        <v>Polish</v>
      </c>
      <c r="F42" s="2" t="s">
        <v>7</v>
      </c>
      <c r="G42" s="4" t="str">
        <f t="shared" si="1"/>
        <v>1</v>
      </c>
      <c r="H42" s="1" t="str">
        <f t="shared" si="2"/>
        <v>47</v>
      </c>
      <c r="I42" s="1">
        <f t="shared" si="3"/>
        <v>107</v>
      </c>
    </row>
    <row r="43">
      <c r="A43" s="1" t="str">
        <f>IFERROR(__xludf.DUMMYFUNCTION("""COMPUTED_VALUE"""),"*The Matchmaker*")</f>
        <v>*The Matchmaker*</v>
      </c>
      <c r="B43" s="1" t="str">
        <f>IFERROR(__xludf.DUMMYFUNCTION("""COMPUTED_VALUE"""),"Psychological thriller")</f>
        <v>Psychological thriller</v>
      </c>
      <c r="C43" s="3">
        <f>IFERROR(__xludf.DUMMYFUNCTION("""COMPUTED_VALUE"""),45043.0)</f>
        <v>45043</v>
      </c>
      <c r="D43" s="1" t="str">
        <f>IFERROR(__xludf.DUMMYFUNCTION("""COMPUTED_VALUE"""),"1 h 21 min")</f>
        <v>1 h 21 min</v>
      </c>
      <c r="E43" s="1" t="str">
        <f>IFERROR(__xludf.DUMMYFUNCTION("""COMPUTED_VALUE"""),"Arabic")</f>
        <v>Arabic</v>
      </c>
      <c r="F43" s="2" t="s">
        <v>7</v>
      </c>
      <c r="G43" s="4" t="str">
        <f t="shared" si="1"/>
        <v>1</v>
      </c>
      <c r="H43" s="1" t="str">
        <f t="shared" si="2"/>
        <v>21</v>
      </c>
      <c r="I43" s="1">
        <f t="shared" si="3"/>
        <v>81</v>
      </c>
    </row>
    <row r="44">
      <c r="A44" s="1" t="str">
        <f>IFERROR(__xludf.DUMMYFUNCTION("""COMPUTED_VALUE"""),"*AKA*")</f>
        <v>*AKA*</v>
      </c>
      <c r="B44" s="1" t="str">
        <f>IFERROR(__xludf.DUMMYFUNCTION("""COMPUTED_VALUE"""),"Action thriller")</f>
        <v>Action thriller</v>
      </c>
      <c r="C44" s="3">
        <f>IFERROR(__xludf.DUMMYFUNCTION("""COMPUTED_VALUE"""),45044.0)</f>
        <v>45044</v>
      </c>
      <c r="D44" s="1" t="str">
        <f>IFERROR(__xludf.DUMMYFUNCTION("""COMPUTED_VALUE"""),"2 h 4 min")</f>
        <v>2 h 4 min</v>
      </c>
      <c r="E44" s="1" t="str">
        <f>IFERROR(__xludf.DUMMYFUNCTION("""COMPUTED_VALUE"""),"French")</f>
        <v>French</v>
      </c>
      <c r="F44" s="2" t="s">
        <v>7</v>
      </c>
      <c r="G44" s="4" t="str">
        <f t="shared" si="1"/>
        <v>2</v>
      </c>
      <c r="H44" s="1" t="str">
        <f t="shared" si="2"/>
        <v>4 </v>
      </c>
      <c r="I44" s="1">
        <f t="shared" si="3"/>
        <v>124</v>
      </c>
    </row>
    <row r="45">
      <c r="A45" s="1" t="str">
        <f>IFERROR(__xludf.DUMMYFUNCTION("""COMPUTED_VALUE"""),"*Royalteen: Princess Margrethe*")</f>
        <v>*Royalteen: Princess Margrethe*</v>
      </c>
      <c r="B45" s="1" t="str">
        <f>IFERROR(__xludf.DUMMYFUNCTION("""COMPUTED_VALUE"""),"Coming-of-age")</f>
        <v>Coming-of-age</v>
      </c>
      <c r="C45" s="3">
        <f>IFERROR(__xludf.DUMMYFUNCTION("""COMPUTED_VALUE"""),45057.0)</f>
        <v>45057</v>
      </c>
      <c r="D45" s="1" t="str">
        <f>IFERROR(__xludf.DUMMYFUNCTION("""COMPUTED_VALUE"""),"1 h 38 min")</f>
        <v>1 h 38 min</v>
      </c>
      <c r="E45" s="1" t="str">
        <f>IFERROR(__xludf.DUMMYFUNCTION("""COMPUTED_VALUE"""),"Norwegian")</f>
        <v>Norwegian</v>
      </c>
      <c r="F45" s="2" t="s">
        <v>8</v>
      </c>
      <c r="G45" s="4" t="str">
        <f t="shared" si="1"/>
        <v>1</v>
      </c>
      <c r="H45" s="1" t="str">
        <f t="shared" si="2"/>
        <v>38</v>
      </c>
      <c r="I45" s="1">
        <f t="shared" si="3"/>
        <v>98</v>
      </c>
    </row>
    <row r="46">
      <c r="A46" s="1" t="str">
        <f>IFERROR(__xludf.DUMMYFUNCTION("""COMPUTED_VALUE"""),"*The Mother*")</f>
        <v>*The Mother*</v>
      </c>
      <c r="B46" s="1" t="str">
        <f>IFERROR(__xludf.DUMMYFUNCTION("""COMPUTED_VALUE"""),"Action drama")</f>
        <v>Action drama</v>
      </c>
      <c r="C46" s="3">
        <f>IFERROR(__xludf.DUMMYFUNCTION("""COMPUTED_VALUE"""),45058.0)</f>
        <v>45058</v>
      </c>
      <c r="D46" s="1" t="str">
        <f>IFERROR(__xludf.DUMMYFUNCTION("""COMPUTED_VALUE"""),"1 h 57 min")</f>
        <v>1 h 57 min</v>
      </c>
      <c r="E46" s="1" t="str">
        <f>IFERROR(__xludf.DUMMYFUNCTION("""COMPUTED_VALUE"""),"English")</f>
        <v>English</v>
      </c>
      <c r="F46" s="2" t="s">
        <v>8</v>
      </c>
      <c r="G46" s="4" t="str">
        <f t="shared" si="1"/>
        <v>1</v>
      </c>
      <c r="H46" s="1" t="str">
        <f t="shared" si="2"/>
        <v>57</v>
      </c>
      <c r="I46" s="1">
        <f t="shared" si="3"/>
        <v>117</v>
      </c>
    </row>
    <row r="47">
      <c r="A47" s="1" t="str">
        <f>IFERROR(__xludf.DUMMYFUNCTION("""COMPUTED_VALUE"""),"*Fanfic*")</f>
        <v>*Fanfic*</v>
      </c>
      <c r="B47" s="1" t="str">
        <f>IFERROR(__xludf.DUMMYFUNCTION("""COMPUTED_VALUE"""),"Drama")</f>
        <v>Drama</v>
      </c>
      <c r="C47" s="3">
        <f>IFERROR(__xludf.DUMMYFUNCTION("""COMPUTED_VALUE"""),45063.0)</f>
        <v>45063</v>
      </c>
      <c r="D47" s="1" t="str">
        <f>IFERROR(__xludf.DUMMYFUNCTION("""COMPUTED_VALUE"""),"1 h 35 min")</f>
        <v>1 h 35 min</v>
      </c>
      <c r="E47" s="1" t="str">
        <f>IFERROR(__xludf.DUMMYFUNCTION("""COMPUTED_VALUE"""),"Polish")</f>
        <v>Polish</v>
      </c>
      <c r="F47" s="2" t="s">
        <v>8</v>
      </c>
      <c r="G47" s="4" t="str">
        <f t="shared" si="1"/>
        <v>1</v>
      </c>
      <c r="H47" s="1" t="str">
        <f t="shared" si="2"/>
        <v>35</v>
      </c>
      <c r="I47" s="1">
        <f t="shared" si="3"/>
        <v>95</v>
      </c>
    </row>
    <row r="48">
      <c r="A48" s="1" t="str">
        <f>IFERROR(__xludf.DUMMYFUNCTION("""COMPUTED_VALUE"""),"*Kathal – A Jackfruit Mystery*")</f>
        <v>*Kathal – A Jackfruit Mystery*</v>
      </c>
      <c r="B48" s="1" t="str">
        <f>IFERROR(__xludf.DUMMYFUNCTION("""COMPUTED_VALUE"""),"Darkcrimedramedy")</f>
        <v>Darkcrimedramedy</v>
      </c>
      <c r="C48" s="3">
        <f>IFERROR(__xludf.DUMMYFUNCTION("""COMPUTED_VALUE"""),45065.0)</f>
        <v>45065</v>
      </c>
      <c r="D48" s="1" t="str">
        <f>IFERROR(__xludf.DUMMYFUNCTION("""COMPUTED_VALUE"""),"1 h 55 min")</f>
        <v>1 h 55 min</v>
      </c>
      <c r="E48" s="1" t="str">
        <f>IFERROR(__xludf.DUMMYFUNCTION("""COMPUTED_VALUE"""),"Hindi")</f>
        <v>Hindi</v>
      </c>
      <c r="F48" s="2" t="s">
        <v>8</v>
      </c>
      <c r="G48" s="4" t="str">
        <f t="shared" si="1"/>
        <v>1</v>
      </c>
      <c r="H48" s="1" t="str">
        <f t="shared" si="2"/>
        <v>55</v>
      </c>
      <c r="I48" s="1">
        <f t="shared" si="3"/>
        <v>115</v>
      </c>
    </row>
    <row r="49">
      <c r="A49" s="1" t="str">
        <f>IFERROR(__xludf.DUMMYFUNCTION("""COMPUTED_VALUE"""),"*Hard Feelings*")</f>
        <v>*Hard Feelings*</v>
      </c>
      <c r="B49" s="1" t="str">
        <f>IFERROR(__xludf.DUMMYFUNCTION("""COMPUTED_VALUE"""),"Comedy")</f>
        <v>Comedy</v>
      </c>
      <c r="C49" s="3">
        <f>IFERROR(__xludf.DUMMYFUNCTION("""COMPUTED_VALUE"""),45070.0)</f>
        <v>45070</v>
      </c>
      <c r="D49" s="1" t="str">
        <f>IFERROR(__xludf.DUMMYFUNCTION("""COMPUTED_VALUE"""),"1 h 43 min")</f>
        <v>1 h 43 min</v>
      </c>
      <c r="E49" s="1" t="str">
        <f>IFERROR(__xludf.DUMMYFUNCTION("""COMPUTED_VALUE"""),"German")</f>
        <v>German</v>
      </c>
      <c r="F49" s="2" t="s">
        <v>8</v>
      </c>
      <c r="G49" s="4" t="str">
        <f t="shared" si="1"/>
        <v>1</v>
      </c>
      <c r="H49" s="1" t="str">
        <f t="shared" si="2"/>
        <v>43</v>
      </c>
      <c r="I49" s="1">
        <f t="shared" si="3"/>
        <v>103</v>
      </c>
    </row>
    <row r="50">
      <c r="A50" s="1" t="str">
        <f>IFERROR(__xludf.DUMMYFUNCTION("""COMPUTED_VALUE"""),"*Mother's Day*")</f>
        <v>*Mother's Day*</v>
      </c>
      <c r="B50" s="1" t="str">
        <f>IFERROR(__xludf.DUMMYFUNCTION("""COMPUTED_VALUE"""),"Action")</f>
        <v>Action</v>
      </c>
      <c r="C50" s="3">
        <f>IFERROR(__xludf.DUMMYFUNCTION("""COMPUTED_VALUE"""),45070.0)</f>
        <v>45070</v>
      </c>
      <c r="D50" s="1" t="str">
        <f>IFERROR(__xludf.DUMMYFUNCTION("""COMPUTED_VALUE"""),"1 h 34 min")</f>
        <v>1 h 34 min</v>
      </c>
      <c r="E50" s="1" t="str">
        <f>IFERROR(__xludf.DUMMYFUNCTION("""COMPUTED_VALUE"""),"Polish")</f>
        <v>Polish</v>
      </c>
      <c r="F50" s="2" t="s">
        <v>8</v>
      </c>
      <c r="G50" s="4" t="str">
        <f t="shared" si="1"/>
        <v>1</v>
      </c>
      <c r="H50" s="1" t="str">
        <f t="shared" si="2"/>
        <v>34</v>
      </c>
      <c r="I50" s="1">
        <f t="shared" si="3"/>
        <v>94</v>
      </c>
    </row>
    <row r="51">
      <c r="A51" s="1" t="str">
        <f>IFERROR(__xludf.DUMMYFUNCTION("""COMPUTED_VALUE"""),"*Blood and Gold*")</f>
        <v>*Blood and Gold*</v>
      </c>
      <c r="B51" s="1" t="str">
        <f>IFERROR(__xludf.DUMMYFUNCTION("""COMPUTED_VALUE"""),"Western")</f>
        <v>Western</v>
      </c>
      <c r="C51" s="3">
        <f>IFERROR(__xludf.DUMMYFUNCTION("""COMPUTED_VALUE"""),45072.0)</f>
        <v>45072</v>
      </c>
      <c r="D51" s="1" t="str">
        <f>IFERROR(__xludf.DUMMYFUNCTION("""COMPUTED_VALUE"""),"1 h 40 min")</f>
        <v>1 h 40 min</v>
      </c>
      <c r="E51" s="1" t="str">
        <f>IFERROR(__xludf.DUMMYFUNCTION("""COMPUTED_VALUE"""),"German")</f>
        <v>German</v>
      </c>
      <c r="F51" s="2" t="s">
        <v>8</v>
      </c>
      <c r="G51" s="4" t="str">
        <f t="shared" si="1"/>
        <v>1</v>
      </c>
      <c r="H51" s="1" t="str">
        <f t="shared" si="2"/>
        <v>40</v>
      </c>
      <c r="I51" s="1">
        <f t="shared" si="3"/>
        <v>100</v>
      </c>
    </row>
    <row r="52">
      <c r="A52" s="1" t="str">
        <f>IFERROR(__xludf.DUMMYFUNCTION("""COMPUTED_VALUE"""),"*Where the Tracks End*")</f>
        <v>*Where the Tracks End*</v>
      </c>
      <c r="B52" s="1" t="str">
        <f>IFERROR(__xludf.DUMMYFUNCTION("""COMPUTED_VALUE"""),"Family film")</f>
        <v>Family film</v>
      </c>
      <c r="C52" s="3">
        <f>IFERROR(__xludf.DUMMYFUNCTION("""COMPUTED_VALUE"""),45072.0)</f>
        <v>45072</v>
      </c>
      <c r="D52" s="1" t="str">
        <f>IFERROR(__xludf.DUMMYFUNCTION("""COMPUTED_VALUE"""),"1 h 35 min")</f>
        <v>1 h 35 min</v>
      </c>
      <c r="E52" s="1" t="str">
        <f>IFERROR(__xludf.DUMMYFUNCTION("""COMPUTED_VALUE"""),"Spanish")</f>
        <v>Spanish</v>
      </c>
      <c r="F52" s="2" t="s">
        <v>8</v>
      </c>
      <c r="G52" s="4" t="str">
        <f t="shared" si="1"/>
        <v>1</v>
      </c>
      <c r="H52" s="1" t="str">
        <f t="shared" si="2"/>
        <v>35</v>
      </c>
      <c r="I52" s="1">
        <f t="shared" si="3"/>
        <v>95</v>
      </c>
    </row>
    <row r="53">
      <c r="A53" s="1" t="str">
        <f>IFERROR(__xludf.DUMMYFUNCTION("""COMPUTED_VALUE"""),"*A Beautiful Life*")</f>
        <v>*A Beautiful Life*</v>
      </c>
      <c r="B53" s="1" t="str">
        <f>IFERROR(__xludf.DUMMYFUNCTION("""COMPUTED_VALUE"""),"Drama")</f>
        <v>Drama</v>
      </c>
      <c r="C53" s="3">
        <f>IFERROR(__xludf.DUMMYFUNCTION("""COMPUTED_VALUE"""),45078.0)</f>
        <v>45078</v>
      </c>
      <c r="D53" s="1" t="str">
        <f>IFERROR(__xludf.DUMMYFUNCTION("""COMPUTED_VALUE"""),"1 h 39 min")</f>
        <v>1 h 39 min</v>
      </c>
      <c r="E53" s="1" t="str">
        <f>IFERROR(__xludf.DUMMYFUNCTION("""COMPUTED_VALUE"""),"Danish")</f>
        <v>Danish</v>
      </c>
      <c r="F53" s="2" t="s">
        <v>9</v>
      </c>
      <c r="G53" s="4" t="str">
        <f t="shared" si="1"/>
        <v>1</v>
      </c>
      <c r="H53" s="1" t="str">
        <f t="shared" si="2"/>
        <v>39</v>
      </c>
      <c r="I53" s="1">
        <f t="shared" si="3"/>
        <v>99</v>
      </c>
    </row>
    <row r="54">
      <c r="A54" s="1" t="str">
        <f>IFERROR(__xludf.DUMMYFUNCTION("""COMPUTED_VALUE"""),"*Missed Connections*")</f>
        <v>*Missed Connections*</v>
      </c>
      <c r="B54" s="1" t="str">
        <f>IFERROR(__xludf.DUMMYFUNCTION("""COMPUTED_VALUE"""),"Romantic comedy")</f>
        <v>Romantic comedy</v>
      </c>
      <c r="C54" s="3">
        <f>IFERROR(__xludf.DUMMYFUNCTION("""COMPUTED_VALUE"""),45079.0)</f>
        <v>45079</v>
      </c>
      <c r="D54" s="1" t="str">
        <f>IFERROR(__xludf.DUMMYFUNCTION("""COMPUTED_VALUE"""),"1 h 47 min")</f>
        <v>1 h 47 min</v>
      </c>
      <c r="E54" s="1" t="str">
        <f>IFERROR(__xludf.DUMMYFUNCTION("""COMPUTED_VALUE"""),"Filipino")</f>
        <v>Filipino</v>
      </c>
      <c r="F54" s="2" t="s">
        <v>9</v>
      </c>
      <c r="G54" s="4" t="str">
        <f t="shared" si="1"/>
        <v>1</v>
      </c>
      <c r="H54" s="1" t="str">
        <f t="shared" si="2"/>
        <v>47</v>
      </c>
      <c r="I54" s="1">
        <f t="shared" si="3"/>
        <v>107</v>
      </c>
    </row>
    <row r="55">
      <c r="A55" s="1" t="str">
        <f>IFERROR(__xludf.DUMMYFUNCTION("""COMPUTED_VALUE"""),"*Rich in Love 2*")</f>
        <v>*Rich in Love 2*</v>
      </c>
      <c r="B55" s="1" t="str">
        <f>IFERROR(__xludf.DUMMYFUNCTION("""COMPUTED_VALUE"""),"Romantic comedy")</f>
        <v>Romantic comedy</v>
      </c>
      <c r="C55" s="3">
        <f>IFERROR(__xludf.DUMMYFUNCTION("""COMPUTED_VALUE"""),45079.0)</f>
        <v>45079</v>
      </c>
      <c r="D55" s="1" t="str">
        <f>IFERROR(__xludf.DUMMYFUNCTION("""COMPUTED_VALUE"""),"1 h 29 min")</f>
        <v>1 h 29 min</v>
      </c>
      <c r="E55" s="1" t="str">
        <f>IFERROR(__xludf.DUMMYFUNCTION("""COMPUTED_VALUE"""),"Portuguese")</f>
        <v>Portuguese</v>
      </c>
      <c r="F55" s="2" t="s">
        <v>9</v>
      </c>
      <c r="G55" s="4" t="str">
        <f t="shared" si="1"/>
        <v>1</v>
      </c>
      <c r="H55" s="1" t="str">
        <f t="shared" si="2"/>
        <v>29</v>
      </c>
      <c r="I55" s="1">
        <f t="shared" si="3"/>
        <v>89</v>
      </c>
    </row>
    <row r="56">
      <c r="A56" s="1" t="str">
        <f>IFERROR(__xludf.DUMMYFUNCTION("""COMPUTED_VALUE"""),"*The Wonder Weeks*")</f>
        <v>*The Wonder Weeks*</v>
      </c>
      <c r="B56" s="1" t="str">
        <f>IFERROR(__xludf.DUMMYFUNCTION("""COMPUTED_VALUE"""),"Comedy drama")</f>
        <v>Comedy drama</v>
      </c>
      <c r="C56" s="3">
        <f>IFERROR(__xludf.DUMMYFUNCTION("""COMPUTED_VALUE"""),45086.0)</f>
        <v>45086</v>
      </c>
      <c r="D56" s="1" t="str">
        <f>IFERROR(__xludf.DUMMYFUNCTION("""COMPUTED_VALUE"""),"1 h 50 min")</f>
        <v>1 h 50 min</v>
      </c>
      <c r="E56" s="1" t="str">
        <f>IFERROR(__xludf.DUMMYFUNCTION("""COMPUTED_VALUE"""),"Dutch")</f>
        <v>Dutch</v>
      </c>
      <c r="F56" s="2" t="s">
        <v>9</v>
      </c>
      <c r="G56" s="4" t="str">
        <f t="shared" si="1"/>
        <v>1</v>
      </c>
      <c r="H56" s="1" t="str">
        <f t="shared" si="2"/>
        <v>50</v>
      </c>
      <c r="I56" s="1">
        <f t="shared" si="3"/>
        <v>110</v>
      </c>
    </row>
    <row r="57">
      <c r="A57" s="1" t="str">
        <f>IFERROR(__xludf.DUMMYFUNCTION("""COMPUTED_VALUE"""),"*You Do You*")</f>
        <v>*You Do You*</v>
      </c>
      <c r="B57" s="1" t="str">
        <f>IFERROR(__xludf.DUMMYFUNCTION("""COMPUTED_VALUE"""),"Romantic comedy")</f>
        <v>Romantic comedy</v>
      </c>
      <c r="C57" s="3">
        <f>IFERROR(__xludf.DUMMYFUNCTION("""COMPUTED_VALUE"""),45086.0)</f>
        <v>45086</v>
      </c>
      <c r="D57" s="1" t="str">
        <f>IFERROR(__xludf.DUMMYFUNCTION("""COMPUTED_VALUE"""),"1 h 39 min")</f>
        <v>1 h 39 min</v>
      </c>
      <c r="E57" s="1" t="str">
        <f>IFERROR(__xludf.DUMMYFUNCTION("""COMPUTED_VALUE"""),"Turkish")</f>
        <v>Turkish</v>
      </c>
      <c r="F57" s="2" t="s">
        <v>9</v>
      </c>
      <c r="G57" s="4" t="str">
        <f t="shared" si="1"/>
        <v>1</v>
      </c>
      <c r="H57" s="1" t="str">
        <f t="shared" si="2"/>
        <v>39</v>
      </c>
      <c r="I57" s="1">
        <f t="shared" si="3"/>
        <v>99</v>
      </c>
    </row>
    <row r="58">
      <c r="A58" s="1" t="str">
        <f>IFERROR(__xludf.DUMMYFUNCTION("""COMPUTED_VALUE"""),"*Black Clover: Sword of the Wizard King*")</f>
        <v>*Black Clover: Sword of the Wizard King*</v>
      </c>
      <c r="B58" s="1" t="str">
        <f>IFERROR(__xludf.DUMMYFUNCTION("""COMPUTED_VALUE"""),"Anime")</f>
        <v>Anime</v>
      </c>
      <c r="C58" s="3">
        <f>IFERROR(__xludf.DUMMYFUNCTION("""COMPUTED_VALUE"""),45093.0)</f>
        <v>45093</v>
      </c>
      <c r="D58" s="1" t="str">
        <f>IFERROR(__xludf.DUMMYFUNCTION("""COMPUTED_VALUE"""),"1 h 53 min")</f>
        <v>1 h 53 min</v>
      </c>
      <c r="E58" s="1" t="str">
        <f>IFERROR(__xludf.DUMMYFUNCTION("""COMPUTED_VALUE"""),"Japanese")</f>
        <v>Japanese</v>
      </c>
      <c r="F58" s="2" t="s">
        <v>9</v>
      </c>
      <c r="G58" s="4" t="str">
        <f t="shared" si="1"/>
        <v>1</v>
      </c>
      <c r="H58" s="1" t="str">
        <f t="shared" si="2"/>
        <v>53</v>
      </c>
      <c r="I58" s="1">
        <f t="shared" si="3"/>
        <v>113</v>
      </c>
    </row>
    <row r="59">
      <c r="A59" s="1" t="str">
        <f>IFERROR(__xludf.DUMMYFUNCTION("""COMPUTED_VALUE"""),"*Extraction 2*")</f>
        <v>*Extraction 2*</v>
      </c>
      <c r="B59" s="1" t="str">
        <f>IFERROR(__xludf.DUMMYFUNCTION("""COMPUTED_VALUE"""),"Action thriller")</f>
        <v>Action thriller</v>
      </c>
      <c r="C59" s="3">
        <f>IFERROR(__xludf.DUMMYFUNCTION("""COMPUTED_VALUE"""),45093.0)</f>
        <v>45093</v>
      </c>
      <c r="D59" s="1" t="str">
        <f>IFERROR(__xludf.DUMMYFUNCTION("""COMPUTED_VALUE"""),"2 h 3 min")</f>
        <v>2 h 3 min</v>
      </c>
      <c r="E59" s="1" t="str">
        <f>IFERROR(__xludf.DUMMYFUNCTION("""COMPUTED_VALUE"""),"English")</f>
        <v>English</v>
      </c>
      <c r="F59" s="2" t="s">
        <v>9</v>
      </c>
      <c r="G59" s="4" t="str">
        <f t="shared" si="1"/>
        <v>2</v>
      </c>
      <c r="H59" s="1" t="str">
        <f t="shared" si="2"/>
        <v>3 </v>
      </c>
      <c r="I59" s="1">
        <f t="shared" si="3"/>
        <v>123</v>
      </c>
    </row>
    <row r="60">
      <c r="A60" s="1" t="str">
        <f>IFERROR(__xludf.DUMMYFUNCTION("""COMPUTED_VALUE"""),"*iNumber Number: Jozi Gold*")</f>
        <v>*iNumber Number: Jozi Gold*</v>
      </c>
      <c r="B60" s="1" t="str">
        <f>IFERROR(__xludf.DUMMYFUNCTION("""COMPUTED_VALUE"""),"Thriller")</f>
        <v>Thriller</v>
      </c>
      <c r="C60" s="3">
        <f>IFERROR(__xludf.DUMMYFUNCTION("""COMPUTED_VALUE"""),45100.0)</f>
        <v>45100</v>
      </c>
      <c r="D60" s="1" t="str">
        <f>IFERROR(__xludf.DUMMYFUNCTION("""COMPUTED_VALUE"""),"1 h 53 min")</f>
        <v>1 h 53 min</v>
      </c>
      <c r="E60" s="1" t="str">
        <f>IFERROR(__xludf.DUMMYFUNCTION("""COMPUTED_VALUE"""),"English")</f>
        <v>English</v>
      </c>
      <c r="F60" s="2" t="s">
        <v>9</v>
      </c>
      <c r="G60" s="4" t="str">
        <f t="shared" si="1"/>
        <v>1</v>
      </c>
      <c r="H60" s="1" t="str">
        <f t="shared" si="2"/>
        <v>53</v>
      </c>
      <c r="I60" s="1">
        <f t="shared" si="3"/>
        <v>113</v>
      </c>
    </row>
    <row r="61">
      <c r="A61" s="1" t="str">
        <f>IFERROR(__xludf.DUMMYFUNCTION("""COMPUTED_VALUE"""),"*Make Me Believe*")</f>
        <v>*Make Me Believe*</v>
      </c>
      <c r="B61" s="1" t="str">
        <f>IFERROR(__xludf.DUMMYFUNCTION("""COMPUTED_VALUE"""),"Romantic comedy")</f>
        <v>Romantic comedy</v>
      </c>
      <c r="C61" s="3">
        <f>IFERROR(__xludf.DUMMYFUNCTION("""COMPUTED_VALUE"""),45100.0)</f>
        <v>45100</v>
      </c>
      <c r="D61" s="1" t="str">
        <f>IFERROR(__xludf.DUMMYFUNCTION("""COMPUTED_VALUE"""),"1 h 44 min")</f>
        <v>1 h 44 min</v>
      </c>
      <c r="E61" s="1" t="str">
        <f>IFERROR(__xludf.DUMMYFUNCTION("""COMPUTED_VALUE"""),"Turkish")</f>
        <v>Turkish</v>
      </c>
      <c r="F61" s="2" t="s">
        <v>9</v>
      </c>
      <c r="G61" s="4" t="str">
        <f t="shared" si="1"/>
        <v>1</v>
      </c>
      <c r="H61" s="1" t="str">
        <f t="shared" si="2"/>
        <v>44</v>
      </c>
      <c r="I61" s="1">
        <f t="shared" si="3"/>
        <v>104</v>
      </c>
    </row>
    <row r="62">
      <c r="A62" s="1" t="str">
        <f>IFERROR(__xludf.DUMMYFUNCTION("""COMPUTED_VALUE"""),"*The Perfect Find*")</f>
        <v>*The Perfect Find*</v>
      </c>
      <c r="B62" s="1" t="str">
        <f>IFERROR(__xludf.DUMMYFUNCTION("""COMPUTED_VALUE"""),"Romantic comedy")</f>
        <v>Romantic comedy</v>
      </c>
      <c r="C62" s="3">
        <f>IFERROR(__xludf.DUMMYFUNCTION("""COMPUTED_VALUE"""),45100.0)</f>
        <v>45100</v>
      </c>
      <c r="D62" s="1" t="str">
        <f>IFERROR(__xludf.DUMMYFUNCTION("""COMPUTED_VALUE"""),"1 h 39 min")</f>
        <v>1 h 39 min</v>
      </c>
      <c r="E62" s="1" t="str">
        <f>IFERROR(__xludf.DUMMYFUNCTION("""COMPUTED_VALUE"""),"English")</f>
        <v>English</v>
      </c>
      <c r="F62" s="2" t="s">
        <v>9</v>
      </c>
      <c r="G62" s="4" t="str">
        <f t="shared" si="1"/>
        <v>1</v>
      </c>
      <c r="H62" s="1" t="str">
        <f t="shared" si="2"/>
        <v>39</v>
      </c>
      <c r="I62" s="1">
        <f t="shared" si="3"/>
        <v>99</v>
      </c>
    </row>
    <row r="63">
      <c r="A63" s="1" t="str">
        <f>IFERROR(__xludf.DUMMYFUNCTION("""COMPUTED_VALUE"""),"*Through My Window: Across the Sea*")</f>
        <v>*Through My Window: Across the Sea*</v>
      </c>
      <c r="B63" s="1" t="str">
        <f>IFERROR(__xludf.DUMMYFUNCTION("""COMPUTED_VALUE"""),"Romance")</f>
        <v>Romance</v>
      </c>
      <c r="C63" s="3">
        <f>IFERROR(__xludf.DUMMYFUNCTION("""COMPUTED_VALUE"""),45100.0)</f>
        <v>45100</v>
      </c>
      <c r="D63" s="1" t="str">
        <f>IFERROR(__xludf.DUMMYFUNCTION("""COMPUTED_VALUE"""),"1 h 51 min")</f>
        <v>1 h 51 min</v>
      </c>
      <c r="E63" s="1" t="str">
        <f>IFERROR(__xludf.DUMMYFUNCTION("""COMPUTED_VALUE"""),"Spanish")</f>
        <v>Spanish</v>
      </c>
      <c r="F63" s="2" t="s">
        <v>9</v>
      </c>
      <c r="G63" s="4" t="str">
        <f t="shared" si="1"/>
        <v>1</v>
      </c>
      <c r="H63" s="1" t="str">
        <f t="shared" si="2"/>
        <v>51</v>
      </c>
      <c r="I63" s="1">
        <f t="shared" si="3"/>
        <v>111</v>
      </c>
    </row>
    <row r="64">
      <c r="A64" s="1" t="str">
        <f>IFERROR(__xludf.DUMMYFUNCTION("""COMPUTED_VALUE"""),"*Lust Stories 2*")</f>
        <v>*Lust Stories 2*</v>
      </c>
      <c r="B64" s="1" t="str">
        <f>IFERROR(__xludf.DUMMYFUNCTION("""COMPUTED_VALUE"""),"Anthology film")</f>
        <v>Anthology film</v>
      </c>
      <c r="C64" s="3">
        <f>IFERROR(__xludf.DUMMYFUNCTION("""COMPUTED_VALUE"""),45106.0)</f>
        <v>45106</v>
      </c>
      <c r="D64" s="1" t="str">
        <f>IFERROR(__xludf.DUMMYFUNCTION("""COMPUTED_VALUE"""),"2 h 12 min")</f>
        <v>2 h 12 min</v>
      </c>
      <c r="E64" s="1" t="str">
        <f>IFERROR(__xludf.DUMMYFUNCTION("""COMPUTED_VALUE"""),"Hindi")</f>
        <v>Hindi</v>
      </c>
      <c r="F64" s="2" t="s">
        <v>9</v>
      </c>
      <c r="G64" s="4" t="str">
        <f t="shared" si="1"/>
        <v>2</v>
      </c>
      <c r="H64" s="1" t="str">
        <f t="shared" si="2"/>
        <v>12</v>
      </c>
      <c r="I64" s="1">
        <f t="shared" si="3"/>
        <v>132</v>
      </c>
    </row>
    <row r="65">
      <c r="A65" s="1" t="str">
        <f>IFERROR(__xludf.DUMMYFUNCTION("""COMPUTED_VALUE"""),"*Nimona*")</f>
        <v>*Nimona*</v>
      </c>
      <c r="B65" s="1" t="str">
        <f>IFERROR(__xludf.DUMMYFUNCTION("""COMPUTED_VALUE"""),"Animatedscience fiction")</f>
        <v>Animatedscience fiction</v>
      </c>
      <c r="C65" s="3">
        <f>IFERROR(__xludf.DUMMYFUNCTION("""COMPUTED_VALUE"""),45107.0)</f>
        <v>45107</v>
      </c>
      <c r="D65" s="1" t="str">
        <f>IFERROR(__xludf.DUMMYFUNCTION("""COMPUTED_VALUE"""),"1 h 42 min")</f>
        <v>1 h 42 min</v>
      </c>
      <c r="E65" s="1" t="str">
        <f>IFERROR(__xludf.DUMMYFUNCTION("""COMPUTED_VALUE"""),"English")</f>
        <v>English</v>
      </c>
      <c r="F65" s="2" t="s">
        <v>9</v>
      </c>
      <c r="G65" s="4" t="str">
        <f t="shared" si="1"/>
        <v>1</v>
      </c>
      <c r="H65" s="1" t="str">
        <f t="shared" si="2"/>
        <v>42</v>
      </c>
      <c r="I65" s="1">
        <f t="shared" si="3"/>
        <v>102</v>
      </c>
    </row>
    <row r="66">
      <c r="A66" s="1" t="str">
        <f>IFERROR(__xludf.DUMMYFUNCTION("""COMPUTED_VALUE"""),"*Gold Brick*")</f>
        <v>*Gold Brick*</v>
      </c>
      <c r="B66" s="1" t="str">
        <f>IFERROR(__xludf.DUMMYFUNCTION("""COMPUTED_VALUE"""),"Comedy")</f>
        <v>Comedy</v>
      </c>
      <c r="C66" s="3">
        <f>IFERROR(__xludf.DUMMYFUNCTION("""COMPUTED_VALUE"""),45113.0)</f>
        <v>45113</v>
      </c>
      <c r="D66" s="1" t="str">
        <f>IFERROR(__xludf.DUMMYFUNCTION("""COMPUTED_VALUE"""),"1 h 35 min")</f>
        <v>1 h 35 min</v>
      </c>
      <c r="E66" s="1" t="str">
        <f>IFERROR(__xludf.DUMMYFUNCTION("""COMPUTED_VALUE"""),"French")</f>
        <v>French</v>
      </c>
      <c r="F66" s="2" t="s">
        <v>10</v>
      </c>
      <c r="G66" s="4" t="str">
        <f t="shared" si="1"/>
        <v>1</v>
      </c>
      <c r="H66" s="1" t="str">
        <f t="shared" si="2"/>
        <v>35</v>
      </c>
      <c r="I66" s="1">
        <f t="shared" si="3"/>
        <v>95</v>
      </c>
    </row>
    <row r="67">
      <c r="A67" s="1" t="str">
        <f>IFERROR(__xludf.DUMMYFUNCTION("""COMPUTED_VALUE"""),"*Seasons*")</f>
        <v>*Seasons*</v>
      </c>
      <c r="B67" s="1" t="str">
        <f>IFERROR(__xludf.DUMMYFUNCTION("""COMPUTED_VALUE"""),"Romance")</f>
        <v>Romance</v>
      </c>
      <c r="C67" s="3">
        <f>IFERROR(__xludf.DUMMYFUNCTION("""COMPUTED_VALUE"""),45114.0)</f>
        <v>45114</v>
      </c>
      <c r="D67" s="1" t="str">
        <f>IFERROR(__xludf.DUMMYFUNCTION("""COMPUTED_VALUE"""),"1 h 49 min")</f>
        <v>1 h 49 min</v>
      </c>
      <c r="E67" s="1" t="str">
        <f>IFERROR(__xludf.DUMMYFUNCTION("""COMPUTED_VALUE"""),"Filipino")</f>
        <v>Filipino</v>
      </c>
      <c r="F67" s="2" t="s">
        <v>10</v>
      </c>
      <c r="G67" s="4" t="str">
        <f t="shared" si="1"/>
        <v>1</v>
      </c>
      <c r="H67" s="1" t="str">
        <f t="shared" si="2"/>
        <v>49</v>
      </c>
      <c r="I67" s="1">
        <f t="shared" si="3"/>
        <v>109</v>
      </c>
    </row>
    <row r="68">
      <c r="A68" s="1" t="str">
        <f>IFERROR(__xludf.DUMMYFUNCTION("""COMPUTED_VALUE"""),"*The Out-Laws*")</f>
        <v>*The Out-Laws*</v>
      </c>
      <c r="B68" s="1" t="str">
        <f>IFERROR(__xludf.DUMMYFUNCTION("""COMPUTED_VALUE"""),"Action comedy")</f>
        <v>Action comedy</v>
      </c>
      <c r="C68" s="3">
        <f>IFERROR(__xludf.DUMMYFUNCTION("""COMPUTED_VALUE"""),45114.0)</f>
        <v>45114</v>
      </c>
      <c r="D68" s="1" t="str">
        <f>IFERROR(__xludf.DUMMYFUNCTION("""COMPUTED_VALUE"""),"1 h 35 min")</f>
        <v>1 h 35 min</v>
      </c>
      <c r="E68" s="1" t="str">
        <f>IFERROR(__xludf.DUMMYFUNCTION("""COMPUTED_VALUE"""),"English")</f>
        <v>English</v>
      </c>
      <c r="F68" s="2" t="s">
        <v>10</v>
      </c>
      <c r="G68" s="4" t="str">
        <f t="shared" si="1"/>
        <v>1</v>
      </c>
      <c r="H68" s="1" t="str">
        <f t="shared" si="2"/>
        <v>35</v>
      </c>
      <c r="I68" s="1">
        <f t="shared" si="3"/>
        <v>95</v>
      </c>
    </row>
    <row r="69">
      <c r="A69" s="1" t="str">
        <f>IFERROR(__xludf.DUMMYFUNCTION("""COMPUTED_VALUE"""),"*Mr. Car and the Knights Templar*")</f>
        <v>*Mr. Car and the Knights Templar*</v>
      </c>
      <c r="B69" s="1" t="str">
        <f>IFERROR(__xludf.DUMMYFUNCTION("""COMPUTED_VALUE"""),"Drama")</f>
        <v>Drama</v>
      </c>
      <c r="C69" s="3">
        <f>IFERROR(__xludf.DUMMYFUNCTION("""COMPUTED_VALUE"""),45119.0)</f>
        <v>45119</v>
      </c>
      <c r="D69" s="1" t="str">
        <f>IFERROR(__xludf.DUMMYFUNCTION("""COMPUTED_VALUE"""),"1 h 50 min")</f>
        <v>1 h 50 min</v>
      </c>
      <c r="E69" s="1" t="str">
        <f>IFERROR(__xludf.DUMMYFUNCTION("""COMPUTED_VALUE"""),"Polish")</f>
        <v>Polish</v>
      </c>
      <c r="F69" s="2" t="s">
        <v>10</v>
      </c>
      <c r="G69" s="4" t="str">
        <f t="shared" si="1"/>
        <v>1</v>
      </c>
      <c r="H69" s="1" t="str">
        <f t="shared" si="2"/>
        <v>50</v>
      </c>
      <c r="I69" s="1">
        <f t="shared" si="3"/>
        <v>110</v>
      </c>
    </row>
    <row r="70">
      <c r="A70" s="1" t="str">
        <f>IFERROR(__xludf.DUMMYFUNCTION("""COMPUTED_VALUE"""),"*Bird Box Barcelona*")</f>
        <v>*Bird Box Barcelona*</v>
      </c>
      <c r="B70" s="1" t="str">
        <f>IFERROR(__xludf.DUMMYFUNCTION("""COMPUTED_VALUE"""),"Post-apocalyptichorror-thriller")</f>
        <v>Post-apocalyptichorror-thriller</v>
      </c>
      <c r="C70" s="3">
        <f>IFERROR(__xludf.DUMMYFUNCTION("""COMPUTED_VALUE"""),45121.0)</f>
        <v>45121</v>
      </c>
      <c r="D70" s="1" t="str">
        <f>IFERROR(__xludf.DUMMYFUNCTION("""COMPUTED_VALUE"""),"1 h 51 min")</f>
        <v>1 h 51 min</v>
      </c>
      <c r="E70" s="1" t="str">
        <f>IFERROR(__xludf.DUMMYFUNCTION("""COMPUTED_VALUE"""),"Spanish")</f>
        <v>Spanish</v>
      </c>
      <c r="F70" s="2" t="s">
        <v>10</v>
      </c>
      <c r="G70" s="4" t="str">
        <f t="shared" si="1"/>
        <v>1</v>
      </c>
      <c r="H70" s="1" t="str">
        <f t="shared" si="2"/>
        <v>51</v>
      </c>
      <c r="I70" s="1">
        <f t="shared" si="3"/>
        <v>111</v>
      </c>
    </row>
    <row r="71">
      <c r="A71" s="1" t="str">
        <f>IFERROR(__xludf.DUMMYFUNCTION("""COMPUTED_VALUE"""),"*Love Tactics 2*")</f>
        <v>*Love Tactics 2*</v>
      </c>
      <c r="B71" s="1" t="str">
        <f>IFERROR(__xludf.DUMMYFUNCTION("""COMPUTED_VALUE"""),"Romantic comedy")</f>
        <v>Romantic comedy</v>
      </c>
      <c r="C71" s="3">
        <f>IFERROR(__xludf.DUMMYFUNCTION("""COMPUTED_VALUE"""),45121.0)</f>
        <v>45121</v>
      </c>
      <c r="D71" s="1" t="str">
        <f>IFERROR(__xludf.DUMMYFUNCTION("""COMPUTED_VALUE"""),"1 h 38 min")</f>
        <v>1 h 38 min</v>
      </c>
      <c r="E71" s="1" t="str">
        <f>IFERROR(__xludf.DUMMYFUNCTION("""COMPUTED_VALUE"""),"Turkish")</f>
        <v>Turkish</v>
      </c>
      <c r="F71" s="2" t="s">
        <v>10</v>
      </c>
      <c r="G71" s="4" t="str">
        <f t="shared" si="1"/>
        <v>1</v>
      </c>
      <c r="H71" s="1" t="str">
        <f t="shared" si="2"/>
        <v>38</v>
      </c>
      <c r="I71" s="1">
        <f t="shared" si="3"/>
        <v>98</v>
      </c>
    </row>
    <row r="72">
      <c r="A72" s="1" t="str">
        <f>IFERROR(__xludf.DUMMYFUNCTION("""COMPUTED_VALUE"""),"*The (Almost) Legends*")</f>
        <v>*The (Almost) Legends*</v>
      </c>
      <c r="B72" s="1" t="str">
        <f>IFERROR(__xludf.DUMMYFUNCTION("""COMPUTED_VALUE"""),"Comedy")</f>
        <v>Comedy</v>
      </c>
      <c r="C72" s="3">
        <f>IFERROR(__xludf.DUMMYFUNCTION("""COMPUTED_VALUE"""),45126.0)</f>
        <v>45126</v>
      </c>
      <c r="D72" s="1" t="str">
        <f>IFERROR(__xludf.DUMMYFUNCTION("""COMPUTED_VALUE"""),"1 h 36 min")</f>
        <v>1 h 36 min</v>
      </c>
      <c r="E72" s="1" t="str">
        <f>IFERROR(__xludf.DUMMYFUNCTION("""COMPUTED_VALUE"""),"Spanish")</f>
        <v>Spanish</v>
      </c>
      <c r="F72" s="2" t="s">
        <v>10</v>
      </c>
      <c r="G72" s="4" t="str">
        <f t="shared" si="1"/>
        <v>1</v>
      </c>
      <c r="H72" s="1" t="str">
        <f t="shared" si="2"/>
        <v>36</v>
      </c>
      <c r="I72" s="1">
        <f t="shared" si="3"/>
        <v>96</v>
      </c>
    </row>
    <row r="73">
      <c r="A73" s="1" t="str">
        <f>IFERROR(__xludf.DUMMYFUNCTION("""COMPUTED_VALUE"""),"*They Cloned Tyrone*")</f>
        <v>*They Cloned Tyrone*</v>
      </c>
      <c r="B73" s="1" t="str">
        <f>IFERROR(__xludf.DUMMYFUNCTION("""COMPUTED_VALUE"""),"Sci-ficomedy mystery")</f>
        <v>Sci-ficomedy mystery</v>
      </c>
      <c r="C73" s="3">
        <f>IFERROR(__xludf.DUMMYFUNCTION("""COMPUTED_VALUE"""),45128.0)</f>
        <v>45128</v>
      </c>
      <c r="D73" s="1" t="str">
        <f>IFERROR(__xludf.DUMMYFUNCTION("""COMPUTED_VALUE"""),"1 h 59 min")</f>
        <v>1 h 59 min</v>
      </c>
      <c r="E73" s="1" t="str">
        <f>IFERROR(__xludf.DUMMYFUNCTION("""COMPUTED_VALUE"""),"English")</f>
        <v>English</v>
      </c>
      <c r="F73" s="2" t="s">
        <v>10</v>
      </c>
      <c r="G73" s="4" t="str">
        <f t="shared" si="1"/>
        <v>1</v>
      </c>
      <c r="H73" s="1" t="str">
        <f t="shared" si="2"/>
        <v>59</v>
      </c>
      <c r="I73" s="1">
        <f t="shared" si="3"/>
        <v>119</v>
      </c>
    </row>
    <row r="74">
      <c r="A74" s="1" t="str">
        <f>IFERROR(__xludf.DUMMYFUNCTION("""COMPUTED_VALUE"""),"*Happiness for Beginners*")</f>
        <v>*Happiness for Beginners*</v>
      </c>
      <c r="B74" s="1" t="str">
        <f>IFERROR(__xludf.DUMMYFUNCTION("""COMPUTED_VALUE"""),"Romantic comedy")</f>
        <v>Romantic comedy</v>
      </c>
      <c r="C74" s="3">
        <f>IFERROR(__xludf.DUMMYFUNCTION("""COMPUTED_VALUE"""),45134.0)</f>
        <v>45134</v>
      </c>
      <c r="D74" s="1" t="str">
        <f>IFERROR(__xludf.DUMMYFUNCTION("""COMPUTED_VALUE"""),"1 h 43 min")</f>
        <v>1 h 43 min</v>
      </c>
      <c r="E74" s="1" t="str">
        <f>IFERROR(__xludf.DUMMYFUNCTION("""COMPUTED_VALUE"""),"English")</f>
        <v>English</v>
      </c>
      <c r="F74" s="2" t="s">
        <v>10</v>
      </c>
      <c r="G74" s="4" t="str">
        <f t="shared" si="1"/>
        <v>1</v>
      </c>
      <c r="H74" s="1" t="str">
        <f t="shared" si="2"/>
        <v>43</v>
      </c>
      <c r="I74" s="1">
        <f t="shared" si="3"/>
        <v>103</v>
      </c>
    </row>
    <row r="75">
      <c r="A75" s="1" t="str">
        <f>IFERROR(__xludf.DUMMYFUNCTION("""COMPUTED_VALUE"""),"*Paradise*")</f>
        <v>*Paradise*</v>
      </c>
      <c r="B75" s="1" t="str">
        <f>IFERROR(__xludf.DUMMYFUNCTION("""COMPUTED_VALUE"""),"Sci-fiaction-thriller")</f>
        <v>Sci-fiaction-thriller</v>
      </c>
      <c r="C75" s="3">
        <f>IFERROR(__xludf.DUMMYFUNCTION("""COMPUTED_VALUE"""),45134.0)</f>
        <v>45134</v>
      </c>
      <c r="D75" s="1" t="str">
        <f>IFERROR(__xludf.DUMMYFUNCTION("""COMPUTED_VALUE"""),"1 h 58 min")</f>
        <v>1 h 58 min</v>
      </c>
      <c r="E75" s="1" t="str">
        <f>IFERROR(__xludf.DUMMYFUNCTION("""COMPUTED_VALUE"""),"German")</f>
        <v>German</v>
      </c>
      <c r="F75" s="2" t="s">
        <v>10</v>
      </c>
      <c r="G75" s="4" t="str">
        <f t="shared" si="1"/>
        <v>1</v>
      </c>
      <c r="H75" s="1" t="str">
        <f t="shared" si="2"/>
        <v>58</v>
      </c>
      <c r="I75" s="1">
        <f t="shared" si="3"/>
        <v>118</v>
      </c>
    </row>
    <row r="76">
      <c r="A76" s="1" t="str">
        <f>IFERROR(__xludf.DUMMYFUNCTION("""COMPUTED_VALUE"""),"*The Murderer*")</f>
        <v>*The Murderer*</v>
      </c>
      <c r="B76" s="1" t="str">
        <f>IFERROR(__xludf.DUMMYFUNCTION("""COMPUTED_VALUE"""),"Black comedy")</f>
        <v>Black comedy</v>
      </c>
      <c r="C76" s="3">
        <f>IFERROR(__xludf.DUMMYFUNCTION("""COMPUTED_VALUE"""),45134.0)</f>
        <v>45134</v>
      </c>
      <c r="D76" s="1" t="str">
        <f>IFERROR(__xludf.DUMMYFUNCTION("""COMPUTED_VALUE"""),"2 h")</f>
        <v>2 h</v>
      </c>
      <c r="E76" s="1" t="str">
        <f>IFERROR(__xludf.DUMMYFUNCTION("""COMPUTED_VALUE"""),"Thai")</f>
        <v>Thai</v>
      </c>
      <c r="F76" s="2" t="s">
        <v>10</v>
      </c>
      <c r="G76" s="4" t="str">
        <f t="shared" si="1"/>
        <v>2</v>
      </c>
      <c r="H76" s="1" t="str">
        <f t="shared" si="2"/>
        <v/>
      </c>
      <c r="I76" s="1">
        <f t="shared" si="3"/>
        <v>120</v>
      </c>
    </row>
    <row r="77">
      <c r="A77" s="1" t="str">
        <f>IFERROR(__xludf.DUMMYFUNCTION("""COMPUTED_VALUE"""),"*Today We'll Talk About That Day*")</f>
        <v>*Today We'll Talk About That Day*</v>
      </c>
      <c r="B77" s="1" t="str">
        <f>IFERROR(__xludf.DUMMYFUNCTION("""COMPUTED_VALUE"""),"Melodrama")</f>
        <v>Melodrama</v>
      </c>
      <c r="C77" s="3">
        <f>IFERROR(__xludf.DUMMYFUNCTION("""COMPUTED_VALUE"""),45134.0)</f>
        <v>45134</v>
      </c>
      <c r="D77" s="1" t="str">
        <f>IFERROR(__xludf.DUMMYFUNCTION("""COMPUTED_VALUE"""),"1 h 58 min")</f>
        <v>1 h 58 min</v>
      </c>
      <c r="E77" s="1" t="str">
        <f>IFERROR(__xludf.DUMMYFUNCTION("""COMPUTED_VALUE"""),"Indonesian")</f>
        <v>Indonesian</v>
      </c>
      <c r="F77" s="2" t="s">
        <v>10</v>
      </c>
      <c r="G77" s="4" t="str">
        <f t="shared" si="1"/>
        <v>1</v>
      </c>
      <c r="H77" s="1" t="str">
        <f t="shared" si="2"/>
        <v>58</v>
      </c>
      <c r="I77" s="1">
        <f t="shared" si="3"/>
        <v>118</v>
      </c>
    </row>
    <row r="78">
      <c r="A78" s="1" t="str">
        <f>IFERROR(__xludf.DUMMYFUNCTION("""COMPUTED_VALUE"""),"*Big Nunu's Little Heist*")</f>
        <v>*Big Nunu's Little Heist*</v>
      </c>
      <c r="B78" s="1" t="str">
        <f>IFERROR(__xludf.DUMMYFUNCTION("""COMPUTED_VALUE"""),"Comedy")</f>
        <v>Comedy</v>
      </c>
      <c r="C78" s="3">
        <f>IFERROR(__xludf.DUMMYFUNCTION("""COMPUTED_VALUE"""),45135.0)</f>
        <v>45135</v>
      </c>
      <c r="D78" s="1" t="str">
        <f>IFERROR(__xludf.DUMMYFUNCTION("""COMPUTED_VALUE"""),"1 h 32 min")</f>
        <v>1 h 32 min</v>
      </c>
      <c r="E78" s="1" t="str">
        <f>IFERROR(__xludf.DUMMYFUNCTION("""COMPUTED_VALUE"""),"Zulu")</f>
        <v>Zulu</v>
      </c>
      <c r="F78" s="2" t="s">
        <v>10</v>
      </c>
      <c r="G78" s="4" t="str">
        <f t="shared" si="1"/>
        <v>1</v>
      </c>
      <c r="H78" s="1" t="str">
        <f t="shared" si="2"/>
        <v>32</v>
      </c>
      <c r="I78" s="1">
        <f t="shared" si="3"/>
        <v>92</v>
      </c>
    </row>
    <row r="79">
      <c r="A79" s="1" t="str">
        <f>IFERROR(__xludf.DUMMYFUNCTION("""COMPUTED_VALUE"""),"*Soulcatcher*")</f>
        <v>*Soulcatcher*</v>
      </c>
      <c r="B79" s="1" t="str">
        <f>IFERROR(__xludf.DUMMYFUNCTION("""COMPUTED_VALUE"""),"Thriller")</f>
        <v>Thriller</v>
      </c>
      <c r="C79" s="3">
        <f>IFERROR(__xludf.DUMMYFUNCTION("""COMPUTED_VALUE"""),45140.0)</f>
        <v>45140</v>
      </c>
      <c r="D79" s="1" t="str">
        <f>IFERROR(__xludf.DUMMYFUNCTION("""COMPUTED_VALUE"""),"1 h 38 min")</f>
        <v>1 h 38 min</v>
      </c>
      <c r="E79" s="1" t="str">
        <f>IFERROR(__xludf.DUMMYFUNCTION("""COMPUTED_VALUE"""),"Polish")</f>
        <v>Polish</v>
      </c>
      <c r="F79" s="2" t="s">
        <v>11</v>
      </c>
      <c r="G79" s="4" t="str">
        <f t="shared" si="1"/>
        <v>1</v>
      </c>
      <c r="H79" s="1" t="str">
        <f t="shared" si="2"/>
        <v>38</v>
      </c>
      <c r="I79" s="1">
        <f t="shared" si="3"/>
        <v>98</v>
      </c>
    </row>
    <row r="80">
      <c r="A80" s="1" t="str">
        <f>IFERROR(__xludf.DUMMYFUNCTION("""COMPUTED_VALUE"""),"*Head to Head*")</f>
        <v>*Head to Head*</v>
      </c>
      <c r="B80" s="1" t="str">
        <f>IFERROR(__xludf.DUMMYFUNCTION("""COMPUTED_VALUE"""),"Thrillercomedy")</f>
        <v>Thrillercomedy</v>
      </c>
      <c r="C80" s="3">
        <f>IFERROR(__xludf.DUMMYFUNCTION("""COMPUTED_VALUE"""),45141.0)</f>
        <v>45141</v>
      </c>
      <c r="D80" s="1" t="str">
        <f>IFERROR(__xludf.DUMMYFUNCTION("""COMPUTED_VALUE"""),"1 h 34 min")</f>
        <v>1 h 34 min</v>
      </c>
      <c r="E80" s="1" t="str">
        <f>IFERROR(__xludf.DUMMYFUNCTION("""COMPUTED_VALUE"""),"Arabic")</f>
        <v>Arabic</v>
      </c>
      <c r="F80" s="2" t="s">
        <v>11</v>
      </c>
      <c r="G80" s="4" t="str">
        <f t="shared" si="1"/>
        <v>1</v>
      </c>
      <c r="H80" s="1" t="str">
        <f t="shared" si="2"/>
        <v>34</v>
      </c>
      <c r="I80" s="1">
        <f t="shared" si="3"/>
        <v>94</v>
      </c>
    </row>
    <row r="81">
      <c r="A81" s="1" t="str">
        <f>IFERROR(__xludf.DUMMYFUNCTION("""COMPUTED_VALUE"""),"*Zom 100: Bucket List of the Dead*")</f>
        <v>*Zom 100: Bucket List of the Dead*</v>
      </c>
      <c r="B81" s="1" t="str">
        <f>IFERROR(__xludf.DUMMYFUNCTION("""COMPUTED_VALUE"""),"Zombie apocalypse / comedy")</f>
        <v>Zombie apocalypse / comedy</v>
      </c>
      <c r="C81" s="3">
        <f>IFERROR(__xludf.DUMMYFUNCTION("""COMPUTED_VALUE"""),45141.0)</f>
        <v>45141</v>
      </c>
      <c r="D81" s="1" t="str">
        <f>IFERROR(__xludf.DUMMYFUNCTION("""COMPUTED_VALUE"""),"2 h 9 min")</f>
        <v>2 h 9 min</v>
      </c>
      <c r="E81" s="1" t="str">
        <f>IFERROR(__xludf.DUMMYFUNCTION("""COMPUTED_VALUE"""),"Japanese")</f>
        <v>Japanese</v>
      </c>
      <c r="F81" s="2" t="s">
        <v>11</v>
      </c>
      <c r="G81" s="4" t="str">
        <f t="shared" si="1"/>
        <v>2</v>
      </c>
      <c r="H81" s="1" t="str">
        <f t="shared" si="2"/>
        <v>9 </v>
      </c>
      <c r="I81" s="1">
        <f t="shared" si="3"/>
        <v>129</v>
      </c>
    </row>
    <row r="82">
      <c r="A82" s="1" t="str">
        <f>IFERROR(__xludf.DUMMYFUNCTION("""COMPUTED_VALUE"""),"*Heart of Stone*")</f>
        <v>*Heart of Stone*</v>
      </c>
      <c r="B82" s="1" t="str">
        <f>IFERROR(__xludf.DUMMYFUNCTION("""COMPUTED_VALUE"""),"Spythriller")</f>
        <v>Spythriller</v>
      </c>
      <c r="C82" s="3">
        <f>IFERROR(__xludf.DUMMYFUNCTION("""COMPUTED_VALUE"""),45149.0)</f>
        <v>45149</v>
      </c>
      <c r="D82" s="1" t="str">
        <f>IFERROR(__xludf.DUMMYFUNCTION("""COMPUTED_VALUE"""),"2 h 5 min")</f>
        <v>2 h 5 min</v>
      </c>
      <c r="E82" s="1" t="str">
        <f>IFERROR(__xludf.DUMMYFUNCTION("""COMPUTED_VALUE"""),"English")</f>
        <v>English</v>
      </c>
      <c r="F82" s="2" t="s">
        <v>11</v>
      </c>
      <c r="G82" s="4" t="str">
        <f t="shared" si="1"/>
        <v>2</v>
      </c>
      <c r="H82" s="1" t="str">
        <f t="shared" si="2"/>
        <v>5 </v>
      </c>
      <c r="I82" s="1">
        <f t="shared" si="3"/>
        <v>125</v>
      </c>
    </row>
    <row r="83">
      <c r="A83" s="1" t="str">
        <f>IFERROR(__xludf.DUMMYFUNCTION("""COMPUTED_VALUE"""),"*10 Days of a Bad Man*")</f>
        <v>*10 Days of a Bad Man*</v>
      </c>
      <c r="B83" s="1" t="str">
        <f>IFERROR(__xludf.DUMMYFUNCTION("""COMPUTED_VALUE"""),"Drama")</f>
        <v>Drama</v>
      </c>
      <c r="C83" s="3">
        <f>IFERROR(__xludf.DUMMYFUNCTION("""COMPUTED_VALUE"""),45156.0)</f>
        <v>45156</v>
      </c>
      <c r="D83" s="1" t="str">
        <f>IFERROR(__xludf.DUMMYFUNCTION("""COMPUTED_VALUE"""),"2 h 4 min")</f>
        <v>2 h 4 min</v>
      </c>
      <c r="E83" s="1" t="str">
        <f>IFERROR(__xludf.DUMMYFUNCTION("""COMPUTED_VALUE"""),"Turkish")</f>
        <v>Turkish</v>
      </c>
      <c r="F83" s="2" t="s">
        <v>11</v>
      </c>
      <c r="G83" s="4" t="str">
        <f t="shared" si="1"/>
        <v>2</v>
      </c>
      <c r="H83" s="1" t="str">
        <f t="shared" si="2"/>
        <v>4 </v>
      </c>
      <c r="I83" s="1">
        <f t="shared" si="3"/>
        <v>124</v>
      </c>
    </row>
    <row r="84">
      <c r="A84" s="1" t="str">
        <f>IFERROR(__xludf.DUMMYFUNCTION("""COMPUTED_VALUE"""),"*Love, Sex &amp; 30 Candles*")</f>
        <v>*Love, Sex &amp; 30 Candles*</v>
      </c>
      <c r="B84" s="1" t="str">
        <f>IFERROR(__xludf.DUMMYFUNCTION("""COMPUTED_VALUE"""),"Drama")</f>
        <v>Drama</v>
      </c>
      <c r="C84" s="3">
        <f>IFERROR(__xludf.DUMMYFUNCTION("""COMPUTED_VALUE"""),45156.0)</f>
        <v>45156</v>
      </c>
      <c r="D84" s="1" t="str">
        <f>IFERROR(__xludf.DUMMYFUNCTION("""COMPUTED_VALUE"""),"1 h 46 min")</f>
        <v>1 h 46 min</v>
      </c>
      <c r="E84" s="1" t="str">
        <f>IFERROR(__xludf.DUMMYFUNCTION("""COMPUTED_VALUE"""),"English")</f>
        <v>English</v>
      </c>
      <c r="F84" s="2" t="s">
        <v>11</v>
      </c>
      <c r="G84" s="4" t="str">
        <f t="shared" si="1"/>
        <v>1</v>
      </c>
      <c r="H84" s="1" t="str">
        <f t="shared" si="2"/>
        <v>46</v>
      </c>
      <c r="I84" s="1">
        <f t="shared" si="3"/>
        <v>106</v>
      </c>
    </row>
    <row r="85">
      <c r="A85" s="1" t="str">
        <f>IFERROR(__xludf.DUMMYFUNCTION("""COMPUTED_VALUE"""),"*The Monkey King*")</f>
        <v>*The Monkey King*</v>
      </c>
      <c r="B85" s="1" t="str">
        <f>IFERROR(__xludf.DUMMYFUNCTION("""COMPUTED_VALUE"""),"Animatedaction comedy")</f>
        <v>Animatedaction comedy</v>
      </c>
      <c r="C85" s="3">
        <f>IFERROR(__xludf.DUMMYFUNCTION("""COMPUTED_VALUE"""),45156.0)</f>
        <v>45156</v>
      </c>
      <c r="D85" s="1" t="str">
        <f>IFERROR(__xludf.DUMMYFUNCTION("""COMPUTED_VALUE"""),"1 h 36 min")</f>
        <v>1 h 36 min</v>
      </c>
      <c r="E85" s="1" t="str">
        <f>IFERROR(__xludf.DUMMYFUNCTION("""COMPUTED_VALUE"""),"English")</f>
        <v>English</v>
      </c>
      <c r="F85" s="2" t="s">
        <v>11</v>
      </c>
      <c r="G85" s="4" t="str">
        <f t="shared" si="1"/>
        <v>1</v>
      </c>
      <c r="H85" s="1" t="str">
        <f t="shared" si="2"/>
        <v>36</v>
      </c>
      <c r="I85" s="1">
        <f t="shared" si="3"/>
        <v>96</v>
      </c>
    </row>
    <row r="86">
      <c r="A86" s="1" t="str">
        <f>IFERROR(__xludf.DUMMYFUNCTION("""COMPUTED_VALUE"""),"Awaiting release")</f>
        <v>Awaiting release</v>
      </c>
      <c r="B86" s="1"/>
      <c r="C86" s="1"/>
      <c r="D86" s="1"/>
      <c r="E86" s="1"/>
      <c r="F86" s="2" t="s">
        <v>11</v>
      </c>
      <c r="G86" s="4" t="str">
        <f t="shared" si="1"/>
        <v/>
      </c>
      <c r="H86" s="1" t="str">
        <f t="shared" si="2"/>
        <v/>
      </c>
      <c r="I86" s="1">
        <f t="shared" si="3"/>
        <v>0</v>
      </c>
    </row>
    <row r="87">
      <c r="A87" s="1" t="str">
        <f>IFERROR(__xludf.DUMMYFUNCTION("""COMPUTED_VALUE"""),"*Squared Love Everlasting*[2]")</f>
        <v>*Squared Love Everlasting*[2]</v>
      </c>
      <c r="B87" s="1" t="str">
        <f>IFERROR(__xludf.DUMMYFUNCTION("""COMPUTED_VALUE"""),"Romantic comedy")</f>
        <v>Romantic comedy</v>
      </c>
      <c r="C87" s="1" t="str">
        <f>IFERROR(__xludf.DUMMYFUNCTION("""COMPUTED_VALUE"""),"August 23, 2023[3]")</f>
        <v>August 23, 2023[3]</v>
      </c>
      <c r="D87" s="1" t="str">
        <f>IFERROR(__xludf.DUMMYFUNCTION("""COMPUTED_VALUE"""),"1 h 42 min")</f>
        <v>1 h 42 min</v>
      </c>
      <c r="E87" s="1" t="str">
        <f>IFERROR(__xludf.DUMMYFUNCTION("""COMPUTED_VALUE"""),"Polish")</f>
        <v>Polish</v>
      </c>
      <c r="F87" s="2" t="s">
        <v>11</v>
      </c>
      <c r="G87" s="4" t="str">
        <f t="shared" si="1"/>
        <v>1</v>
      </c>
      <c r="H87" s="1" t="str">
        <f t="shared" si="2"/>
        <v>42</v>
      </c>
      <c r="I87" s="1">
        <f t="shared" si="3"/>
        <v>102</v>
      </c>
    </row>
    <row r="88">
      <c r="A88" s="1" t="str">
        <f>IFERROR(__xludf.DUMMYFUNCTION("""COMPUTED_VALUE"""),"*Killer Book Club*[4]")</f>
        <v>*Killer Book Club*[4]</v>
      </c>
      <c r="B88" s="1" t="str">
        <f>IFERROR(__xludf.DUMMYFUNCTION("""COMPUTED_VALUE"""),"Slasher")</f>
        <v>Slasher</v>
      </c>
      <c r="C88" s="1" t="str">
        <f>IFERROR(__xludf.DUMMYFUNCTION("""COMPUTED_VALUE"""),"August 25, 2023[5]")</f>
        <v>August 25, 2023[5]</v>
      </c>
      <c r="D88" s="1" t="str">
        <f>IFERROR(__xludf.DUMMYFUNCTION("""COMPUTED_VALUE"""),"1 h 27 min")</f>
        <v>1 h 27 min</v>
      </c>
      <c r="E88" s="1" t="str">
        <f>IFERROR(__xludf.DUMMYFUNCTION("""COMPUTED_VALUE"""),"Spanish")</f>
        <v>Spanish</v>
      </c>
      <c r="F88" s="2" t="s">
        <v>11</v>
      </c>
      <c r="G88" s="4" t="str">
        <f t="shared" si="1"/>
        <v>1</v>
      </c>
      <c r="H88" s="1" t="str">
        <f t="shared" si="2"/>
        <v>27</v>
      </c>
      <c r="I88" s="1">
        <f t="shared" si="3"/>
        <v>87</v>
      </c>
    </row>
    <row r="89">
      <c r="A89" s="1" t="str">
        <f>IFERROR(__xludf.DUMMYFUNCTION("""COMPUTED_VALUE"""),"*You Are So Not Invited To My Bat Mitzvah*[6]")</f>
        <v>*You Are So Not Invited To My Bat Mitzvah*[6]</v>
      </c>
      <c r="B89" s="1" t="str">
        <f>IFERROR(__xludf.DUMMYFUNCTION("""COMPUTED_VALUE"""),"Coming-of-age")</f>
        <v>Coming-of-age</v>
      </c>
      <c r="C89" s="1" t="str">
        <f>IFERROR(__xludf.DUMMYFUNCTION("""COMPUTED_VALUE"""),"August 25, 2023[7]")</f>
        <v>August 25, 2023[7]</v>
      </c>
      <c r="D89" s="1" t="str">
        <f>IFERROR(__xludf.DUMMYFUNCTION("""COMPUTED_VALUE"""),"1 h 41 min")</f>
        <v>1 h 41 min</v>
      </c>
      <c r="E89" s="1" t="str">
        <f>IFERROR(__xludf.DUMMYFUNCTION("""COMPUTED_VALUE"""),"English")</f>
        <v>English</v>
      </c>
      <c r="F89" s="2" t="s">
        <v>11</v>
      </c>
      <c r="G89" s="4" t="str">
        <f t="shared" si="1"/>
        <v>1</v>
      </c>
      <c r="H89" s="1" t="str">
        <f t="shared" si="2"/>
        <v>41</v>
      </c>
      <c r="I89" s="1">
        <f t="shared" si="3"/>
        <v>101</v>
      </c>
    </row>
    <row r="90">
      <c r="A90" s="1" t="str">
        <f>IFERROR(__xludf.DUMMYFUNCTION("""COMPUTED_VALUE"""),"*The Great Seduction*[8]")</f>
        <v>*The Great Seduction*[8]</v>
      </c>
      <c r="B90" s="1" t="str">
        <f>IFERROR(__xludf.DUMMYFUNCTION("""COMPUTED_VALUE"""),"Dramedy")</f>
        <v>Dramedy</v>
      </c>
      <c r="C90" s="3">
        <f>IFERROR(__xludf.DUMMYFUNCTION("""COMPUTED_VALUE"""),45168.0)</f>
        <v>45168</v>
      </c>
      <c r="D90" s="1" t="str">
        <f>IFERROR(__xludf.DUMMYFUNCTION("""COMPUTED_VALUE"""),"TBA")</f>
        <v>TBA</v>
      </c>
      <c r="E90" s="1" t="str">
        <f>IFERROR(__xludf.DUMMYFUNCTION("""COMPUTED_VALUE"""),"Spanish")</f>
        <v>Spanish</v>
      </c>
      <c r="F90" s="2" t="s">
        <v>11</v>
      </c>
      <c r="G90" s="5">
        <v>0.0</v>
      </c>
      <c r="H90" s="1" t="str">
        <f t="shared" si="2"/>
        <v/>
      </c>
      <c r="I90" s="1">
        <f t="shared" si="3"/>
        <v>0</v>
      </c>
    </row>
    <row r="91">
      <c r="A91" s="1" t="str">
        <f>IFERROR(__xludf.DUMMYFUNCTION("""COMPUTED_VALUE"""),"*A Day and a Half*[9]")</f>
        <v>*A Day and a Half*[9]</v>
      </c>
      <c r="B91" s="1" t="str">
        <f>IFERROR(__xludf.DUMMYFUNCTION("""COMPUTED_VALUE"""),"Thriller")</f>
        <v>Thriller</v>
      </c>
      <c r="C91" s="1" t="str">
        <f>IFERROR(__xludf.DUMMYFUNCTION("""COMPUTED_VALUE"""),"September 1, 2023[10]")</f>
        <v>September 1, 2023[10]</v>
      </c>
      <c r="D91" s="1" t="str">
        <f>IFERROR(__xludf.DUMMYFUNCTION("""COMPUTED_VALUE"""),"1 h 34 min")</f>
        <v>1 h 34 min</v>
      </c>
      <c r="E91" s="1" t="str">
        <f>IFERROR(__xludf.DUMMYFUNCTION("""COMPUTED_VALUE"""),"Swedish")</f>
        <v>Swedish</v>
      </c>
      <c r="F91" s="2" t="s">
        <v>12</v>
      </c>
      <c r="G91" s="4" t="str">
        <f>LEFT(D91,1)</f>
        <v>1</v>
      </c>
      <c r="H91" s="1" t="str">
        <f t="shared" si="2"/>
        <v>34</v>
      </c>
      <c r="I91" s="1">
        <f t="shared" si="3"/>
        <v>94</v>
      </c>
    </row>
    <row r="92">
      <c r="A92" s="1" t="str">
        <f>IFERROR(__xludf.DUMMYFUNCTION("""COMPUTED_VALUE"""),"*Friday Night Plan*[11]")</f>
        <v>*Friday Night Plan*[11]</v>
      </c>
      <c r="B92" s="1" t="str">
        <f>IFERROR(__xludf.DUMMYFUNCTION("""COMPUTED_VALUE"""),"Coming-of-age")</f>
        <v>Coming-of-age</v>
      </c>
      <c r="C92" s="3">
        <f>IFERROR(__xludf.DUMMYFUNCTION("""COMPUTED_VALUE"""),45170.0)</f>
        <v>45170</v>
      </c>
      <c r="D92" s="1" t="str">
        <f>IFERROR(__xludf.DUMMYFUNCTION("""COMPUTED_VALUE"""),"TBA")</f>
        <v>TBA</v>
      </c>
      <c r="E92" s="1" t="str">
        <f>IFERROR(__xludf.DUMMYFUNCTION("""COMPUTED_VALUE"""),"Hindi")</f>
        <v>Hindi</v>
      </c>
      <c r="F92" s="2" t="s">
        <v>12</v>
      </c>
      <c r="G92" s="5">
        <v>0.0</v>
      </c>
      <c r="H92" s="1" t="str">
        <f t="shared" si="2"/>
        <v/>
      </c>
      <c r="I92" s="1">
        <f t="shared" si="3"/>
        <v>0</v>
      </c>
    </row>
    <row r="93">
      <c r="A93" s="1" t="str">
        <f>IFERROR(__xludf.DUMMYFUNCTION("""COMPUTED_VALUE"""),"*Happy Ending*[12]")</f>
        <v>*Happy Ending*[12]</v>
      </c>
      <c r="B93" s="1" t="str">
        <f>IFERROR(__xludf.DUMMYFUNCTION("""COMPUTED_VALUE"""),"Comedy")</f>
        <v>Comedy</v>
      </c>
      <c r="C93" s="1" t="str">
        <f>IFERROR(__xludf.DUMMYFUNCTION("""COMPUTED_VALUE"""),"September 1, 2023[13]")</f>
        <v>September 1, 2023[13]</v>
      </c>
      <c r="D93" s="1" t="str">
        <f>IFERROR(__xludf.DUMMYFUNCTION("""COMPUTED_VALUE"""),"1 h 32 min")</f>
        <v>1 h 32 min</v>
      </c>
      <c r="E93" s="1" t="str">
        <f>IFERROR(__xludf.DUMMYFUNCTION("""COMPUTED_VALUE"""),"Dutch")</f>
        <v>Dutch</v>
      </c>
      <c r="F93" s="2" t="s">
        <v>12</v>
      </c>
      <c r="G93" s="4" t="str">
        <f t="shared" ref="G93:G94" si="4">LEFT(D93,1)</f>
        <v>1</v>
      </c>
      <c r="H93" s="1" t="str">
        <f t="shared" si="2"/>
        <v>32</v>
      </c>
      <c r="I93" s="1">
        <f t="shared" si="3"/>
        <v>92</v>
      </c>
    </row>
    <row r="94">
      <c r="A94" s="1" t="str">
        <f>IFERROR(__xludf.DUMMYFUNCTION("""COMPUTED_VALUE"""),"*What If?*[14]")</f>
        <v>*What If?*[14]</v>
      </c>
      <c r="B94" s="1" t="str">
        <f>IFERROR(__xludf.DUMMYFUNCTION("""COMPUTED_VALUE"""),"Romantic drama")</f>
        <v>Romantic drama</v>
      </c>
      <c r="C94" s="3">
        <f>IFERROR(__xludf.DUMMYFUNCTION("""COMPUTED_VALUE"""),45176.0)</f>
        <v>45176</v>
      </c>
      <c r="D94" s="1" t="str">
        <f>IFERROR(__xludf.DUMMYFUNCTION("""COMPUTED_VALUE"""),"1 h 52 min")</f>
        <v>1 h 52 min</v>
      </c>
      <c r="E94" s="1" t="str">
        <f>IFERROR(__xludf.DUMMYFUNCTION("""COMPUTED_VALUE"""),"Filipino")</f>
        <v>Filipino</v>
      </c>
      <c r="F94" s="2" t="s">
        <v>12</v>
      </c>
      <c r="G94" s="4" t="str">
        <f t="shared" si="4"/>
        <v>1</v>
      </c>
      <c r="H94" s="1" t="str">
        <f t="shared" si="2"/>
        <v>52</v>
      </c>
      <c r="I94" s="1">
        <f t="shared" si="3"/>
        <v>112</v>
      </c>
    </row>
    <row r="95">
      <c r="A95" s="1" t="str">
        <f>IFERROR(__xludf.DUMMYFUNCTION("""COMPUTED_VALUE"""),"*Freestyle*[15]")</f>
        <v>*Freestyle*[15]</v>
      </c>
      <c r="B95" s="1" t="str">
        <f>IFERROR(__xludf.DUMMYFUNCTION("""COMPUTED_VALUE"""),"Thriller")</f>
        <v>Thriller</v>
      </c>
      <c r="C95" s="1" t="str">
        <f>IFERROR(__xludf.DUMMYFUNCTION("""COMPUTED_VALUE"""),"September 13, 2023[16]")</f>
        <v>September 13, 2023[16]</v>
      </c>
      <c r="D95" s="1" t="str">
        <f>IFERROR(__xludf.DUMMYFUNCTION("""COMPUTED_VALUE"""),"TBA")</f>
        <v>TBA</v>
      </c>
      <c r="E95" s="1" t="str">
        <f>IFERROR(__xludf.DUMMYFUNCTION("""COMPUTED_VALUE"""),"Polish")</f>
        <v>Polish</v>
      </c>
      <c r="F95" s="2" t="s">
        <v>12</v>
      </c>
      <c r="G95" s="5">
        <v>0.0</v>
      </c>
      <c r="H95" s="1" t="str">
        <f t="shared" si="2"/>
        <v/>
      </c>
      <c r="I95" s="1">
        <f t="shared" si="3"/>
        <v>0</v>
      </c>
    </row>
    <row r="96">
      <c r="A96" s="1" t="str">
        <f>IFERROR(__xludf.DUMMYFUNCTION("""COMPUTED_VALUE"""),"*Ehrengard: The Art of Seduction*[17]")</f>
        <v>*Ehrengard: The Art of Seduction*[17]</v>
      </c>
      <c r="B96" s="1" t="str">
        <f>IFERROR(__xludf.DUMMYFUNCTION("""COMPUTED_VALUE"""),"Romantic comedy")</f>
        <v>Romantic comedy</v>
      </c>
      <c r="C96" s="1" t="str">
        <f>IFERROR(__xludf.DUMMYFUNCTION("""COMPUTED_VALUE"""),"September 14, 2023[18][19]")</f>
        <v>September 14, 2023[18][19]</v>
      </c>
      <c r="D96" s="1" t="str">
        <f>IFERROR(__xludf.DUMMYFUNCTION("""COMPUTED_VALUE"""),"1 h 33 min")</f>
        <v>1 h 33 min</v>
      </c>
      <c r="E96" s="1" t="str">
        <f>IFERROR(__xludf.DUMMYFUNCTION("""COMPUTED_VALUE"""),"Danish")</f>
        <v>Danish</v>
      </c>
      <c r="F96" s="2" t="s">
        <v>12</v>
      </c>
      <c r="G96" s="4" t="str">
        <f t="shared" ref="G96:G97" si="5">LEFT(D96,1)</f>
        <v>1</v>
      </c>
      <c r="H96" s="1" t="str">
        <f t="shared" si="2"/>
        <v>33</v>
      </c>
      <c r="I96" s="1">
        <f t="shared" si="3"/>
        <v>93</v>
      </c>
    </row>
    <row r="97">
      <c r="A97" s="1" t="str">
        <f>IFERROR(__xludf.DUMMYFUNCTION("""COMPUTED_VALUE"""),"*Once Upon a Crime*")</f>
        <v>*Once Upon a Crime*</v>
      </c>
      <c r="B97" s="1" t="str">
        <f>IFERROR(__xludf.DUMMYFUNCTION("""COMPUTED_VALUE"""),"Fantasy")</f>
        <v>Fantasy</v>
      </c>
      <c r="C97" s="1" t="str">
        <f>IFERROR(__xludf.DUMMYFUNCTION("""COMPUTED_VALUE"""),"September 14, 2023[20]")</f>
        <v>September 14, 2023[20]</v>
      </c>
      <c r="D97" s="1" t="str">
        <f>IFERROR(__xludf.DUMMYFUNCTION("""COMPUTED_VALUE"""),"1 h 45 min")</f>
        <v>1 h 45 min</v>
      </c>
      <c r="E97" s="1" t="str">
        <f>IFERROR(__xludf.DUMMYFUNCTION("""COMPUTED_VALUE"""),"Japanese")</f>
        <v>Japanese</v>
      </c>
      <c r="F97" s="2" t="s">
        <v>12</v>
      </c>
      <c r="G97" s="4" t="str">
        <f t="shared" si="5"/>
        <v>1</v>
      </c>
      <c r="H97" s="1" t="str">
        <f t="shared" si="2"/>
        <v>45</v>
      </c>
      <c r="I97" s="1">
        <f t="shared" si="3"/>
        <v>105</v>
      </c>
    </row>
    <row r="98">
      <c r="A98" s="1" t="str">
        <f>IFERROR(__xludf.DUMMYFUNCTION("""COMPUTED_VALUE"""),"*El Conde*[21]")</f>
        <v>*El Conde*[21]</v>
      </c>
      <c r="B98" s="1" t="str">
        <f>IFERROR(__xludf.DUMMYFUNCTION("""COMPUTED_VALUE"""),"Black comedy")</f>
        <v>Black comedy</v>
      </c>
      <c r="C98" s="1" t="str">
        <f>IFERROR(__xludf.DUMMYFUNCTION("""COMPUTED_VALUE"""),"September 15, 2023[22]")</f>
        <v>September 15, 2023[22]</v>
      </c>
      <c r="D98" s="1" t="str">
        <f>IFERROR(__xludf.DUMMYFUNCTION("""COMPUTED_VALUE"""),"TBA")</f>
        <v>TBA</v>
      </c>
      <c r="E98" s="1" t="str">
        <f>IFERROR(__xludf.DUMMYFUNCTION("""COMPUTED_VALUE"""),"Spanish")</f>
        <v>Spanish</v>
      </c>
      <c r="F98" s="2" t="s">
        <v>12</v>
      </c>
      <c r="G98" s="5">
        <v>0.0</v>
      </c>
      <c r="H98" s="1" t="str">
        <f t="shared" si="2"/>
        <v/>
      </c>
      <c r="I98" s="1">
        <f t="shared" si="3"/>
        <v>0</v>
      </c>
    </row>
    <row r="99">
      <c r="A99" s="1" t="str">
        <f>IFERROR(__xludf.DUMMYFUNCTION("""COMPUTED_VALUE"""),"*Love at First Sight*[23]")</f>
        <v>*Love at First Sight*[23]</v>
      </c>
      <c r="B99" s="1" t="str">
        <f>IFERROR(__xludf.DUMMYFUNCTION("""COMPUTED_VALUE"""),"Romance")</f>
        <v>Romance</v>
      </c>
      <c r="C99" s="1" t="str">
        <f>IFERROR(__xludf.DUMMYFUNCTION("""COMPUTED_VALUE"""),"September 15, 2023[24]")</f>
        <v>September 15, 2023[24]</v>
      </c>
      <c r="D99" s="1" t="str">
        <f>IFERROR(__xludf.DUMMYFUNCTION("""COMPUTED_VALUE"""),"1 h 30 min")</f>
        <v>1 h 30 min</v>
      </c>
      <c r="E99" s="1" t="str">
        <f>IFERROR(__xludf.DUMMYFUNCTION("""COMPUTED_VALUE"""),"English")</f>
        <v>English</v>
      </c>
      <c r="F99" s="2" t="s">
        <v>12</v>
      </c>
      <c r="G99" s="4" t="str">
        <f>LEFT(D99,1)</f>
        <v>1</v>
      </c>
      <c r="H99" s="1" t="str">
        <f t="shared" si="2"/>
        <v>30</v>
      </c>
      <c r="I99" s="1">
        <f t="shared" si="3"/>
        <v>90</v>
      </c>
    </row>
    <row r="100">
      <c r="A100" s="1" t="str">
        <f>IFERROR(__xludf.DUMMYFUNCTION("""COMPUTED_VALUE"""),"*Spy Kids: Armageddon*[25][26]")</f>
        <v>*Spy Kids: Armageddon*[25][26]</v>
      </c>
      <c r="B100" s="1" t="str">
        <f>IFERROR(__xludf.DUMMYFUNCTION("""COMPUTED_VALUE"""),"Action-adventure")</f>
        <v>Action-adventure</v>
      </c>
      <c r="C100" s="1" t="str">
        <f>IFERROR(__xludf.DUMMYFUNCTION("""COMPUTED_VALUE"""),"September 22, 2023[27]")</f>
        <v>September 22, 2023[27]</v>
      </c>
      <c r="D100" s="1" t="str">
        <f>IFERROR(__xludf.DUMMYFUNCTION("""COMPUTED_VALUE"""),"TBA")</f>
        <v>TBA</v>
      </c>
      <c r="E100" s="1" t="str">
        <f>IFERROR(__xludf.DUMMYFUNCTION("""COMPUTED_VALUE"""),"English")</f>
        <v>English</v>
      </c>
      <c r="F100" s="2" t="s">
        <v>12</v>
      </c>
      <c r="G100" s="5">
        <v>0.0</v>
      </c>
      <c r="H100" s="1" t="str">
        <f t="shared" si="2"/>
        <v/>
      </c>
      <c r="I100" s="1">
        <f t="shared" si="3"/>
        <v>0</v>
      </c>
    </row>
    <row r="101">
      <c r="A101" s="1" t="str">
        <f>IFERROR(__xludf.DUMMYFUNCTION("""COMPUTED_VALUE"""),"*Street Flow 2*[28]")</f>
        <v>*Street Flow 2*[28]</v>
      </c>
      <c r="B101" s="1" t="str">
        <f>IFERROR(__xludf.DUMMYFUNCTION("""COMPUTED_VALUE"""),"Drama")</f>
        <v>Drama</v>
      </c>
      <c r="C101" s="1" t="str">
        <f>IFERROR(__xludf.DUMMYFUNCTION("""COMPUTED_VALUE"""),"September 27, 2023[29]")</f>
        <v>September 27, 2023[29]</v>
      </c>
      <c r="D101" s="1" t="str">
        <f>IFERROR(__xludf.DUMMYFUNCTION("""COMPUTED_VALUE"""),"1 h 36 min")</f>
        <v>1 h 36 min</v>
      </c>
      <c r="E101" s="1" t="str">
        <f>IFERROR(__xludf.DUMMYFUNCTION("""COMPUTED_VALUE"""),"French")</f>
        <v>French</v>
      </c>
      <c r="F101" s="2" t="s">
        <v>12</v>
      </c>
      <c r="G101" s="4" t="str">
        <f t="shared" ref="G101:G109" si="6">LEFT(D101,1)</f>
        <v>1</v>
      </c>
      <c r="H101" s="1" t="str">
        <f t="shared" si="2"/>
        <v>36</v>
      </c>
      <c r="I101" s="1">
        <f t="shared" si="3"/>
        <v>96</v>
      </c>
    </row>
    <row r="102">
      <c r="A102" s="1" t="str">
        <f>IFERROR(__xludf.DUMMYFUNCTION("""COMPUTED_VALUE"""),"*Overhaul*[30]")</f>
        <v>*Overhaul*[30]</v>
      </c>
      <c r="B102" s="1" t="str">
        <f>IFERROR(__xludf.DUMMYFUNCTION("""COMPUTED_VALUE"""),"Action drama")</f>
        <v>Action drama</v>
      </c>
      <c r="C102" s="1" t="str">
        <f>IFERROR(__xludf.DUMMYFUNCTION("""COMPUTED_VALUE"""),"September 27, 2023[31]")</f>
        <v>September 27, 2023[31]</v>
      </c>
      <c r="D102" s="1" t="str">
        <f>IFERROR(__xludf.DUMMYFUNCTION("""COMPUTED_VALUE"""),"1 h 38 min")</f>
        <v>1 h 38 min</v>
      </c>
      <c r="E102" s="1" t="str">
        <f>IFERROR(__xludf.DUMMYFUNCTION("""COMPUTED_VALUE"""),"Portuguese")</f>
        <v>Portuguese</v>
      </c>
      <c r="F102" s="2" t="s">
        <v>12</v>
      </c>
      <c r="G102" s="4" t="str">
        <f t="shared" si="6"/>
        <v>1</v>
      </c>
      <c r="H102" s="1" t="str">
        <f t="shared" si="2"/>
        <v>38</v>
      </c>
      <c r="I102" s="1">
        <f t="shared" si="3"/>
        <v>98</v>
      </c>
    </row>
    <row r="103">
      <c r="A103" s="1" t="str">
        <f>IFERROR(__xludf.DUMMYFUNCTION("""COMPUTED_VALUE"""),"*Nowhere*[32]")</f>
        <v>*Nowhere*[32]</v>
      </c>
      <c r="B103" s="1" t="str">
        <f>IFERROR(__xludf.DUMMYFUNCTION("""COMPUTED_VALUE"""),"Thriller")</f>
        <v>Thriller</v>
      </c>
      <c r="C103" s="1" t="str">
        <f>IFERROR(__xludf.DUMMYFUNCTION("""COMPUTED_VALUE"""),"September 29, 2023[33]")</f>
        <v>September 29, 2023[33]</v>
      </c>
      <c r="D103" s="1" t="str">
        <f>IFERROR(__xludf.DUMMYFUNCTION("""COMPUTED_VALUE"""),"1 h 49 min")</f>
        <v>1 h 49 min</v>
      </c>
      <c r="E103" s="1" t="str">
        <f>IFERROR(__xludf.DUMMYFUNCTION("""COMPUTED_VALUE"""),"Spanish")</f>
        <v>Spanish</v>
      </c>
      <c r="F103" s="2" t="s">
        <v>12</v>
      </c>
      <c r="G103" s="4" t="str">
        <f t="shared" si="6"/>
        <v>1</v>
      </c>
      <c r="H103" s="1" t="str">
        <f t="shared" si="2"/>
        <v>49</v>
      </c>
      <c r="I103" s="1">
        <f t="shared" si="3"/>
        <v>109</v>
      </c>
    </row>
    <row r="104">
      <c r="A104" s="1" t="str">
        <f>IFERROR(__xludf.DUMMYFUNCTION("""COMPUTED_VALUE"""),"*Ballerina*[34]")</f>
        <v>*Ballerina*[34]</v>
      </c>
      <c r="B104" s="1" t="str">
        <f>IFERROR(__xludf.DUMMYFUNCTION("""COMPUTED_VALUE"""),"Thriller")</f>
        <v>Thriller</v>
      </c>
      <c r="C104" s="1" t="str">
        <f>IFERROR(__xludf.DUMMYFUNCTION("""COMPUTED_VALUE"""),"October 6, 2023[31]")</f>
        <v>October 6, 2023[31]</v>
      </c>
      <c r="D104" s="1" t="str">
        <f>IFERROR(__xludf.DUMMYFUNCTION("""COMPUTED_VALUE"""),"1 h 32 min")</f>
        <v>1 h 32 min</v>
      </c>
      <c r="E104" s="1" t="str">
        <f>IFERROR(__xludf.DUMMYFUNCTION("""COMPUTED_VALUE"""),"Korean")</f>
        <v>Korean</v>
      </c>
      <c r="F104" s="2" t="s">
        <v>13</v>
      </c>
      <c r="G104" s="4" t="str">
        <f t="shared" si="6"/>
        <v>1</v>
      </c>
      <c r="H104" s="1" t="str">
        <f t="shared" si="2"/>
        <v>32</v>
      </c>
      <c r="I104" s="1">
        <f t="shared" si="3"/>
        <v>92</v>
      </c>
    </row>
    <row r="105">
      <c r="A105" s="1" t="str">
        <f>IFERROR(__xludf.DUMMYFUNCTION("""COMPUTED_VALUE"""),"*Reptile*[35][36]")</f>
        <v>*Reptile*[35][36]</v>
      </c>
      <c r="B105" s="1" t="str">
        <f>IFERROR(__xludf.DUMMYFUNCTION("""COMPUTED_VALUE"""),"Crime drama")</f>
        <v>Crime drama</v>
      </c>
      <c r="C105" s="1" t="str">
        <f>IFERROR(__xludf.DUMMYFUNCTION("""COMPUTED_VALUE"""),"October 6, 2023[37][38]")</f>
        <v>October 6, 2023[37][38]</v>
      </c>
      <c r="D105" s="1" t="str">
        <f>IFERROR(__xludf.DUMMYFUNCTION("""COMPUTED_VALUE"""),"2 h 14 min")</f>
        <v>2 h 14 min</v>
      </c>
      <c r="E105" s="1" t="str">
        <f>IFERROR(__xludf.DUMMYFUNCTION("""COMPUTED_VALUE"""),"English")</f>
        <v>English</v>
      </c>
      <c r="F105" s="2" t="s">
        <v>13</v>
      </c>
      <c r="G105" s="4" t="str">
        <f t="shared" si="6"/>
        <v>2</v>
      </c>
      <c r="H105" s="1" t="str">
        <f t="shared" si="2"/>
        <v>14</v>
      </c>
      <c r="I105" s="1">
        <f t="shared" si="3"/>
        <v>134</v>
      </c>
    </row>
    <row r="106">
      <c r="A106" s="1" t="str">
        <f>IFERROR(__xludf.DUMMYFUNCTION("""COMPUTED_VALUE"""),"*Fair Play*[39]")</f>
        <v>*Fair Play*[39]</v>
      </c>
      <c r="B106" s="1" t="str">
        <f>IFERROR(__xludf.DUMMYFUNCTION("""COMPUTED_VALUE"""),"Erotic thriller")</f>
        <v>Erotic thriller</v>
      </c>
      <c r="C106" s="1" t="str">
        <f>IFERROR(__xludf.DUMMYFUNCTION("""COMPUTED_VALUE"""),"October 13, 2023[40]")</f>
        <v>October 13, 2023[40]</v>
      </c>
      <c r="D106" s="1" t="str">
        <f>IFERROR(__xludf.DUMMYFUNCTION("""COMPUTED_VALUE"""),"1 h 53 min")</f>
        <v>1 h 53 min</v>
      </c>
      <c r="E106" s="1" t="str">
        <f>IFERROR(__xludf.DUMMYFUNCTION("""COMPUTED_VALUE"""),"English")</f>
        <v>English</v>
      </c>
      <c r="F106" s="2" t="s">
        <v>13</v>
      </c>
      <c r="G106" s="4" t="str">
        <f t="shared" si="6"/>
        <v>1</v>
      </c>
      <c r="H106" s="1" t="str">
        <f t="shared" si="2"/>
        <v>53</v>
      </c>
      <c r="I106" s="1">
        <f t="shared" si="3"/>
        <v>113</v>
      </c>
    </row>
    <row r="107">
      <c r="A107" s="1" t="str">
        <f>IFERROR(__xludf.DUMMYFUNCTION("""COMPUTED_VALUE"""),"*Pain Hustlers*[41][42][43]")</f>
        <v>*Pain Hustlers*[41][42][43]</v>
      </c>
      <c r="B107" s="1" t="str">
        <f>IFERROR(__xludf.DUMMYFUNCTION("""COMPUTED_VALUE"""),"Crime drama")</f>
        <v>Crime drama</v>
      </c>
      <c r="C107" s="1" t="str">
        <f>IFERROR(__xludf.DUMMYFUNCTION("""COMPUTED_VALUE"""),"October 27, 2023[44][38]")</f>
        <v>October 27, 2023[44][38]</v>
      </c>
      <c r="D107" s="1" t="str">
        <f>IFERROR(__xludf.DUMMYFUNCTION("""COMPUTED_VALUE"""),"2 h 2 min")</f>
        <v>2 h 2 min</v>
      </c>
      <c r="E107" s="1" t="str">
        <f>IFERROR(__xludf.DUMMYFUNCTION("""COMPUTED_VALUE"""),"English")</f>
        <v>English</v>
      </c>
      <c r="F107" s="2" t="s">
        <v>13</v>
      </c>
      <c r="G107" s="4" t="str">
        <f t="shared" si="6"/>
        <v>2</v>
      </c>
      <c r="H107" s="1" t="str">
        <f t="shared" si="2"/>
        <v>2 </v>
      </c>
      <c r="I107" s="1">
        <f t="shared" si="3"/>
        <v>122</v>
      </c>
    </row>
    <row r="108">
      <c r="A108" s="1" t="str">
        <f>IFERROR(__xludf.DUMMYFUNCTION("""COMPUTED_VALUE"""),"*Wingwomen*[45][46]")</f>
        <v>*Wingwomen*[45][46]</v>
      </c>
      <c r="B108" s="1" t="str">
        <f>IFERROR(__xludf.DUMMYFUNCTION("""COMPUTED_VALUE"""),"Actiondramedy")</f>
        <v>Actiondramedy</v>
      </c>
      <c r="C108" s="1" t="str">
        <f>IFERROR(__xludf.DUMMYFUNCTION("""COMPUTED_VALUE"""),"November 1, 2023[47]")</f>
        <v>November 1, 2023[47]</v>
      </c>
      <c r="D108" s="1" t="str">
        <f>IFERROR(__xludf.DUMMYFUNCTION("""COMPUTED_VALUE"""),"1 h 54 min")</f>
        <v>1 h 54 min</v>
      </c>
      <c r="E108" s="1" t="str">
        <f>IFERROR(__xludf.DUMMYFUNCTION("""COMPUTED_VALUE"""),"French")</f>
        <v>French</v>
      </c>
      <c r="F108" s="2" t="s">
        <v>14</v>
      </c>
      <c r="G108" s="4" t="str">
        <f t="shared" si="6"/>
        <v>1</v>
      </c>
      <c r="H108" s="1" t="str">
        <f t="shared" si="2"/>
        <v>54</v>
      </c>
      <c r="I108" s="1">
        <f t="shared" si="3"/>
        <v>114</v>
      </c>
    </row>
    <row r="109">
      <c r="A109" s="1" t="str">
        <f>IFERROR(__xludf.DUMMYFUNCTION("""COMPUTED_VALUE"""),"*The Killer*[48][49]")</f>
        <v>*The Killer*[48][49]</v>
      </c>
      <c r="B109" s="1" t="str">
        <f>IFERROR(__xludf.DUMMYFUNCTION("""COMPUTED_VALUE"""),"Neo-noiraction thriller")</f>
        <v>Neo-noiraction thriller</v>
      </c>
      <c r="C109" s="1" t="str">
        <f>IFERROR(__xludf.DUMMYFUNCTION("""COMPUTED_VALUE"""),"November 10, 2023[44][38]")</f>
        <v>November 10, 2023[44][38]</v>
      </c>
      <c r="D109" s="1" t="str">
        <f>IFERROR(__xludf.DUMMYFUNCTION("""COMPUTED_VALUE"""),"1 h 57 min")</f>
        <v>1 h 57 min</v>
      </c>
      <c r="E109" s="1" t="str">
        <f>IFERROR(__xludf.DUMMYFUNCTION("""COMPUTED_VALUE"""),"English")</f>
        <v>English</v>
      </c>
      <c r="F109" s="2" t="s">
        <v>14</v>
      </c>
      <c r="G109" s="4" t="str">
        <f t="shared" si="6"/>
        <v>1</v>
      </c>
      <c r="H109" s="1" t="str">
        <f t="shared" si="2"/>
        <v>57</v>
      </c>
      <c r="I109" s="1">
        <f t="shared" si="3"/>
        <v>117</v>
      </c>
    </row>
    <row r="110">
      <c r="A110" s="1" t="str">
        <f>IFERROR(__xludf.DUMMYFUNCTION("""COMPUTED_VALUE"""),"*Best. Christmas. Ever.*[50][51]")</f>
        <v>*Best. Christmas. Ever.*[50][51]</v>
      </c>
      <c r="B110" s="1" t="str">
        <f>IFERROR(__xludf.DUMMYFUNCTION("""COMPUTED_VALUE"""),"Romantic comedy")</f>
        <v>Romantic comedy</v>
      </c>
      <c r="C110" s="1" t="str">
        <f>IFERROR(__xludf.DUMMYFUNCTION("""COMPUTED_VALUE"""),"November 16, 2023[38][52]")</f>
        <v>November 16, 2023[38][52]</v>
      </c>
      <c r="D110" s="1" t="str">
        <f>IFERROR(__xludf.DUMMYFUNCTION("""COMPUTED_VALUE"""),"TBA")</f>
        <v>TBA</v>
      </c>
      <c r="E110" s="1" t="str">
        <f>IFERROR(__xludf.DUMMYFUNCTION("""COMPUTED_VALUE"""),"English")</f>
        <v>English</v>
      </c>
      <c r="F110" s="2" t="s">
        <v>14</v>
      </c>
      <c r="G110" s="5">
        <v>0.0</v>
      </c>
      <c r="H110" s="1" t="str">
        <f t="shared" si="2"/>
        <v/>
      </c>
      <c r="I110" s="1">
        <f t="shared" si="3"/>
        <v>0</v>
      </c>
    </row>
    <row r="111">
      <c r="A111" s="1" t="str">
        <f>IFERROR(__xludf.DUMMYFUNCTION("""COMPUTED_VALUE"""),"*Rustin*[53]")</f>
        <v>*Rustin*[53]</v>
      </c>
      <c r="B111" s="1" t="str">
        <f>IFERROR(__xludf.DUMMYFUNCTION("""COMPUTED_VALUE"""),"Biographical drama")</f>
        <v>Biographical drama</v>
      </c>
      <c r="C111" s="1" t="str">
        <f>IFERROR(__xludf.DUMMYFUNCTION("""COMPUTED_VALUE"""),"November 17, 2023[54]")</f>
        <v>November 17, 2023[54]</v>
      </c>
      <c r="D111" s="1" t="str">
        <f>IFERROR(__xludf.DUMMYFUNCTION("""COMPUTED_VALUE"""),"1 h 39 min")</f>
        <v>1 h 39 min</v>
      </c>
      <c r="E111" s="1" t="str">
        <f>IFERROR(__xludf.DUMMYFUNCTION("""COMPUTED_VALUE"""),"English")</f>
        <v>English</v>
      </c>
      <c r="F111" s="2" t="s">
        <v>14</v>
      </c>
      <c r="G111" s="4" t="str">
        <f>LEFT(D111,1)</f>
        <v>1</v>
      </c>
      <c r="H111" s="1" t="str">
        <f t="shared" si="2"/>
        <v>39</v>
      </c>
      <c r="I111" s="1">
        <f t="shared" si="3"/>
        <v>99</v>
      </c>
    </row>
    <row r="112">
      <c r="A112" s="1" t="str">
        <f>IFERROR(__xludf.DUMMYFUNCTION("""COMPUTED_VALUE"""),"*Cryptoshlag*")</f>
        <v>*Cryptoshlag*</v>
      </c>
      <c r="B112" s="1" t="str">
        <f>IFERROR(__xludf.DUMMYFUNCTION("""COMPUTED_VALUE"""),"Comedy")</f>
        <v>Comedy</v>
      </c>
      <c r="C112" s="1" t="str">
        <f>IFERROR(__xludf.DUMMYFUNCTION("""COMPUTED_VALUE"""),"November 17, 2023[29]")</f>
        <v>November 17, 2023[29]</v>
      </c>
      <c r="D112" s="1" t="str">
        <f>IFERROR(__xludf.DUMMYFUNCTION("""COMPUTED_VALUE"""),"TBA")</f>
        <v>TBA</v>
      </c>
      <c r="E112" s="1" t="str">
        <f>IFERROR(__xludf.DUMMYFUNCTION("""COMPUTED_VALUE"""),"French")</f>
        <v>French</v>
      </c>
      <c r="F112" s="2" t="s">
        <v>14</v>
      </c>
      <c r="G112" s="5">
        <v>0.0</v>
      </c>
      <c r="H112" s="1" t="str">
        <f t="shared" si="2"/>
        <v/>
      </c>
      <c r="I112" s="1">
        <f t="shared" si="3"/>
        <v>0</v>
      </c>
    </row>
    <row r="113">
      <c r="A113" s="1" t="str">
        <f>IFERROR(__xludf.DUMMYFUNCTION("""COMPUTED_VALUE"""),"*Leo*[55]")</f>
        <v>*Leo*[55]</v>
      </c>
      <c r="B113" s="1" t="str">
        <f>IFERROR(__xludf.DUMMYFUNCTION("""COMPUTED_VALUE"""),"Animatedmusical")</f>
        <v>Animatedmusical</v>
      </c>
      <c r="C113" s="1" t="str">
        <f>IFERROR(__xludf.DUMMYFUNCTION("""COMPUTED_VALUE"""),"November 21, 2023[44][56]")</f>
        <v>November 21, 2023[44][56]</v>
      </c>
      <c r="D113" s="1" t="str">
        <f>IFERROR(__xludf.DUMMYFUNCTION("""COMPUTED_VALUE"""),"TBA")</f>
        <v>TBA</v>
      </c>
      <c r="E113" s="1" t="str">
        <f>IFERROR(__xludf.DUMMYFUNCTION("""COMPUTED_VALUE"""),"English")</f>
        <v>English</v>
      </c>
      <c r="F113" s="2" t="s">
        <v>14</v>
      </c>
      <c r="G113" s="5">
        <v>0.0</v>
      </c>
      <c r="H113" s="1" t="str">
        <f t="shared" si="2"/>
        <v/>
      </c>
      <c r="I113" s="1">
        <f t="shared" si="3"/>
        <v>0</v>
      </c>
    </row>
    <row r="114">
      <c r="A114" s="1" t="str">
        <f>IFERROR(__xludf.DUMMYFUNCTION("""COMPUTED_VALUE"""),"*Leave the World Behind*[57]")</f>
        <v>*Leave the World Behind*[57]</v>
      </c>
      <c r="B114" s="1" t="str">
        <f>IFERROR(__xludf.DUMMYFUNCTION("""COMPUTED_VALUE"""),"Drama")</f>
        <v>Drama</v>
      </c>
      <c r="C114" s="1" t="str">
        <f>IFERROR(__xludf.DUMMYFUNCTION("""COMPUTED_VALUE"""),"December 8, 2023[44][38]")</f>
        <v>December 8, 2023[44][38]</v>
      </c>
      <c r="D114" s="1" t="str">
        <f>IFERROR(__xludf.DUMMYFUNCTION("""COMPUTED_VALUE"""),"TBA")</f>
        <v>TBA</v>
      </c>
      <c r="E114" s="1" t="str">
        <f>IFERROR(__xludf.DUMMYFUNCTION("""COMPUTED_VALUE"""),"English")</f>
        <v>English</v>
      </c>
      <c r="F114" s="2" t="s">
        <v>15</v>
      </c>
      <c r="G114" s="5">
        <v>0.0</v>
      </c>
      <c r="H114" s="1" t="str">
        <f t="shared" si="2"/>
        <v/>
      </c>
      <c r="I114" s="1">
        <f t="shared" si="3"/>
        <v>0</v>
      </c>
    </row>
    <row r="115">
      <c r="A115" s="1" t="str">
        <f>IFERROR(__xludf.DUMMYFUNCTION("""COMPUTED_VALUE"""),"*Chicken Run: Dawn of the Nugget*[58]")</f>
        <v>*Chicken Run: Dawn of the Nugget*[58]</v>
      </c>
      <c r="B115" s="1" t="str">
        <f>IFERROR(__xludf.DUMMYFUNCTION("""COMPUTED_VALUE"""),"Stop motioncomedy")</f>
        <v>Stop motioncomedy</v>
      </c>
      <c r="C115" s="1" t="str">
        <f>IFERROR(__xludf.DUMMYFUNCTION("""COMPUTED_VALUE"""),"December 15, 2023[59][60]")</f>
        <v>December 15, 2023[59][60]</v>
      </c>
      <c r="D115" s="1" t="str">
        <f>IFERROR(__xludf.DUMMYFUNCTION("""COMPUTED_VALUE"""),"TBA")</f>
        <v>TBA</v>
      </c>
      <c r="E115" s="1" t="str">
        <f>IFERROR(__xludf.DUMMYFUNCTION("""COMPUTED_VALUE"""),"English")</f>
        <v>English</v>
      </c>
      <c r="F115" s="2" t="s">
        <v>15</v>
      </c>
      <c r="G115" s="5">
        <v>0.0</v>
      </c>
      <c r="H115" s="1" t="str">
        <f t="shared" si="2"/>
        <v/>
      </c>
      <c r="I115" s="1">
        <f t="shared" si="3"/>
        <v>0</v>
      </c>
    </row>
    <row r="116">
      <c r="A116" s="1" t="str">
        <f>IFERROR(__xludf.DUMMYFUNCTION("""COMPUTED_VALUE"""),"*Maestro*[61][62]")</f>
        <v>*Maestro*[61][62]</v>
      </c>
      <c r="B116" s="1" t="str">
        <f>IFERROR(__xludf.DUMMYFUNCTION("""COMPUTED_VALUE"""),"Biographical drama")</f>
        <v>Biographical drama</v>
      </c>
      <c r="C116" s="1" t="str">
        <f>IFERROR(__xludf.DUMMYFUNCTION("""COMPUTED_VALUE"""),"December 20, 2023[63]")</f>
        <v>December 20, 2023[63]</v>
      </c>
      <c r="D116" s="1" t="str">
        <f>IFERROR(__xludf.DUMMYFUNCTION("""COMPUTED_VALUE"""),"2 h 9 min")</f>
        <v>2 h 9 min</v>
      </c>
      <c r="E116" s="1" t="str">
        <f>IFERROR(__xludf.DUMMYFUNCTION("""COMPUTED_VALUE"""),"English")</f>
        <v>English</v>
      </c>
      <c r="F116" s="2" t="s">
        <v>15</v>
      </c>
      <c r="G116" s="4" t="str">
        <f>LEFT(D116,1)</f>
        <v>2</v>
      </c>
      <c r="H116" s="1" t="str">
        <f t="shared" si="2"/>
        <v>9 </v>
      </c>
      <c r="I116" s="1">
        <f t="shared" si="3"/>
        <v>129</v>
      </c>
    </row>
    <row r="117">
      <c r="A117" s="1" t="str">
        <f>IFERROR(__xludf.DUMMYFUNCTION("""COMPUTED_VALUE"""),"*Rebel Moon*[64][65][66]")</f>
        <v>*Rebel Moon*[64][65][66]</v>
      </c>
      <c r="B117" s="1" t="str">
        <f>IFERROR(__xludf.DUMMYFUNCTION("""COMPUTED_VALUE"""),"Space opera")</f>
        <v>Space opera</v>
      </c>
      <c r="C117" s="1" t="str">
        <f>IFERROR(__xludf.DUMMYFUNCTION("""COMPUTED_VALUE"""),"December 22, 2023[44][38]")</f>
        <v>December 22, 2023[44][38]</v>
      </c>
      <c r="D117" s="1" t="str">
        <f>IFERROR(__xludf.DUMMYFUNCTION("""COMPUTED_VALUE"""),"TBA")</f>
        <v>TBA</v>
      </c>
      <c r="E117" s="1" t="str">
        <f>IFERROR(__xludf.DUMMYFUNCTION("""COMPUTED_VALUE"""),"English")</f>
        <v>English</v>
      </c>
      <c r="F117" s="2" t="s">
        <v>15</v>
      </c>
      <c r="G117" s="5">
        <v>0.0</v>
      </c>
      <c r="H117" s="1" t="str">
        <f t="shared" si="2"/>
        <v/>
      </c>
      <c r="I117" s="1">
        <f t="shared" si="3"/>
        <v>0</v>
      </c>
    </row>
    <row r="118">
      <c r="A118" s="1" t="str">
        <f>IFERROR(__xludf.DUMMYFUNCTION("""COMPUTED_VALUE"""),"*Lift*[67][68]")</f>
        <v>*Lift*[67][68]</v>
      </c>
      <c r="B118" s="1" t="str">
        <f>IFERROR(__xludf.DUMMYFUNCTION("""COMPUTED_VALUE"""),"Action comedy-thriller")</f>
        <v>Action comedy-thriller</v>
      </c>
      <c r="C118" s="1" t="str">
        <f>IFERROR(__xludf.DUMMYFUNCTION("""COMPUTED_VALUE"""),"January 12, 2024[69]")</f>
        <v>January 12, 2024[69]</v>
      </c>
      <c r="D118" s="1" t="str">
        <f>IFERROR(__xludf.DUMMYFUNCTION("""COMPUTED_VALUE"""),"TBA")</f>
        <v>TBA</v>
      </c>
      <c r="E118" s="1" t="str">
        <f>IFERROR(__xludf.DUMMYFUNCTION("""COMPUTED_VALUE"""),"English")</f>
        <v>English</v>
      </c>
      <c r="F118" s="2" t="s">
        <v>15</v>
      </c>
      <c r="G118" s="5">
        <v>0.0</v>
      </c>
      <c r="H118" s="1" t="str">
        <f t="shared" si="2"/>
        <v/>
      </c>
      <c r="I118" s="1">
        <f t="shared" si="3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