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customer-churn-analysis\data\"/>
    </mc:Choice>
  </mc:AlternateContent>
  <xr:revisionPtr revIDLastSave="0" documentId="13_ncr:1_{109CF357-0C44-4DE8-9CFA-DE3B2AD8F8AB}" xr6:coauthVersionLast="47" xr6:coauthVersionMax="47" xr10:uidLastSave="{00000000-0000-0000-0000-000000000000}"/>
  <bookViews>
    <workbookView xWindow="14340" yWindow="0" windowWidth="14565" windowHeight="15585" firstSheet="1" activeTab="3" xr2:uid="{00000000-000D-0000-FFFF-FFFF00000000}"/>
  </bookViews>
  <sheets>
    <sheet name="Telco_Churn" sheetId="1" r:id="rId1"/>
    <sheet name="Data_Profile" sheetId="2" r:id="rId2"/>
    <sheet name="Churn Dashboard" sheetId="3" r:id="rId3"/>
    <sheet name="Key Insights" sheetId="4" r:id="rId4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3" l="1"/>
  <c r="I3" i="3"/>
  <c r="E3" i="3"/>
  <c r="A3" i="3"/>
  <c r="C68" i="2"/>
  <c r="B68" i="2"/>
  <c r="C67" i="2"/>
  <c r="B67" i="2"/>
  <c r="D69" i="2"/>
  <c r="C69" i="2"/>
  <c r="B69" i="2"/>
  <c r="B63" i="2"/>
  <c r="B61" i="2"/>
  <c r="B59" i="2"/>
  <c r="B57" i="2"/>
  <c r="B56" i="2"/>
  <c r="D52" i="2"/>
  <c r="D51" i="2"/>
  <c r="C52" i="2"/>
  <c r="C51" i="2"/>
  <c r="B52" i="2"/>
  <c r="B51" i="2"/>
  <c r="D47" i="2"/>
  <c r="D46" i="2"/>
  <c r="C47" i="2"/>
  <c r="C46" i="2"/>
  <c r="B46" i="2"/>
  <c r="B47" i="2"/>
  <c r="D42" i="2"/>
  <c r="C42" i="2"/>
  <c r="B42" i="2"/>
  <c r="C41" i="2"/>
  <c r="D41" i="2" s="1"/>
  <c r="B41" i="2"/>
  <c r="C37" i="2"/>
  <c r="D37" i="2" s="1"/>
  <c r="B37" i="2"/>
  <c r="C36" i="2"/>
  <c r="D36" i="2" s="1"/>
  <c r="B36" i="2"/>
  <c r="C35" i="2"/>
  <c r="D35" i="2" s="1"/>
  <c r="B35" i="2"/>
  <c r="C34" i="2"/>
  <c r="D34" i="2" s="1"/>
  <c r="B34" i="2"/>
  <c r="C30" i="2"/>
  <c r="C29" i="2"/>
  <c r="D29" i="2" s="1"/>
  <c r="C28" i="2"/>
  <c r="D28" i="2" s="1"/>
  <c r="C27" i="2"/>
  <c r="D27" i="2" s="1"/>
  <c r="C21" i="2"/>
  <c r="D21" i="2" s="1"/>
  <c r="B27" i="2"/>
  <c r="B30" i="2"/>
  <c r="D30" i="2" s="1"/>
  <c r="B29" i="2"/>
  <c r="B28" i="2"/>
  <c r="C23" i="2"/>
  <c r="D23" i="2" s="1"/>
  <c r="C22" i="2"/>
  <c r="D22" i="2" s="1"/>
  <c r="B23" i="2"/>
  <c r="B22" i="2"/>
  <c r="B21" i="2"/>
  <c r="B11" i="2"/>
  <c r="C17" i="2"/>
  <c r="C16" i="2"/>
  <c r="C15" i="2"/>
  <c r="B17" i="2"/>
  <c r="B16" i="2"/>
  <c r="B15" i="2"/>
  <c r="B10" i="2"/>
  <c r="B9" i="2"/>
  <c r="B6" i="2"/>
  <c r="B5" i="2"/>
  <c r="B4" i="2"/>
  <c r="B3" i="2"/>
  <c r="B2" i="2"/>
  <c r="D68" i="2" l="1"/>
  <c r="D67" i="2"/>
  <c r="D15" i="2"/>
  <c r="D16" i="2"/>
  <c r="D17" i="2"/>
</calcChain>
</file>

<file path=xl/sharedStrings.xml><?xml version="1.0" encoding="utf-8"?>
<sst xmlns="http://schemas.openxmlformats.org/spreadsheetml/2006/main" count="156967" uniqueCount="9972">
  <si>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</si>
  <si>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</si>
  <si>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</si>
  <si>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</si>
  <si>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</si>
  <si>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</si>
  <si>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</si>
  <si>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</si>
  <si>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</si>
  <si>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</si>
  <si>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</si>
  <si>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</si>
  <si>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</si>
  <si>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</si>
  <si>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</si>
  <si>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</si>
  <si>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</si>
  <si>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</si>
  <si>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</si>
  <si>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</si>
  <si>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</si>
  <si>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</si>
  <si>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</si>
  <si>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</si>
  <si>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</si>
  <si>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</si>
  <si>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</si>
  <si>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</si>
  <si>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</si>
  <si>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</si>
  <si>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</si>
  <si>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</si>
  <si>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</si>
  <si>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</si>
  <si>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</si>
  <si>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</si>
  <si>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</si>
  <si>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</si>
  <si>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</si>
  <si>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</si>
  <si>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</si>
  <si>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</si>
  <si>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</si>
  <si>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</si>
  <si>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</si>
  <si>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</si>
  <si>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</si>
  <si>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</si>
  <si>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</si>
  <si>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</si>
  <si>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</si>
  <si>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</si>
  <si>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</si>
  <si>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</si>
  <si>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</si>
  <si>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</si>
  <si>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</si>
  <si>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</si>
  <si>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</si>
  <si>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</si>
  <si>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</si>
  <si>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</si>
  <si>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</si>
  <si>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</si>
  <si>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</si>
  <si>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</si>
  <si>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</si>
  <si>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</si>
  <si>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</si>
  <si>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</si>
  <si>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</si>
  <si>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</si>
  <si>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</si>
  <si>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</si>
  <si>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</si>
  <si>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</si>
  <si>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</si>
  <si>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</si>
  <si>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</si>
  <si>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</si>
  <si>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</si>
  <si>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</si>
  <si>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</si>
  <si>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</si>
  <si>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</si>
  <si>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</si>
  <si>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</si>
  <si>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</si>
  <si>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</si>
  <si>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</si>
  <si>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</si>
  <si>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</si>
  <si>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</si>
  <si>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</si>
  <si>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</si>
  <si>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</si>
  <si>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</si>
  <si>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</si>
  <si>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</si>
  <si>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</si>
  <si>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</si>
  <si>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</si>
  <si>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</si>
  <si>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</si>
  <si>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</si>
  <si>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</si>
  <si>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</si>
  <si>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</si>
  <si>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</si>
  <si>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</si>
  <si>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</si>
  <si>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</si>
  <si>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</si>
  <si>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</si>
  <si>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</si>
  <si>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</si>
  <si>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</si>
  <si>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</si>
  <si>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</si>
  <si>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</si>
  <si>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</si>
  <si>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</si>
  <si>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</si>
  <si>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</si>
  <si>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</si>
  <si>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</si>
  <si>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</si>
  <si>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</si>
  <si>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</si>
  <si>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</si>
  <si>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</si>
  <si>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</si>
  <si>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</si>
  <si>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</si>
  <si>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</si>
  <si>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</si>
  <si>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</si>
  <si>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</si>
  <si>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</si>
  <si>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</si>
  <si>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</si>
  <si>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</si>
  <si>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</si>
  <si>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</si>
  <si>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</si>
  <si>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</si>
  <si>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</si>
  <si>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</si>
  <si>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</si>
  <si>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</si>
  <si>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</si>
  <si>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</si>
  <si>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</si>
  <si>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</si>
  <si>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</si>
  <si>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</si>
  <si>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</si>
  <si>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</si>
  <si>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</si>
  <si>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</si>
  <si>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</si>
  <si>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</si>
  <si>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</si>
  <si>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</si>
  <si>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</si>
  <si>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</si>
  <si>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</si>
  <si>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</si>
  <si>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</si>
  <si>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</si>
  <si>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</si>
  <si>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</si>
  <si>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</si>
  <si>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</si>
  <si>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</si>
  <si>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</si>
  <si>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</si>
  <si>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</si>
  <si>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</si>
  <si>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</si>
  <si>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</si>
  <si>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</si>
  <si>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</si>
  <si>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</si>
  <si>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</si>
  <si>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</si>
  <si>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</si>
  <si>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</si>
  <si>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</si>
  <si>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</si>
  <si>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</si>
  <si>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</si>
  <si>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</si>
  <si>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</si>
  <si>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</si>
  <si>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</si>
  <si>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</si>
  <si>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</si>
  <si>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</si>
  <si>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</si>
  <si>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</si>
  <si>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</si>
  <si>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</si>
  <si>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</si>
  <si>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</si>
  <si>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</si>
  <si>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</si>
  <si>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</si>
  <si>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</si>
  <si>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</si>
  <si>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</si>
  <si>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</si>
  <si>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</si>
  <si>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</si>
  <si>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</si>
  <si>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</si>
  <si>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</si>
  <si>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</si>
  <si>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</si>
  <si>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</si>
  <si>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</si>
  <si>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</si>
  <si>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</si>
  <si>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</si>
  <si>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</si>
  <si>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</si>
  <si>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</si>
  <si>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</si>
  <si>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</si>
  <si>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</si>
  <si>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</si>
  <si>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</si>
  <si>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</si>
  <si>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</si>
  <si>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</si>
  <si>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</si>
  <si>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</si>
  <si>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</si>
  <si>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</si>
  <si>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</si>
  <si>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</si>
  <si>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</si>
  <si>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</si>
  <si>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</si>
  <si>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</si>
  <si>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</si>
  <si>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</si>
  <si>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</si>
  <si>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</si>
  <si>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</si>
  <si>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</si>
  <si>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</si>
  <si>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</si>
  <si>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</si>
  <si>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</si>
  <si>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</si>
  <si>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</si>
  <si>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</si>
  <si>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</si>
  <si>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</si>
  <si>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</si>
  <si>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</si>
  <si>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</si>
  <si>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</si>
  <si>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</si>
  <si>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</si>
  <si>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</si>
  <si>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</si>
  <si>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</si>
  <si>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</si>
  <si>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</si>
  <si>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</si>
  <si>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</si>
  <si>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</si>
  <si>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</si>
  <si>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</si>
  <si>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</si>
  <si>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</si>
  <si>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</si>
  <si>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</si>
  <si>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</si>
  <si>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</si>
  <si>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</si>
  <si>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</si>
  <si>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</si>
  <si>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</si>
  <si>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</si>
  <si>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</si>
  <si>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</si>
  <si>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</si>
  <si>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</si>
  <si>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</si>
  <si>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</si>
  <si>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</si>
  <si>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</si>
  <si>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</si>
  <si>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</si>
  <si>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</si>
  <si>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</si>
  <si>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</si>
  <si>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</si>
  <si>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</si>
  <si>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</si>
  <si>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</si>
  <si>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</si>
  <si>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</si>
  <si>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</si>
  <si>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</si>
  <si>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</si>
  <si>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</si>
  <si>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</si>
  <si>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</si>
  <si>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</si>
  <si>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</si>
  <si>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</si>
  <si>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</si>
  <si>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</si>
  <si>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</si>
  <si>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</si>
  <si>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</si>
  <si>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</si>
  <si>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</si>
  <si>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</si>
  <si>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</si>
  <si>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</si>
  <si>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</si>
  <si>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</si>
  <si>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</si>
  <si>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</si>
  <si>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</si>
  <si>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</si>
  <si>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</si>
  <si>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</si>
  <si>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</si>
  <si>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</si>
  <si>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</si>
  <si>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</si>
  <si>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</si>
  <si>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</si>
  <si>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</si>
  <si>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</si>
  <si>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</si>
  <si>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</si>
  <si>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</si>
  <si>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</si>
  <si>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</si>
  <si>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</si>
  <si>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</si>
  <si>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</si>
  <si>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</si>
  <si>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</si>
  <si>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</si>
  <si>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</si>
  <si>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</si>
  <si>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</si>
  <si>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</si>
  <si>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</si>
  <si>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</si>
  <si>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</si>
  <si>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</si>
  <si>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</si>
  <si>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</si>
  <si>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</si>
  <si>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</si>
  <si>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</si>
  <si>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</si>
  <si>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</si>
  <si>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</si>
  <si>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</si>
  <si>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</si>
  <si>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</si>
  <si>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</si>
  <si>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</si>
  <si>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</si>
  <si>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</si>
  <si>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</si>
  <si>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</si>
  <si>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</si>
  <si>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</si>
  <si>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</si>
  <si>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</si>
  <si>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</si>
  <si>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</si>
  <si>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</si>
  <si>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</si>
  <si>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</si>
  <si>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</si>
  <si>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</si>
  <si>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</si>
  <si>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</si>
  <si>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</si>
  <si>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</si>
  <si>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</si>
  <si>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</si>
  <si>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</si>
  <si>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</si>
  <si>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</si>
  <si>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</si>
  <si>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</si>
  <si>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</si>
  <si>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</si>
  <si>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</si>
  <si>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</si>
  <si>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</si>
  <si>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</si>
  <si>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</si>
  <si>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</si>
  <si>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</si>
  <si>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</si>
  <si>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</si>
  <si>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</si>
  <si>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</si>
  <si>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</si>
  <si>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</si>
  <si>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</si>
  <si>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</si>
  <si>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</si>
  <si>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</si>
  <si>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</si>
  <si>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</si>
  <si>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</si>
  <si>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</si>
  <si>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</si>
  <si>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</si>
  <si>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</si>
  <si>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</si>
  <si>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</si>
  <si>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</si>
  <si>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</si>
  <si>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</si>
  <si>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</si>
  <si>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</si>
  <si>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</si>
  <si>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</si>
  <si>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</si>
  <si>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</si>
  <si>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</si>
  <si>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</si>
  <si>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</si>
  <si>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</si>
  <si>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</si>
  <si>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</si>
  <si>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</si>
  <si>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</si>
  <si>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</si>
  <si>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</si>
  <si>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</si>
  <si>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</si>
  <si>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</si>
  <si>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</si>
  <si>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</si>
  <si>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</si>
  <si>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</si>
  <si>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</si>
  <si>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</si>
  <si>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</si>
  <si>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</si>
  <si>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</si>
  <si>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</si>
  <si>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</si>
  <si>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</si>
  <si>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</si>
  <si>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</si>
  <si>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</si>
  <si>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</si>
  <si>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</si>
  <si>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</si>
  <si>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</si>
  <si>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</si>
  <si>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</si>
  <si>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</si>
  <si>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</si>
  <si>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</si>
  <si>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</si>
  <si>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</si>
  <si>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</si>
  <si>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</si>
  <si>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</si>
  <si>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</si>
  <si>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</si>
  <si>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</si>
  <si>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</si>
  <si>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</si>
  <si>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</si>
  <si>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</si>
  <si>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</si>
  <si>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</si>
  <si>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</si>
  <si>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</si>
  <si>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</si>
  <si>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</si>
  <si>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</si>
  <si>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</si>
  <si>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</si>
  <si>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</si>
  <si>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</si>
  <si>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</si>
  <si>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</si>
  <si>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</si>
  <si>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</si>
  <si>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</si>
  <si>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</si>
  <si>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</si>
  <si>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</si>
  <si>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</si>
  <si>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</si>
  <si>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</si>
  <si>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</si>
  <si>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</si>
  <si>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</si>
  <si>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</si>
  <si>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</si>
  <si>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</si>
  <si>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</si>
  <si>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</si>
  <si>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</si>
  <si>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</si>
  <si>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</si>
  <si>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</si>
  <si>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</si>
  <si>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</si>
  <si>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</si>
  <si>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</si>
  <si>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</si>
  <si>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</si>
  <si>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</si>
  <si>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</si>
  <si>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</si>
  <si>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</si>
  <si>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</si>
  <si>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</si>
  <si>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</si>
  <si>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</si>
  <si>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</si>
  <si>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</si>
  <si>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</si>
  <si>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</si>
  <si>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</si>
  <si>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</si>
  <si>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</si>
  <si>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</si>
  <si>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</si>
  <si>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</si>
  <si>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</si>
  <si>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</si>
  <si>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</si>
  <si>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</si>
  <si>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</si>
  <si>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</si>
  <si>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</si>
  <si>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</si>
  <si>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</si>
  <si>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</si>
  <si>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</si>
  <si>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</si>
  <si>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</si>
  <si>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</si>
  <si>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</si>
  <si>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</si>
  <si>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</si>
  <si>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</si>
  <si>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</si>
  <si>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</si>
  <si>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</si>
  <si>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</si>
  <si>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</si>
  <si>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</si>
  <si>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</si>
  <si>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</si>
  <si>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</si>
  <si>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</si>
  <si>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</si>
  <si>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</si>
  <si>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</si>
  <si>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</si>
  <si>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</si>
  <si>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</si>
  <si>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</si>
  <si>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</si>
  <si>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</si>
  <si>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</si>
  <si>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</si>
  <si>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</si>
  <si>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</si>
  <si>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</si>
  <si>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</si>
  <si>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</si>
  <si>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</si>
  <si>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</si>
  <si>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</si>
  <si>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</si>
  <si>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</si>
  <si>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</si>
  <si>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</si>
  <si>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</si>
  <si>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</si>
  <si>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</si>
  <si>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</si>
  <si>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</si>
  <si>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</si>
  <si>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</si>
  <si>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</si>
  <si>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</si>
  <si>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</si>
  <si>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</si>
  <si>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</si>
  <si>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</si>
  <si>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</si>
  <si>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</si>
  <si>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</si>
  <si>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</si>
  <si>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</si>
  <si>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</si>
  <si>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</si>
  <si>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</si>
  <si>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</si>
  <si>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</si>
  <si>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</si>
  <si>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</si>
  <si>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</si>
  <si>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</si>
  <si>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</si>
  <si>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</si>
  <si>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</si>
  <si>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</si>
  <si>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</si>
  <si>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</si>
  <si>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</si>
  <si>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</si>
  <si>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</si>
  <si>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</si>
  <si>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</si>
  <si>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</si>
  <si>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</si>
  <si>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</si>
  <si>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</si>
  <si>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</si>
  <si>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</si>
  <si>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</si>
  <si>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</si>
  <si>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</si>
  <si>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</si>
  <si>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</si>
  <si>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</si>
  <si>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</si>
  <si>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</si>
  <si>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</si>
  <si>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</si>
  <si>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</si>
  <si>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</si>
  <si>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</si>
  <si>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</si>
  <si>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</si>
  <si>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</si>
  <si>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</si>
  <si>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</si>
  <si>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</si>
  <si>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</si>
  <si>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</si>
  <si>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</si>
  <si>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</si>
  <si>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</si>
  <si>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</si>
  <si>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</si>
  <si>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</si>
  <si>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</si>
  <si>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</si>
  <si>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</si>
  <si>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</si>
  <si>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</si>
  <si>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</si>
  <si>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</si>
  <si>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</si>
  <si>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</si>
  <si>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</si>
  <si>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</si>
  <si>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</si>
  <si>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</si>
  <si>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</si>
  <si>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</si>
  <si>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</si>
  <si>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</si>
  <si>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</si>
  <si>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</si>
  <si>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</si>
  <si>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</si>
  <si>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</si>
  <si>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</si>
  <si>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</si>
  <si>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</si>
  <si>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</si>
  <si>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</si>
  <si>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</si>
  <si>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</si>
  <si>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</si>
  <si>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</si>
  <si>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</si>
  <si>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</si>
  <si>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</si>
  <si>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</si>
  <si>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</si>
  <si>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</si>
  <si>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</si>
  <si>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</si>
  <si>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</si>
  <si>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</si>
  <si>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</si>
  <si>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</si>
  <si>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</si>
  <si>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</si>
  <si>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</si>
  <si>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</si>
  <si>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</si>
  <si>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</si>
  <si>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</si>
  <si>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</si>
  <si>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</si>
  <si>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</si>
  <si>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</si>
  <si>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</si>
  <si>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</si>
  <si>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</si>
  <si>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</si>
  <si>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</si>
  <si>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</si>
  <si>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</si>
  <si>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</si>
  <si>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</si>
  <si>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</si>
  <si>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</si>
  <si>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</si>
  <si>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</si>
  <si>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</si>
  <si>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</si>
  <si>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</si>
  <si>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</si>
  <si>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</si>
  <si>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</si>
  <si>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</si>
  <si>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</si>
  <si>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</si>
  <si>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</si>
  <si>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</si>
  <si>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</si>
  <si>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</si>
  <si>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</si>
  <si>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</si>
  <si>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</si>
  <si>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</si>
  <si>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</si>
  <si>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</si>
  <si>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</si>
  <si>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</si>
  <si>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</si>
  <si>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</si>
  <si>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</si>
  <si>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</si>
  <si>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</si>
  <si>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</si>
  <si>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</si>
  <si>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</si>
  <si>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</si>
  <si>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</si>
  <si>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</si>
  <si>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</si>
  <si>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</si>
  <si>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</si>
  <si>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</si>
  <si>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</si>
  <si>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</si>
  <si>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</si>
  <si>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</si>
  <si>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</si>
  <si>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</si>
  <si>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</si>
  <si>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</si>
  <si>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</si>
  <si>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</si>
  <si>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</si>
  <si>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</si>
  <si>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</si>
  <si>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</si>
  <si>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</si>
  <si>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</si>
  <si>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</si>
  <si>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</si>
  <si>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</si>
  <si>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</si>
  <si>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</si>
  <si>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</si>
  <si>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</si>
  <si>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</si>
  <si>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</si>
  <si>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</si>
  <si>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</si>
  <si>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</si>
  <si>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</si>
  <si>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</si>
  <si>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</si>
  <si>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</si>
  <si>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</si>
  <si>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</si>
  <si>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</si>
  <si>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</si>
  <si>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</si>
  <si>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</si>
  <si>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</si>
  <si>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</si>
  <si>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</si>
  <si>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</si>
  <si>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</si>
  <si>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</si>
  <si>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</si>
  <si>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</si>
  <si>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</si>
  <si>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</si>
  <si>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</si>
  <si>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</si>
  <si>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</si>
  <si>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</si>
  <si>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</si>
  <si>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</si>
  <si>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</si>
  <si>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</si>
  <si>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</si>
  <si>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</si>
  <si>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</si>
  <si>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</si>
  <si>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</si>
  <si>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</si>
  <si>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</si>
  <si>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</si>
  <si>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</si>
  <si>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</si>
  <si>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</si>
  <si>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</si>
  <si>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</si>
  <si>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</si>
  <si>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</si>
  <si>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</si>
  <si>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</si>
  <si>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</si>
  <si>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</si>
  <si>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</si>
  <si>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</si>
  <si>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</si>
  <si>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</si>
  <si>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</si>
  <si>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</si>
  <si>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</si>
  <si>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</si>
  <si>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</si>
  <si>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</si>
  <si>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</si>
  <si>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</si>
  <si>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</si>
  <si>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</si>
  <si>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</si>
  <si>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</si>
  <si>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</si>
  <si>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</si>
  <si>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</si>
  <si>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</si>
  <si>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</si>
  <si>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</si>
  <si>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</si>
  <si>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</si>
  <si>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</si>
  <si>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</si>
  <si>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</si>
  <si>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</si>
  <si>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</si>
  <si>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</si>
  <si>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</si>
  <si>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</si>
  <si>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</si>
  <si>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</si>
  <si>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</si>
  <si>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</si>
  <si>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</si>
  <si>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</si>
  <si>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</si>
  <si>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</si>
  <si>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</si>
  <si>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</si>
  <si>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</si>
  <si>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</si>
  <si>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</si>
  <si>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</si>
  <si>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</si>
  <si>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</si>
  <si>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</si>
  <si>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</si>
  <si>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</si>
  <si>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</si>
  <si>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</si>
  <si>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</si>
  <si>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</si>
  <si>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</si>
  <si>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</si>
  <si>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</si>
  <si>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</si>
  <si>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</si>
  <si>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</si>
  <si>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</si>
  <si>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</si>
  <si>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</si>
  <si>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</si>
  <si>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</si>
  <si>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</si>
  <si>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</si>
  <si>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</si>
  <si>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</si>
  <si>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</si>
  <si>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</si>
  <si>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</si>
  <si>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</si>
  <si>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</si>
  <si>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</si>
  <si>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</si>
  <si>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</si>
  <si>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</si>
  <si>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</si>
  <si>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</si>
  <si>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</si>
  <si>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</si>
  <si>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</si>
  <si>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</si>
  <si>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</si>
  <si>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</si>
  <si>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</si>
  <si>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</si>
  <si>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</si>
  <si>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</si>
  <si>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</si>
  <si>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</si>
  <si>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</si>
  <si>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</si>
  <si>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</si>
  <si>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</si>
  <si>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</si>
  <si>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</si>
  <si>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</si>
  <si>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</si>
  <si>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</si>
  <si>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</si>
  <si>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</si>
  <si>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</si>
  <si>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</si>
  <si>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</si>
  <si>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</si>
  <si>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</si>
  <si>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</si>
  <si>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</si>
  <si>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</si>
  <si>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</si>
  <si>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</si>
  <si>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</si>
  <si>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</si>
  <si>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</si>
  <si>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</si>
  <si>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</si>
  <si>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</si>
  <si>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</si>
  <si>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</si>
  <si>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</si>
  <si>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</si>
  <si>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</si>
  <si>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</si>
  <si>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</si>
  <si>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</si>
  <si>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</si>
  <si>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</si>
  <si>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</si>
  <si>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</si>
  <si>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</si>
  <si>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</si>
  <si>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</si>
  <si>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</si>
  <si>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</si>
  <si>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</si>
  <si>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</si>
  <si>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</si>
  <si>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</si>
  <si>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</si>
  <si>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</si>
  <si>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</si>
  <si>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</si>
  <si>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</si>
  <si>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</si>
  <si>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</si>
  <si>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</si>
  <si>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</si>
  <si>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</si>
  <si>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</si>
  <si>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</si>
  <si>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</si>
  <si>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</si>
  <si>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</si>
  <si>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</si>
  <si>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</si>
  <si>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</si>
  <si>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</si>
  <si>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</si>
  <si>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</si>
  <si>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</si>
  <si>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</si>
  <si>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</si>
  <si>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</si>
  <si>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</si>
  <si>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</si>
  <si>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</si>
  <si>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</si>
  <si>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</si>
  <si>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</si>
  <si>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</si>
  <si>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</si>
  <si>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</si>
  <si>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</si>
  <si>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</si>
  <si>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</si>
  <si>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</si>
  <si>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</si>
  <si>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</si>
  <si>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</si>
  <si>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</si>
  <si>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</si>
  <si>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</si>
  <si>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</si>
  <si>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</si>
  <si>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</si>
  <si>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</si>
  <si>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</si>
  <si>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</si>
  <si>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</si>
  <si>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</si>
  <si>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</si>
  <si>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</si>
  <si>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</si>
  <si>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</si>
  <si>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</si>
  <si>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</si>
  <si>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</si>
  <si>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</si>
  <si>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</si>
  <si>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</si>
  <si>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</si>
  <si>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</si>
  <si>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</si>
  <si>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</si>
  <si>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</si>
  <si>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</si>
  <si>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</si>
  <si>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</si>
  <si>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</si>
  <si>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</si>
  <si>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</si>
  <si>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</si>
  <si>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</si>
  <si>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</si>
  <si>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</si>
  <si>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</si>
  <si>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</si>
  <si>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</si>
  <si>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</si>
  <si>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</si>
  <si>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</si>
  <si>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</si>
  <si>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</si>
  <si>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</si>
  <si>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</si>
  <si>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</si>
  <si>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</si>
  <si>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</si>
  <si>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</si>
  <si>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</si>
  <si>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</si>
  <si>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</si>
  <si>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</si>
  <si>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</si>
  <si>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</si>
  <si>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</si>
  <si>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</si>
  <si>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</si>
  <si>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</si>
  <si>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</si>
  <si>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</si>
  <si>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</si>
  <si>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</si>
  <si>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</si>
  <si>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</si>
  <si>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</si>
  <si>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</si>
  <si>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</si>
  <si>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</si>
  <si>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</si>
  <si>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</si>
  <si>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</si>
  <si>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</si>
  <si>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</si>
  <si>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</si>
  <si>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</si>
  <si>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</si>
  <si>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</si>
  <si>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</si>
  <si>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</si>
  <si>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</si>
  <si>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</si>
  <si>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</si>
  <si>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</si>
  <si>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</si>
  <si>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</si>
  <si>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</si>
  <si>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</si>
  <si>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</si>
  <si>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</si>
  <si>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</si>
  <si>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</si>
  <si>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</si>
  <si>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</si>
  <si>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</si>
  <si>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</si>
  <si>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</si>
  <si>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</si>
  <si>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</si>
  <si>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</si>
  <si>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</si>
  <si>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</si>
  <si>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</si>
  <si>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</si>
  <si>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</si>
  <si>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</si>
  <si>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</si>
  <si>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</si>
  <si>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</si>
  <si>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</si>
  <si>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</si>
  <si>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</si>
  <si>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</si>
  <si>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</si>
  <si>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</si>
  <si>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</si>
  <si>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</si>
  <si>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</si>
  <si>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</si>
  <si>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</si>
  <si>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</si>
  <si>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</si>
  <si>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</si>
  <si>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</si>
  <si>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</si>
  <si>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</si>
  <si>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</si>
  <si>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</si>
  <si>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</si>
  <si>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</si>
  <si>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</si>
  <si>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</si>
  <si>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</si>
  <si>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</si>
  <si>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</si>
  <si>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</si>
  <si>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</si>
  <si>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</si>
  <si>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</si>
  <si>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</si>
  <si>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</si>
  <si>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</si>
  <si>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</si>
  <si>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</si>
  <si>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</si>
  <si>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</si>
  <si>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</si>
  <si>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</si>
  <si>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</si>
  <si>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</si>
  <si>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</si>
  <si>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</si>
  <si>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</si>
  <si>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</si>
  <si>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</si>
  <si>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</si>
  <si>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</si>
  <si>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</si>
  <si>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</si>
  <si>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</si>
  <si>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</si>
  <si>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</si>
  <si>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</si>
  <si>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</si>
  <si>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</si>
  <si>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</si>
  <si>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</si>
  <si>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</si>
  <si>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</si>
  <si>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</si>
  <si>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</si>
  <si>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</si>
  <si>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</si>
  <si>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</si>
  <si>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</si>
  <si>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</si>
  <si>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</si>
  <si>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</si>
  <si>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</si>
  <si>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</si>
  <si>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</si>
  <si>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</si>
  <si>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</si>
  <si>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</si>
  <si>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</si>
  <si>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</si>
  <si>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</si>
  <si>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</si>
  <si>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</si>
  <si>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</si>
  <si>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</si>
  <si>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</si>
  <si>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</si>
  <si>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</si>
  <si>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</si>
  <si>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</si>
  <si>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</si>
  <si>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</si>
  <si>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</si>
  <si>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</si>
  <si>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</si>
  <si>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</si>
  <si>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</si>
  <si>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</si>
  <si>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</si>
  <si>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</si>
  <si>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</si>
  <si>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</si>
  <si>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</si>
  <si>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</si>
  <si>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</si>
  <si>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</si>
  <si>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</si>
  <si>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</si>
  <si>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</si>
  <si>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</si>
  <si>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</si>
  <si>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</si>
  <si>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</si>
  <si>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</si>
  <si>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</si>
  <si>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</si>
  <si>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</si>
  <si>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</si>
  <si>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</si>
  <si>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</si>
  <si>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</si>
  <si>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</si>
  <si>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</si>
  <si>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</si>
  <si>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</si>
  <si>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</si>
  <si>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</si>
  <si>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</si>
  <si>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</si>
  <si>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</si>
  <si>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</si>
  <si>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</si>
  <si>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</si>
  <si>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</si>
  <si>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</si>
  <si>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</si>
  <si>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</si>
  <si>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</si>
  <si>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</si>
  <si>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</si>
  <si>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</si>
  <si>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</si>
  <si>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</si>
  <si>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</si>
  <si>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</si>
  <si>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</si>
  <si>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</si>
  <si>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</si>
  <si>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</si>
  <si>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</si>
  <si>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</si>
  <si>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</si>
  <si>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</si>
  <si>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</si>
  <si>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</si>
  <si>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</si>
  <si>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</si>
  <si>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</si>
  <si>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</si>
  <si>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</si>
  <si>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</si>
  <si>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</si>
  <si>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</si>
  <si>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</si>
  <si>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</si>
  <si>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</si>
  <si>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</si>
  <si>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</si>
  <si>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</si>
  <si>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</si>
  <si>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</si>
  <si>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</si>
  <si>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</si>
  <si>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</si>
  <si>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</si>
  <si>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</si>
  <si>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</si>
  <si>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</si>
  <si>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</si>
  <si>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</si>
  <si>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</si>
  <si>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</si>
  <si>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</si>
  <si>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</si>
  <si>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</si>
  <si>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</si>
  <si>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</si>
  <si>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</si>
  <si>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</si>
  <si>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</si>
  <si>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</si>
  <si>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</si>
  <si>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</si>
  <si>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</si>
  <si>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</si>
  <si>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</si>
  <si>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</si>
  <si>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</si>
  <si>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</si>
  <si>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</si>
  <si>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</si>
  <si>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</si>
  <si>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</si>
  <si>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</si>
  <si>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</si>
  <si>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</si>
  <si>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</si>
  <si>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</si>
  <si>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</si>
  <si>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</si>
  <si>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</si>
  <si>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</si>
  <si>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</si>
  <si>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</si>
  <si>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</si>
  <si>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</si>
  <si>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</si>
  <si>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</si>
  <si>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</si>
  <si>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</si>
  <si>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</si>
  <si>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</si>
  <si>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</si>
  <si>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</si>
  <si>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</si>
  <si>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</si>
  <si>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</si>
  <si>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</si>
  <si>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</si>
  <si>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</si>
  <si>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</si>
  <si>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</si>
  <si>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</si>
  <si>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</si>
  <si>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</si>
  <si>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</si>
  <si>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</si>
  <si>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</si>
  <si>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</si>
  <si>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</si>
  <si>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</si>
  <si>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</si>
  <si>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</si>
  <si>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</si>
  <si>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</si>
  <si>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</si>
  <si>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</si>
  <si>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</si>
  <si>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</si>
  <si>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</si>
  <si>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</si>
  <si>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</si>
  <si>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</si>
  <si>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</si>
  <si>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</si>
  <si>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</si>
  <si>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</si>
  <si>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</si>
  <si>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</si>
  <si>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</si>
  <si>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</si>
  <si>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</si>
  <si>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</si>
  <si>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</si>
  <si>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</si>
  <si>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</si>
  <si>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</si>
  <si>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</si>
  <si>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</si>
  <si>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</si>
  <si>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</si>
  <si>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</si>
  <si>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</si>
  <si>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</si>
  <si>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</si>
  <si>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</si>
  <si>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</si>
  <si>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</si>
  <si>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</si>
  <si>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</si>
  <si>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</si>
  <si>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</si>
  <si>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</si>
  <si>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</si>
  <si>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</si>
  <si>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</si>
  <si>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</si>
  <si>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</si>
  <si>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</si>
  <si>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</si>
  <si>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</si>
  <si>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</si>
  <si>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</si>
  <si>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</si>
  <si>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</si>
  <si>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</si>
  <si>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</si>
  <si>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</si>
  <si>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</si>
  <si>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</si>
  <si>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</si>
  <si>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</si>
  <si>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</si>
  <si>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</si>
  <si>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</si>
  <si>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</si>
  <si>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</si>
  <si>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</si>
  <si>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</si>
  <si>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</si>
  <si>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</si>
  <si>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</si>
  <si>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</si>
  <si>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</si>
  <si>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</si>
  <si>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</si>
  <si>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</si>
  <si>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</si>
  <si>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</si>
  <si>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</si>
  <si>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</si>
  <si>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</si>
  <si>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</si>
  <si>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</si>
  <si>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</si>
  <si>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</si>
  <si>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</si>
  <si>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</si>
  <si>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</si>
  <si>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</si>
  <si>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</si>
  <si>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</si>
  <si>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</si>
  <si>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</si>
  <si>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</si>
  <si>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</si>
  <si>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</si>
  <si>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</si>
  <si>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</si>
  <si>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</si>
  <si>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</si>
  <si>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</si>
  <si>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</si>
  <si>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</si>
  <si>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</si>
  <si>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</si>
  <si>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</si>
  <si>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</si>
  <si>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</si>
  <si>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</si>
  <si>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</si>
  <si>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</si>
  <si>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</si>
  <si>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</si>
  <si>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</si>
  <si>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</si>
  <si>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</si>
  <si>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</si>
  <si>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</si>
  <si>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</si>
  <si>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</si>
  <si>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</si>
  <si>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</si>
  <si>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</si>
  <si>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</si>
  <si>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</si>
  <si>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</si>
  <si>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</si>
  <si>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</si>
  <si>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</si>
  <si>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</si>
  <si>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</si>
  <si>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</si>
  <si>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</si>
  <si>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</si>
  <si>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</si>
  <si>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</si>
  <si>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</si>
  <si>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</si>
  <si>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</si>
  <si>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</si>
  <si>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</si>
  <si>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</si>
  <si>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</si>
  <si>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</si>
  <si>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</si>
  <si>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</si>
  <si>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</si>
  <si>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</si>
  <si>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</si>
  <si>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</si>
  <si>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</si>
  <si>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</si>
  <si>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</si>
  <si>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</si>
  <si>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</si>
  <si>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</si>
  <si>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</si>
  <si>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</si>
  <si>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</si>
  <si>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</si>
  <si>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</si>
  <si>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</si>
  <si>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</si>
  <si>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</si>
  <si>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</si>
  <si>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</si>
  <si>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</si>
  <si>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</si>
  <si>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</si>
  <si>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</si>
  <si>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</si>
  <si>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</si>
  <si>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</si>
  <si>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</si>
  <si>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</si>
  <si>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</si>
  <si>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</si>
  <si>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</si>
  <si>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</si>
  <si>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</si>
  <si>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</si>
  <si>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</si>
  <si>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</si>
  <si>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</si>
  <si>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</si>
  <si>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</si>
  <si>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</si>
  <si>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</si>
  <si>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</si>
  <si>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</si>
  <si>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</si>
  <si>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</si>
  <si>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</si>
  <si>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</si>
  <si>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</si>
  <si>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</si>
  <si>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</si>
  <si>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</si>
  <si>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</si>
  <si>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</si>
  <si>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</si>
  <si>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</si>
  <si>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</si>
  <si>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</si>
  <si>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</si>
  <si>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</si>
  <si>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</si>
  <si>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</si>
  <si>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</si>
  <si>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</si>
  <si>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</si>
  <si>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</si>
  <si>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</si>
  <si>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</si>
  <si>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</si>
  <si>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</si>
  <si>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</si>
  <si>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</si>
  <si>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</si>
  <si>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</si>
  <si>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</si>
  <si>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</si>
  <si>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</si>
  <si>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</si>
  <si>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</si>
  <si>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</si>
  <si>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</si>
  <si>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</si>
  <si>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</si>
  <si>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</si>
  <si>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</si>
  <si>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</si>
  <si>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</si>
  <si>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</si>
  <si>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</si>
  <si>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</si>
  <si>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</si>
  <si>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</si>
  <si>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</si>
  <si>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</si>
  <si>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</si>
  <si>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</si>
  <si>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</si>
  <si>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</si>
  <si>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</si>
  <si>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</si>
  <si>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</si>
  <si>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</si>
  <si>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</si>
  <si>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</si>
  <si>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</si>
  <si>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</si>
  <si>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</si>
  <si>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</si>
  <si>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</si>
  <si>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</si>
  <si>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</si>
  <si>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</si>
  <si>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</si>
  <si>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</si>
  <si>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</si>
  <si>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</si>
  <si>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</si>
  <si>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</si>
  <si>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</si>
  <si>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</si>
  <si>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</si>
  <si>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</si>
  <si>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</si>
  <si>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</si>
  <si>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</si>
  <si>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</si>
  <si>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</si>
  <si>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</si>
  <si>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</si>
  <si>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</si>
  <si>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</si>
  <si>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</si>
  <si>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</si>
  <si>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</si>
  <si>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</si>
  <si>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</si>
  <si>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</si>
  <si>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</si>
  <si>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</si>
  <si>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</si>
  <si>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</si>
  <si>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</si>
  <si>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</si>
  <si>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</si>
  <si>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</si>
  <si>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</si>
  <si>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</si>
  <si>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</si>
  <si>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</si>
  <si>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</si>
  <si>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</si>
  <si>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</si>
  <si>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</si>
  <si>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</si>
  <si>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</si>
  <si>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</si>
  <si>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</si>
  <si>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</si>
  <si>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</si>
  <si>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</si>
  <si>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</si>
  <si>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</si>
  <si>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</si>
  <si>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</si>
  <si>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</si>
  <si>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</si>
  <si>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</si>
  <si>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</si>
  <si>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</si>
  <si>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</si>
  <si>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</si>
  <si>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</si>
  <si>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</si>
  <si>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</si>
  <si>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</si>
  <si>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</si>
  <si>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</si>
  <si>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</si>
  <si>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</si>
  <si>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</si>
  <si>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</si>
  <si>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</si>
  <si>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</si>
  <si>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</si>
  <si>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</si>
  <si>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</si>
  <si>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</si>
  <si>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</si>
  <si>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</si>
  <si>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</si>
  <si>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</si>
  <si>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</si>
  <si>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</si>
  <si>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</si>
  <si>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</si>
  <si>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</si>
  <si>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</si>
  <si>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</si>
  <si>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</si>
  <si>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</si>
  <si>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</si>
  <si>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</si>
  <si>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</si>
  <si>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</si>
  <si>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</si>
  <si>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</si>
  <si>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</si>
  <si>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</si>
  <si>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</si>
  <si>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</si>
  <si>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</si>
  <si>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</si>
  <si>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</si>
  <si>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</si>
  <si>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</si>
  <si>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</si>
  <si>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</si>
  <si>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</si>
  <si>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</si>
  <si>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</si>
  <si>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</si>
  <si>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</si>
  <si>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</si>
  <si>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</si>
  <si>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</si>
  <si>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</si>
  <si>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</si>
  <si>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</si>
  <si>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</si>
  <si>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</si>
  <si>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</si>
  <si>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</si>
  <si>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</si>
  <si>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</si>
  <si>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</si>
  <si>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</si>
  <si>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</si>
  <si>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</si>
  <si>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</si>
  <si>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</si>
  <si>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</si>
  <si>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</si>
  <si>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</si>
  <si>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</si>
  <si>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</si>
  <si>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</si>
  <si>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</si>
  <si>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</si>
  <si>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</si>
  <si>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</si>
  <si>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</si>
  <si>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</si>
  <si>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</si>
  <si>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</si>
  <si>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</si>
  <si>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</si>
  <si>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</si>
  <si>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</si>
  <si>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</si>
  <si>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</si>
  <si>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</si>
  <si>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</si>
  <si>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</si>
  <si>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</si>
  <si>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</si>
  <si>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</si>
  <si>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</si>
  <si>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</si>
  <si>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</si>
  <si>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</si>
  <si>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</si>
  <si>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</si>
  <si>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</si>
  <si>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</si>
  <si>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</si>
  <si>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</si>
  <si>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</si>
  <si>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</si>
  <si>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</si>
  <si>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</si>
  <si>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</si>
  <si>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</si>
  <si>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</si>
  <si>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</si>
  <si>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</si>
  <si>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</si>
  <si>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</si>
  <si>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</si>
  <si>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</si>
  <si>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</si>
  <si>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</si>
  <si>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</si>
  <si>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</si>
  <si>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</si>
  <si>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</si>
  <si>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</si>
  <si>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</si>
  <si>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</si>
  <si>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</si>
  <si>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</si>
  <si>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</si>
  <si>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</si>
  <si>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</si>
  <si>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</si>
  <si>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</si>
  <si>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</si>
  <si>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</si>
  <si>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</si>
  <si>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</si>
  <si>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</si>
  <si>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</si>
  <si>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</si>
  <si>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</si>
  <si>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</si>
  <si>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</si>
  <si>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</si>
  <si>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</si>
  <si>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</si>
  <si>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</si>
  <si>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</si>
  <si>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</si>
  <si>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</si>
  <si>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</si>
  <si>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</si>
  <si>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</si>
  <si>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</si>
  <si>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</si>
  <si>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</si>
  <si>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</si>
  <si>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</si>
  <si>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</si>
  <si>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</si>
  <si>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</si>
  <si>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</si>
  <si>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</si>
  <si>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</si>
  <si>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</si>
  <si>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</si>
  <si>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</si>
  <si>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</si>
  <si>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</si>
  <si>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</si>
  <si>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</si>
  <si>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</si>
  <si>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</si>
  <si>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</si>
  <si>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</si>
  <si>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</si>
  <si>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</si>
  <si>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</si>
  <si>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</si>
  <si>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</si>
  <si>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</si>
  <si>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</si>
  <si>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</si>
  <si>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</si>
  <si>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</si>
  <si>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</si>
  <si>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</si>
  <si>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</si>
  <si>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</si>
  <si>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</si>
  <si>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</si>
  <si>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</si>
  <si>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</si>
  <si>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</si>
  <si>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</si>
  <si>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</si>
  <si>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</si>
  <si>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</si>
  <si>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</si>
  <si>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</si>
  <si>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</si>
  <si>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</si>
  <si>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</si>
  <si>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</si>
  <si>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</si>
  <si>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</si>
  <si>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</si>
  <si>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</si>
  <si>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</si>
  <si>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</si>
  <si>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</si>
  <si>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</si>
  <si>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</si>
  <si>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</si>
  <si>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</si>
  <si>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</si>
  <si>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</si>
  <si>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</si>
  <si>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</si>
  <si>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</si>
  <si>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</si>
  <si>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</si>
  <si>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</si>
  <si>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</si>
  <si>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</si>
  <si>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</si>
  <si>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</si>
  <si>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</si>
  <si>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</si>
  <si>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</si>
  <si>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</si>
  <si>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</si>
  <si>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</si>
  <si>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</si>
  <si>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</si>
  <si>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</si>
  <si>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</si>
  <si>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</si>
  <si>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</si>
  <si>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</si>
  <si>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</si>
  <si>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</si>
  <si>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</si>
  <si>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</si>
  <si>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</si>
  <si>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</si>
  <si>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</si>
  <si>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</si>
  <si>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</si>
  <si>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</si>
  <si>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</si>
  <si>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</si>
  <si>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</si>
  <si>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</si>
  <si>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</si>
  <si>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</si>
  <si>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</si>
  <si>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</si>
  <si>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</si>
  <si>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</si>
  <si>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</si>
  <si>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</si>
  <si>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</si>
  <si>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</si>
  <si>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</si>
  <si>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</si>
  <si>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</si>
  <si>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</si>
  <si>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</si>
  <si>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</si>
  <si>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</si>
  <si>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</si>
  <si>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</si>
  <si>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</si>
  <si>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</si>
  <si>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</si>
  <si>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</si>
  <si>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</si>
  <si>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</si>
  <si>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</si>
  <si>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</si>
  <si>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</si>
  <si>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</si>
  <si>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</si>
  <si>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</si>
  <si>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</si>
  <si>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</si>
  <si>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</si>
  <si>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</si>
  <si>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</si>
  <si>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</si>
  <si>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</si>
  <si>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</si>
  <si>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</si>
  <si>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</si>
  <si>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</si>
  <si>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</si>
  <si>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</si>
  <si>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</si>
  <si>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</si>
  <si>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</si>
  <si>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</si>
  <si>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</si>
  <si>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</si>
  <si>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</si>
  <si>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</si>
  <si>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</si>
  <si>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</si>
  <si>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</si>
  <si>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</si>
  <si>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</si>
  <si>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</si>
  <si>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</si>
  <si>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</si>
  <si>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</si>
  <si>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</si>
  <si>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</si>
  <si>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</si>
  <si>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</si>
  <si>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</si>
  <si>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</si>
  <si>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</si>
  <si>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</si>
  <si>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</si>
  <si>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</si>
  <si>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</si>
  <si>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</si>
  <si>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</si>
  <si>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</si>
  <si>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</si>
  <si>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</si>
  <si>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</si>
  <si>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</si>
  <si>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</si>
  <si>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</si>
  <si>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</si>
  <si>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</si>
  <si>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</si>
  <si>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</si>
  <si>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</si>
  <si>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</si>
  <si>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</si>
  <si>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</si>
  <si>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</si>
  <si>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</si>
  <si>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</si>
  <si>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</si>
  <si>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</si>
  <si>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</si>
  <si>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</si>
  <si>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</si>
  <si>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</si>
  <si>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</si>
  <si>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</si>
  <si>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</si>
  <si>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</si>
  <si>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</si>
  <si>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</si>
  <si>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</si>
  <si>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</si>
  <si>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</si>
  <si>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</si>
  <si>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</si>
  <si>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</si>
  <si>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</si>
  <si>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</si>
  <si>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</si>
  <si>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</si>
  <si>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</si>
  <si>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</si>
  <si>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</si>
  <si>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</si>
  <si>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</si>
  <si>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</si>
  <si>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</si>
  <si>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</si>
  <si>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</si>
  <si>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</si>
  <si>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</si>
  <si>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</si>
  <si>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</si>
  <si>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</si>
  <si>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</si>
  <si>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</si>
  <si>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</si>
  <si>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</si>
  <si>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</si>
  <si>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</si>
  <si>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</si>
  <si>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</si>
  <si>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</si>
  <si>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</si>
  <si>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</si>
  <si>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</si>
  <si>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</si>
  <si>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</si>
  <si>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</si>
  <si>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</si>
  <si>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</si>
  <si>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</si>
  <si>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</si>
  <si>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</si>
  <si>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</si>
  <si>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</si>
  <si>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</si>
  <si>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</si>
  <si>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</si>
  <si>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</si>
  <si>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</si>
  <si>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</si>
  <si>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</si>
  <si>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</si>
  <si>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</si>
  <si>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</si>
  <si>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</si>
  <si>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</si>
  <si>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</si>
  <si>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</si>
  <si>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</si>
  <si>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</si>
  <si>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</si>
  <si>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</si>
  <si>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</si>
  <si>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</si>
  <si>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</si>
  <si>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</si>
  <si>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</si>
  <si>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</si>
  <si>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</si>
  <si>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</si>
  <si>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</si>
  <si>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</si>
  <si>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</si>
  <si>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</si>
  <si>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</si>
  <si>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</si>
  <si>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</si>
  <si>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</si>
  <si>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</si>
  <si>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</si>
  <si>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</si>
  <si>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</si>
  <si>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</si>
  <si>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</si>
  <si>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</si>
  <si>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</si>
  <si>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</si>
  <si>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</si>
  <si>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</si>
  <si>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</si>
  <si>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</si>
  <si>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</si>
  <si>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</si>
  <si>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</si>
  <si>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</si>
  <si>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</si>
  <si>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</si>
  <si>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</si>
  <si>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</si>
  <si>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</si>
  <si>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</si>
  <si>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</si>
  <si>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</si>
  <si>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</si>
  <si>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</si>
  <si>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</si>
  <si>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</si>
  <si>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</si>
  <si>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</si>
  <si>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</si>
  <si>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</si>
  <si>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</si>
  <si>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</si>
  <si>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</si>
  <si>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</si>
  <si>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</si>
  <si>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</si>
  <si>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</si>
  <si>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</si>
  <si>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</si>
  <si>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</si>
  <si>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</si>
  <si>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</si>
  <si>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</si>
  <si>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</si>
  <si>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</si>
  <si>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</si>
  <si>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</si>
  <si>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</si>
  <si>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</si>
  <si>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</si>
  <si>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</si>
  <si>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</si>
  <si>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</si>
  <si>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</si>
  <si>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</si>
  <si>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</si>
  <si>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</si>
  <si>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</si>
  <si>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</si>
  <si>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</si>
  <si>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</si>
  <si>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</si>
  <si>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</si>
  <si>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</si>
  <si>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</si>
  <si>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</si>
  <si>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</si>
  <si>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</si>
  <si>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</si>
  <si>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</si>
  <si>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</si>
  <si>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</si>
  <si>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</si>
  <si>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</si>
  <si>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</si>
  <si>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</si>
  <si>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</si>
  <si>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</si>
  <si>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</si>
  <si>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</si>
  <si>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</si>
  <si>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</si>
  <si>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</si>
  <si>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</si>
  <si>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</si>
  <si>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</si>
  <si>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</si>
  <si>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</si>
  <si>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</si>
  <si>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</si>
  <si>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</si>
  <si>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</si>
  <si>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</si>
  <si>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</si>
  <si>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</si>
  <si>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</si>
  <si>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</si>
  <si>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</si>
  <si>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</si>
  <si>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</si>
  <si>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</si>
  <si>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</si>
  <si>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</si>
  <si>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</si>
  <si>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</si>
  <si>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</si>
  <si>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</si>
  <si>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</si>
  <si>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</si>
  <si>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</si>
  <si>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</si>
  <si>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</si>
  <si>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</si>
  <si>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</si>
  <si>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</si>
  <si>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</si>
  <si>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</si>
  <si>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</si>
  <si>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</si>
  <si>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</si>
  <si>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</si>
  <si>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</si>
  <si>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</si>
  <si>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</si>
  <si>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</si>
  <si>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</si>
  <si>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</si>
  <si>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</si>
  <si>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</si>
  <si>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</si>
  <si>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</si>
  <si>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</si>
  <si>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</si>
  <si>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</si>
  <si>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</si>
  <si>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</si>
  <si>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</si>
  <si>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</si>
  <si>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</si>
  <si>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</si>
  <si>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</si>
  <si>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</si>
  <si>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</si>
  <si>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</si>
  <si>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</si>
  <si>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</si>
  <si>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</si>
  <si>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</si>
  <si>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</si>
  <si>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</si>
  <si>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</si>
  <si>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</si>
  <si>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</si>
  <si>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</si>
  <si>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</si>
  <si>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</si>
  <si>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</si>
  <si>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</si>
  <si>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</si>
  <si>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</si>
  <si>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</si>
  <si>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</si>
  <si>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</si>
  <si>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</si>
  <si>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</si>
  <si>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</si>
  <si>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</si>
  <si>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</si>
  <si>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</si>
  <si>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</si>
  <si>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</si>
  <si>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</si>
  <si>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</si>
  <si>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</si>
  <si>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</si>
  <si>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</si>
  <si>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</si>
  <si>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</si>
  <si>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</si>
  <si>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</si>
  <si>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</si>
  <si>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</si>
  <si>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</si>
  <si>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</si>
  <si>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</si>
  <si>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</si>
  <si>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</si>
  <si>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</si>
  <si>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</si>
  <si>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</si>
  <si>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</si>
  <si>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</si>
  <si>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</si>
  <si>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</si>
  <si>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</si>
  <si>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</si>
  <si>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</si>
  <si>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</si>
  <si>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</si>
  <si>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</si>
  <si>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</si>
  <si>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</si>
  <si>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</si>
  <si>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</si>
  <si>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</si>
  <si>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</si>
  <si>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</si>
  <si>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</si>
  <si>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</si>
  <si>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</si>
  <si>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</si>
  <si>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</si>
  <si>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</si>
  <si>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</si>
  <si>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</si>
  <si>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</si>
  <si>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</si>
  <si>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</si>
  <si>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</si>
  <si>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</si>
  <si>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</si>
  <si>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</si>
  <si>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</si>
  <si>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</si>
  <si>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</si>
  <si>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</si>
  <si>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</si>
  <si>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</si>
  <si>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</si>
  <si>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</si>
  <si>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</si>
  <si>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</si>
  <si>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</si>
  <si>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</si>
  <si>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</si>
  <si>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</si>
  <si>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</si>
  <si>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</si>
  <si>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</si>
  <si>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</si>
  <si>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</si>
  <si>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</si>
  <si>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</si>
  <si>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</si>
  <si>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</si>
  <si>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</si>
  <si>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</si>
  <si>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</si>
  <si>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</si>
  <si>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</si>
  <si>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</si>
  <si>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</si>
  <si>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</si>
  <si>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</si>
  <si>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</si>
  <si>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</si>
  <si>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</si>
  <si>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</si>
  <si>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</si>
  <si>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</si>
  <si>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</si>
  <si>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</si>
  <si>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</si>
  <si>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</si>
  <si>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</si>
  <si>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</si>
  <si>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</si>
  <si>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</si>
  <si>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</si>
  <si>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</si>
  <si>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</si>
  <si>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</si>
  <si>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</si>
  <si>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</si>
  <si>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</si>
  <si>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</si>
  <si>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</si>
  <si>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</si>
  <si>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</si>
  <si>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</si>
  <si>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</si>
  <si>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</si>
  <si>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</si>
  <si>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</si>
  <si>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</si>
  <si>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</si>
  <si>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</si>
  <si>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</si>
  <si>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</si>
  <si>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</si>
  <si>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</si>
  <si>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</si>
  <si>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</si>
  <si>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</si>
  <si>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</si>
  <si>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</si>
  <si>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</si>
  <si>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</si>
  <si>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</si>
  <si>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</si>
  <si>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</si>
  <si>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</si>
  <si>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</si>
  <si>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</si>
  <si>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</si>
  <si>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</si>
  <si>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</si>
  <si>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</si>
  <si>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</si>
  <si>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</si>
  <si>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</si>
  <si>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</si>
  <si>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</si>
  <si>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</si>
  <si>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</si>
  <si>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</si>
  <si>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</si>
  <si>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</si>
  <si>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</si>
  <si>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</si>
  <si>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</si>
  <si>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</si>
  <si>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</si>
  <si>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</si>
  <si>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</si>
  <si>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</si>
  <si>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</si>
  <si>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</si>
  <si>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</si>
  <si>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</si>
  <si>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</si>
  <si>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</si>
  <si>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</si>
  <si>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</si>
  <si>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</si>
  <si>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</si>
  <si>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</si>
  <si>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</si>
  <si>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</si>
  <si>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</si>
  <si>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</si>
  <si>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</si>
  <si>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</si>
  <si>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</si>
  <si>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</si>
  <si>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</si>
  <si>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</si>
  <si>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</si>
  <si>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</si>
  <si>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</si>
  <si>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</si>
  <si>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</si>
  <si>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</si>
  <si>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</si>
  <si>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</si>
  <si>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</si>
  <si>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</si>
  <si>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</si>
  <si>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</si>
  <si>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</si>
  <si>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</si>
  <si>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</si>
  <si>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</si>
  <si>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</si>
  <si>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</si>
  <si>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</si>
  <si>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</si>
  <si>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</si>
  <si>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</si>
  <si>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</si>
  <si>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</si>
  <si>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</si>
  <si>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</si>
  <si>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</si>
  <si>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</si>
  <si>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</si>
  <si>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</si>
  <si>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</si>
  <si>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</si>
  <si>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</si>
  <si>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</si>
  <si>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</si>
  <si>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</si>
  <si>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</si>
  <si>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</si>
  <si>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</si>
  <si>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</si>
  <si>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</si>
  <si>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</si>
  <si>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</si>
  <si>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</si>
  <si>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</si>
  <si>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</si>
  <si>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</si>
  <si>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</si>
  <si>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</si>
  <si>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</si>
  <si>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</si>
  <si>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</si>
  <si>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</si>
  <si>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</si>
  <si>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</si>
  <si>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</si>
  <si>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</si>
  <si>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</si>
  <si>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</si>
  <si>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</si>
  <si>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</si>
  <si>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</si>
  <si>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</si>
  <si>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</si>
  <si>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</si>
  <si>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</si>
  <si>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</si>
  <si>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</si>
  <si>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</si>
  <si>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</si>
  <si>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</si>
  <si>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</si>
  <si>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</si>
  <si>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</si>
  <si>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</si>
  <si>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</si>
  <si>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</si>
  <si>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</si>
  <si>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</si>
  <si>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</si>
  <si>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</si>
  <si>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</si>
  <si>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</si>
  <si>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</si>
  <si>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</si>
  <si>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</si>
  <si>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</si>
  <si>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</si>
  <si>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</si>
  <si>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</si>
  <si>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</si>
  <si>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</si>
  <si>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</si>
  <si>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</si>
  <si>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</si>
  <si>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</si>
  <si>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</si>
  <si>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</si>
  <si>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</si>
  <si>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</si>
  <si>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</si>
  <si>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</si>
  <si>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</si>
  <si>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</si>
  <si>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</si>
  <si>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</si>
  <si>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</si>
  <si>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</si>
  <si>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</si>
  <si>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</si>
  <si>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</si>
  <si>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</si>
  <si>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</si>
  <si>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</si>
  <si>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</si>
  <si>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</si>
  <si>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</si>
  <si>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</si>
  <si>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</si>
  <si>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</si>
  <si>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</si>
  <si>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</si>
  <si>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</si>
  <si>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</si>
  <si>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</si>
  <si>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</si>
  <si>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</si>
  <si>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</si>
  <si>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</si>
  <si>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</si>
  <si>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</si>
  <si>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</si>
  <si>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</si>
  <si>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</si>
  <si>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</si>
  <si>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</si>
  <si>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</si>
  <si>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</si>
  <si>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</si>
  <si>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</si>
  <si>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</si>
  <si>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</si>
  <si>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</si>
  <si>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</si>
  <si>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</si>
  <si>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</si>
  <si>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</si>
  <si>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</si>
  <si>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</si>
  <si>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</si>
  <si>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</si>
  <si>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</si>
  <si>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</si>
  <si>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</si>
  <si>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</si>
  <si>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</si>
  <si>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</si>
  <si>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</si>
  <si>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</si>
  <si>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</si>
  <si>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</si>
  <si>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</si>
  <si>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</si>
  <si>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</si>
  <si>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</si>
  <si>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</si>
  <si>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</si>
  <si>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</si>
  <si>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</si>
  <si>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</si>
  <si>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</si>
  <si>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</si>
  <si>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</si>
  <si>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</si>
  <si>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</si>
  <si>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</si>
  <si>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</si>
  <si>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</si>
  <si>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</si>
  <si>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</si>
  <si>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</si>
  <si>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</si>
  <si>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</si>
  <si>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</si>
  <si>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</si>
  <si>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</si>
  <si>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</si>
  <si>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</si>
  <si>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</si>
  <si>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</si>
  <si>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</si>
  <si>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</si>
  <si>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</si>
  <si>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</si>
  <si>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</si>
  <si>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</si>
  <si>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</si>
  <si>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</si>
  <si>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</si>
  <si>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</si>
  <si>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</si>
  <si>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</si>
  <si>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</si>
  <si>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</si>
  <si>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</si>
  <si>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</si>
  <si>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</si>
  <si>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</si>
  <si>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</si>
  <si>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</si>
  <si>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</si>
  <si>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</si>
  <si>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</si>
  <si>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</si>
  <si>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</si>
  <si>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</si>
  <si>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</si>
  <si>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</si>
  <si>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</si>
  <si>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</si>
  <si>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</si>
  <si>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</si>
  <si>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</si>
  <si>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</si>
  <si>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</si>
  <si>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</si>
  <si>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</si>
  <si>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</si>
  <si>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</si>
  <si>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</si>
  <si>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</si>
  <si>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</si>
  <si>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</si>
  <si>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</si>
  <si>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</si>
  <si>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</si>
  <si>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</si>
  <si>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</si>
  <si>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</si>
  <si>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</si>
  <si>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</si>
  <si>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</si>
  <si>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</si>
  <si>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</si>
  <si>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</si>
  <si>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</si>
  <si>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</si>
  <si>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</si>
  <si>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</si>
  <si>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</si>
  <si>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</si>
  <si>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</si>
  <si>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</si>
  <si>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</si>
  <si>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</si>
  <si>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</si>
  <si>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</si>
  <si>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</si>
  <si>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</si>
  <si>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</si>
  <si>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</si>
  <si>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</si>
  <si>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</si>
  <si>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</si>
  <si>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</si>
  <si>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</si>
  <si>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</si>
  <si>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</si>
  <si>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</si>
  <si>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</si>
  <si>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</si>
  <si>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</si>
  <si>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</si>
  <si>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</si>
  <si>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</si>
  <si>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</si>
  <si>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</si>
  <si>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</si>
  <si>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</si>
  <si>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</si>
  <si>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</si>
  <si>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</si>
  <si>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</si>
  <si>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</si>
  <si>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</si>
  <si>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</si>
  <si>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</si>
  <si>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</si>
  <si>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</si>
  <si>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</si>
  <si>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</si>
  <si>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</si>
  <si>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</si>
  <si>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</si>
  <si>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</si>
  <si>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</si>
  <si>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</si>
  <si>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</si>
  <si>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</si>
  <si>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</si>
  <si>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</si>
  <si>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</si>
  <si>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</si>
  <si>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</si>
  <si>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</si>
  <si>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</si>
  <si>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</si>
  <si>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</si>
  <si>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</si>
  <si>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</si>
  <si>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</si>
  <si>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</si>
  <si>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</si>
  <si>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</si>
  <si>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</si>
  <si>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</si>
  <si>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</si>
  <si>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</si>
  <si>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</si>
  <si>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</si>
  <si>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</si>
  <si>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</si>
  <si>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</si>
  <si>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</si>
  <si>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</si>
  <si>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</si>
  <si>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</si>
  <si>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</si>
  <si>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</si>
  <si>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</si>
  <si>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</si>
  <si>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</si>
  <si>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</si>
  <si>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</si>
  <si>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</si>
  <si>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</si>
  <si>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</si>
  <si>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</si>
  <si>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</si>
  <si>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</si>
  <si>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</si>
  <si>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</si>
  <si>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</si>
  <si>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</si>
  <si>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</si>
  <si>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</si>
  <si>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</si>
  <si>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</si>
  <si>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</si>
  <si>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</si>
  <si>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</si>
  <si>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</si>
  <si>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</si>
  <si>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</si>
  <si>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</si>
  <si>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</si>
  <si>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</si>
  <si>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</si>
  <si>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</si>
  <si>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</si>
  <si>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</si>
  <si>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</si>
  <si>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</si>
  <si>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</si>
  <si>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</si>
  <si>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</si>
  <si>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</si>
  <si>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</si>
  <si>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</si>
  <si>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</si>
  <si>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</si>
  <si>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</si>
  <si>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</si>
  <si>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</si>
  <si>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</si>
  <si>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</si>
  <si>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</si>
  <si>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</si>
  <si>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</si>
  <si>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</si>
  <si>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</si>
  <si>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</si>
  <si>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</si>
  <si>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</si>
  <si>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</si>
  <si>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</si>
  <si>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</si>
  <si>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</si>
  <si>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</si>
  <si>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</si>
  <si>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</si>
  <si>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</si>
  <si>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</si>
  <si>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</si>
  <si>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</si>
  <si>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</si>
  <si>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</si>
  <si>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</si>
  <si>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</si>
  <si>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</si>
  <si>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</si>
  <si>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</si>
  <si>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</si>
  <si>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</si>
  <si>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</si>
  <si>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</si>
  <si>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</si>
  <si>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</si>
  <si>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</si>
  <si>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</si>
  <si>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</si>
  <si>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</si>
  <si>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</si>
  <si>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</si>
  <si>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</si>
  <si>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</si>
  <si>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</si>
  <si>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</si>
  <si>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</si>
  <si>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</si>
  <si>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</si>
  <si>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</si>
  <si>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</si>
  <si>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</si>
  <si>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</si>
  <si>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</si>
  <si>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</si>
  <si>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</si>
  <si>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</si>
  <si>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</si>
  <si>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</si>
  <si>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</si>
  <si>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</si>
  <si>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</si>
  <si>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</si>
  <si>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</si>
  <si>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</si>
  <si>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</si>
  <si>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</si>
  <si>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</si>
  <si>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</si>
  <si>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</si>
  <si>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</si>
  <si>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</si>
  <si>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</si>
  <si>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</si>
  <si>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</si>
  <si>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</si>
  <si>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</si>
  <si>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</si>
  <si>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</si>
  <si>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</si>
  <si>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</si>
  <si>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</si>
  <si>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</si>
  <si>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</si>
  <si>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</si>
  <si>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</si>
  <si>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</si>
  <si>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</si>
  <si>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</si>
  <si>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</si>
  <si>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</si>
  <si>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</si>
  <si>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</si>
  <si>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</si>
  <si>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</si>
  <si>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</si>
  <si>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</si>
  <si>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</si>
  <si>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</si>
  <si>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</si>
  <si>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</si>
  <si>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</si>
  <si>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</si>
  <si>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</si>
  <si>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</si>
  <si>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</si>
  <si>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</si>
  <si>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</si>
  <si>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</si>
  <si>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</si>
  <si>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</si>
  <si>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</si>
  <si>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</si>
  <si>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</si>
  <si>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</si>
  <si>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</si>
  <si>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</si>
  <si>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</si>
  <si>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</si>
  <si>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</si>
  <si>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</si>
  <si>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</si>
  <si>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</si>
  <si>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</si>
  <si>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</si>
  <si>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</si>
  <si>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</si>
  <si>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</si>
  <si>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</si>
  <si>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</si>
  <si>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</si>
  <si>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</si>
  <si>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</si>
  <si>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</si>
  <si>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</si>
  <si>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</si>
  <si>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</si>
  <si>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</si>
  <si>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</si>
  <si>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</si>
  <si>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</si>
  <si>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</si>
  <si>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</si>
  <si>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</si>
  <si>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</si>
  <si>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</si>
  <si>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</si>
  <si>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</si>
  <si>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</si>
  <si>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</si>
  <si>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</si>
  <si>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</si>
  <si>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</si>
  <si>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</si>
  <si>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</si>
  <si>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</si>
  <si>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</si>
  <si>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</si>
  <si>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</si>
  <si>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</si>
  <si>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</si>
  <si>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</si>
  <si>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</si>
  <si>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</si>
  <si>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</si>
  <si>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</si>
  <si>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</si>
  <si>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</si>
  <si>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</si>
  <si>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</si>
  <si>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</si>
  <si>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</si>
  <si>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</si>
  <si>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</si>
  <si>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</si>
  <si>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</si>
  <si>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</si>
  <si>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</si>
  <si>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</si>
  <si>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</si>
  <si>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</si>
  <si>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</si>
  <si>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</si>
  <si>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</si>
  <si>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</si>
  <si>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</si>
  <si>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</si>
  <si>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</si>
  <si>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</si>
  <si>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</si>
  <si>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</si>
  <si>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</si>
  <si>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</si>
  <si>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</si>
  <si>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</si>
  <si>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</si>
  <si>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</si>
  <si>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</si>
  <si>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</si>
  <si>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</si>
  <si>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</si>
  <si>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</si>
  <si>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</si>
  <si>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</si>
  <si>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</si>
  <si>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</si>
  <si>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</si>
  <si>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</si>
  <si>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</si>
  <si>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</si>
  <si>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</si>
  <si>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</si>
  <si>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</si>
  <si>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</si>
  <si>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</si>
  <si>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</si>
  <si>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</si>
  <si>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</si>
  <si>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</si>
  <si>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</si>
  <si>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</si>
  <si>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</si>
  <si>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</si>
  <si>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</si>
  <si>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</si>
  <si>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</si>
  <si>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</si>
  <si>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</si>
  <si>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</si>
  <si>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</si>
  <si>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</si>
  <si>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</si>
  <si>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</si>
  <si>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</si>
  <si>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</si>
  <si>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</si>
  <si>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</si>
  <si>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</si>
  <si>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</si>
  <si>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</si>
  <si>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</si>
  <si>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</si>
  <si>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</si>
  <si>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</si>
  <si>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</si>
  <si>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</si>
  <si>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</si>
  <si>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</si>
  <si>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</si>
  <si>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</si>
  <si>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</si>
  <si>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</si>
  <si>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</si>
  <si>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</si>
  <si>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</si>
  <si>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</si>
  <si>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</si>
  <si>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</si>
  <si>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</si>
  <si>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</si>
  <si>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</si>
  <si>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</si>
  <si>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</si>
  <si>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</si>
  <si>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</si>
  <si>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</si>
  <si>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</si>
  <si>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</si>
  <si>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</si>
  <si>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</si>
  <si>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</si>
  <si>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</si>
  <si>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</si>
  <si>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</si>
  <si>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</si>
  <si>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</si>
  <si>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</si>
  <si>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</si>
  <si>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</si>
  <si>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</si>
  <si>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</si>
  <si>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</si>
  <si>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</si>
  <si>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</si>
  <si>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</si>
  <si>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</si>
  <si>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</si>
  <si>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</si>
  <si>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</si>
  <si>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</si>
  <si>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</si>
  <si>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</si>
  <si>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</si>
  <si>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</si>
  <si>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</si>
  <si>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</si>
  <si>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</si>
  <si>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</si>
  <si>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</si>
  <si>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</si>
  <si>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</si>
  <si>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</si>
  <si>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</si>
  <si>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</si>
  <si>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</si>
  <si>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</si>
  <si>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</si>
  <si>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</si>
  <si>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</si>
  <si>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</si>
  <si>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</si>
  <si>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</si>
  <si>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</si>
  <si>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</si>
  <si>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</si>
  <si>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</si>
  <si>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</si>
  <si>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</si>
  <si>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</si>
  <si>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</si>
  <si>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</si>
  <si>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</si>
  <si>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</si>
  <si>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</si>
  <si>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</si>
  <si>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</si>
  <si>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</si>
  <si>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</si>
  <si>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</si>
  <si>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</si>
  <si>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</si>
  <si>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</si>
  <si>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</si>
  <si>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</si>
  <si>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</si>
  <si>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</si>
  <si>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</si>
  <si>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</si>
  <si>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</si>
  <si>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</si>
  <si>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</si>
  <si>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</si>
  <si>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</si>
  <si>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</si>
  <si>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</si>
  <si>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</si>
  <si>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</si>
  <si>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</si>
  <si>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</si>
  <si>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</si>
  <si>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</si>
  <si>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</si>
  <si>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</si>
  <si>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</si>
  <si>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</si>
  <si>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</si>
  <si>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</si>
  <si>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</si>
  <si>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</si>
  <si>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</si>
  <si>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</si>
  <si>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</si>
  <si>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</si>
  <si>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</si>
  <si>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</si>
  <si>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</si>
  <si>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</si>
  <si>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</si>
  <si>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</si>
  <si>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</si>
  <si>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</si>
  <si>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</si>
  <si>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</si>
  <si>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</si>
  <si>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</si>
  <si>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</si>
  <si>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</si>
  <si>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</si>
  <si>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</si>
  <si>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</si>
  <si>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</si>
  <si>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</si>
  <si>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</si>
  <si>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</si>
  <si>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</si>
  <si>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</si>
  <si>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</si>
  <si>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</si>
  <si>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</si>
  <si>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</si>
  <si>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</si>
  <si>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</si>
  <si>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</si>
  <si>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</si>
  <si>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</si>
  <si>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</si>
  <si>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</si>
  <si>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</si>
  <si>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</si>
  <si>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</si>
  <si>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</si>
  <si>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</si>
  <si>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</si>
  <si>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</si>
  <si>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</si>
  <si>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</si>
  <si>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</si>
  <si>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</si>
  <si>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</si>
  <si>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</si>
  <si>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</si>
  <si>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</si>
  <si>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</si>
  <si>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</si>
  <si>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</si>
  <si>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</si>
  <si>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</si>
  <si>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</si>
  <si>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</si>
  <si>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</si>
  <si>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</si>
  <si>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</si>
  <si>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</si>
  <si>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</si>
  <si>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</si>
  <si>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</si>
  <si>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</si>
  <si>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</si>
  <si>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</si>
  <si>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</si>
  <si>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</si>
  <si>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</si>
  <si>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</si>
  <si>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</si>
  <si>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</si>
  <si>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</si>
  <si>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</si>
  <si>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</si>
  <si>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</si>
  <si>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</si>
  <si>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</si>
  <si>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</si>
  <si>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</si>
  <si>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</si>
  <si>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</si>
  <si>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</si>
  <si>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</si>
  <si>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</si>
  <si>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</si>
  <si>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</si>
  <si>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</si>
  <si>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</si>
  <si>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</si>
  <si>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</si>
  <si>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</si>
  <si>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</si>
  <si>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</si>
  <si>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</si>
  <si>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</si>
  <si>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</si>
  <si>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</si>
  <si>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</si>
  <si>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</si>
  <si>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</si>
  <si>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</si>
  <si>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</si>
  <si>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</si>
  <si>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</si>
  <si>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</si>
  <si>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</si>
  <si>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</si>
  <si>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</si>
  <si>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</si>
  <si>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</si>
  <si>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</si>
  <si>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</si>
  <si>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</si>
  <si>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</si>
  <si>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</si>
  <si>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</si>
  <si>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</si>
  <si>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</si>
  <si>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</si>
  <si>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</si>
  <si>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</si>
  <si>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</si>
  <si>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</si>
  <si>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</si>
  <si>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</si>
  <si>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</si>
  <si>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</si>
  <si>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</si>
  <si>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</si>
  <si>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</si>
  <si>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</si>
  <si>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</si>
  <si>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</si>
  <si>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</si>
  <si>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</si>
  <si>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</si>
  <si>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</si>
  <si>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</si>
  <si>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</si>
  <si>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</si>
  <si>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</si>
  <si>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</si>
  <si>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</si>
  <si>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</si>
  <si>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</si>
  <si>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</si>
  <si>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</si>
  <si>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</si>
  <si>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</si>
  <si>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</si>
  <si>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</si>
  <si>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</si>
  <si>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</si>
  <si>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</si>
  <si>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</si>
  <si>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</si>
  <si>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</si>
  <si>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</si>
  <si>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</si>
  <si>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</si>
  <si>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</si>
  <si>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</si>
  <si>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</si>
  <si>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</si>
  <si>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</si>
  <si>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</si>
  <si>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</si>
  <si>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</si>
  <si>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</si>
  <si>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</si>
  <si>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</si>
  <si>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</si>
  <si>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</si>
  <si>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</si>
  <si>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</si>
  <si>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</si>
  <si>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</si>
  <si>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</si>
  <si>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</si>
  <si>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</si>
  <si>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</si>
  <si>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</si>
  <si>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</si>
  <si>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</si>
  <si>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</si>
  <si>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</si>
  <si>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</si>
  <si>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</si>
  <si>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</si>
  <si>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</si>
  <si>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</si>
  <si>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</si>
  <si>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</si>
  <si>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</si>
  <si>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</si>
  <si>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</si>
  <si>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</si>
  <si>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</si>
  <si>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</si>
  <si>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</si>
  <si>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</si>
  <si>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</si>
  <si>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</si>
  <si>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</si>
  <si>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</si>
  <si>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</si>
  <si>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</si>
  <si>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</si>
  <si>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</si>
  <si>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</si>
  <si>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</si>
  <si>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</si>
  <si>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</si>
  <si>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</si>
  <si>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</si>
  <si>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</si>
  <si>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</si>
  <si>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</si>
  <si>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</si>
  <si>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</si>
  <si>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</si>
  <si>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</si>
  <si>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</si>
  <si>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</si>
  <si>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</si>
  <si>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</si>
  <si>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</si>
  <si>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</si>
  <si>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</si>
  <si>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</si>
  <si>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</si>
  <si>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</si>
  <si>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</si>
  <si>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</si>
  <si>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</si>
  <si>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</si>
  <si>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</si>
  <si>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</si>
  <si>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</si>
  <si>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</si>
  <si>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</si>
  <si>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</si>
  <si>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</si>
  <si>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</si>
  <si>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</si>
  <si>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</si>
  <si>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</si>
  <si>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</si>
  <si>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</si>
  <si>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</si>
  <si>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</si>
  <si>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</si>
  <si>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</si>
  <si>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</si>
  <si>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</si>
  <si>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</si>
  <si>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</si>
  <si>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</si>
  <si>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</si>
  <si>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</si>
  <si>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</si>
  <si>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</si>
  <si>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</si>
  <si>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</si>
  <si>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</si>
  <si>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</si>
  <si>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</si>
  <si>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</si>
  <si>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</si>
  <si>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</si>
  <si>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</si>
  <si>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</si>
  <si>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</si>
  <si>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</si>
  <si>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</si>
  <si>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</si>
  <si>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</si>
  <si>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</si>
  <si>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</si>
  <si>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</si>
  <si>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</si>
  <si>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</si>
  <si>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</si>
  <si>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</si>
  <si>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</si>
  <si>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</si>
  <si>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</si>
  <si>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</si>
  <si>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</si>
  <si>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</si>
  <si>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</si>
  <si>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</si>
  <si>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</si>
  <si>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</si>
  <si>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</si>
  <si>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</si>
  <si>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</si>
  <si>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</si>
  <si>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</si>
  <si>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</si>
  <si>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</si>
  <si>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</si>
  <si>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</si>
  <si>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</si>
  <si>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</si>
  <si>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</si>
  <si>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</si>
  <si>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</si>
  <si>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</si>
  <si>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</si>
  <si>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</si>
  <si>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</si>
  <si>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</si>
  <si>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</si>
  <si>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</si>
  <si>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</si>
  <si>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</si>
  <si>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</si>
  <si>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</si>
  <si>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</si>
  <si>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</si>
  <si>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</si>
  <si>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</si>
  <si>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</si>
  <si>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</si>
  <si>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</si>
  <si>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</si>
  <si>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</si>
  <si>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</si>
  <si>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</si>
  <si>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</si>
  <si>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</si>
  <si>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</si>
  <si>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</si>
  <si>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</si>
  <si>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</si>
  <si>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</si>
  <si>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</si>
  <si>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</si>
  <si>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</si>
  <si>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</si>
  <si>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</si>
  <si>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</si>
  <si>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</si>
  <si>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</si>
  <si>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</si>
  <si>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</si>
  <si>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</si>
  <si>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</si>
  <si>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</si>
  <si>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</si>
  <si>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</si>
  <si>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</si>
  <si>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</si>
  <si>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</si>
  <si>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</si>
  <si>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</si>
  <si>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</si>
  <si>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</si>
  <si>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</si>
  <si>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</si>
  <si>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</si>
  <si>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</si>
  <si>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</si>
  <si>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</si>
  <si>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</si>
  <si>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</si>
  <si>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</si>
  <si>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</si>
  <si>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</si>
  <si>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</si>
  <si>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</si>
  <si>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</si>
  <si>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</si>
  <si>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</si>
  <si>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</si>
  <si>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</si>
  <si>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</si>
  <si>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</si>
  <si>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</si>
  <si>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</si>
  <si>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</si>
  <si>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</si>
  <si>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</si>
  <si>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</si>
  <si>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</si>
  <si>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</si>
  <si>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</si>
  <si>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</si>
  <si>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</si>
  <si>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</si>
  <si>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</si>
  <si>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</si>
  <si>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</si>
  <si>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</si>
  <si>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</si>
  <si>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</si>
  <si>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</si>
  <si>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</si>
  <si>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</si>
  <si>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</si>
  <si>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</si>
  <si>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</si>
  <si>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</si>
  <si>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</si>
  <si>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</si>
  <si>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</si>
  <si>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</si>
  <si>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</si>
  <si>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</si>
  <si>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</si>
  <si>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</si>
  <si>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</si>
  <si>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</si>
  <si>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</si>
  <si>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</si>
  <si>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</si>
  <si>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</si>
  <si>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</si>
  <si>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</si>
  <si>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</si>
  <si>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</si>
  <si>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</si>
  <si>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</si>
  <si>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</si>
  <si>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</si>
  <si>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</si>
  <si>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</si>
  <si>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</si>
  <si>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</si>
  <si>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</si>
  <si>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</si>
  <si>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</si>
  <si>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</si>
  <si>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</si>
  <si>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</si>
  <si>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</si>
  <si>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</si>
  <si>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</si>
  <si>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</si>
  <si>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</si>
  <si>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</si>
  <si>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</si>
  <si>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</si>
  <si>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</si>
  <si>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</si>
  <si>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</si>
  <si>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</si>
  <si>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</si>
  <si>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</si>
  <si>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</si>
  <si>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</si>
  <si>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</si>
  <si>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</si>
  <si>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</si>
  <si>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</si>
  <si>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</si>
  <si>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</si>
  <si>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</si>
  <si>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</si>
  <si>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</si>
  <si>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</si>
  <si>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</si>
  <si>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</si>
  <si>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</si>
  <si>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</si>
  <si>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</si>
  <si>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</si>
  <si>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</si>
  <si>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</si>
  <si>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</si>
  <si>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</si>
  <si>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</si>
  <si>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</si>
  <si>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</si>
  <si>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</si>
  <si>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</si>
  <si>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</si>
  <si>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</si>
  <si>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</si>
  <si>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</si>
  <si>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</si>
  <si>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</si>
  <si>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</si>
  <si>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</si>
  <si>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</si>
  <si>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</si>
  <si>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</si>
  <si>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</si>
  <si>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</si>
  <si>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</si>
  <si>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</si>
  <si>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</si>
  <si>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</si>
  <si>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</si>
  <si>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</si>
  <si>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</si>
  <si>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</si>
  <si>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</si>
  <si>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</si>
  <si>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</si>
  <si>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</si>
  <si>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</si>
  <si>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</si>
  <si>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</si>
  <si>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</si>
  <si>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</si>
  <si>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</si>
  <si>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</si>
  <si>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</si>
  <si>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</si>
  <si>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</si>
  <si>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</si>
  <si>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</si>
  <si>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</si>
  <si>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</si>
  <si>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</si>
  <si>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</si>
  <si>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</si>
  <si>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</si>
  <si>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</si>
  <si>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</si>
  <si>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</si>
  <si>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</si>
  <si>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</si>
  <si>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</si>
  <si>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</si>
  <si>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</si>
  <si>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</si>
  <si>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</si>
  <si>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</si>
  <si>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</si>
  <si>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</si>
  <si>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</si>
  <si>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</si>
  <si>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</si>
  <si>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</si>
  <si>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</si>
  <si>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</si>
  <si>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</si>
  <si>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</si>
  <si>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</si>
  <si>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</si>
  <si>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</si>
  <si>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</si>
  <si>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</si>
  <si>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</si>
  <si>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</si>
  <si>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</si>
  <si>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</si>
  <si>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</si>
  <si>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</si>
  <si>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</si>
  <si>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</si>
  <si>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</si>
  <si>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</si>
  <si>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</si>
  <si>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</si>
  <si>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</si>
  <si>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</si>
  <si>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</si>
  <si>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</si>
  <si>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</si>
  <si>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</si>
  <si>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</si>
  <si>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</si>
  <si>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</si>
  <si>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</si>
  <si>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</si>
  <si>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</si>
  <si>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</si>
  <si>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</si>
  <si>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</si>
  <si>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</si>
  <si>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</si>
  <si>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</si>
  <si>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</si>
  <si>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</si>
  <si>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</si>
  <si>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</si>
  <si>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</si>
  <si>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</si>
  <si>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</si>
  <si>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</si>
  <si>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</si>
  <si>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</si>
  <si>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</si>
  <si>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</si>
  <si>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</si>
  <si>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</si>
  <si>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</si>
  <si>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</si>
  <si>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</si>
  <si>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</si>
  <si>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</si>
  <si>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</si>
  <si>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</si>
  <si>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</si>
  <si>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</si>
  <si>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</si>
  <si>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</si>
  <si>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</si>
  <si>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</si>
  <si>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</si>
  <si>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</si>
  <si>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</si>
  <si>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</si>
  <si>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</si>
  <si>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</si>
  <si>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</si>
  <si>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</si>
  <si>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</si>
  <si>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</si>
  <si>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</si>
  <si>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</si>
  <si>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</si>
  <si>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</si>
  <si>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</si>
  <si>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</si>
  <si>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</si>
  <si>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</si>
  <si>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</si>
  <si>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</si>
  <si>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</si>
  <si>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</si>
  <si>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</si>
  <si>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</si>
  <si>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</si>
  <si>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</si>
  <si>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</si>
  <si>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</si>
  <si>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</si>
  <si>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</si>
  <si>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</si>
  <si>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</si>
  <si>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</si>
  <si>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</si>
  <si>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</si>
  <si>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</si>
  <si>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</si>
  <si>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</si>
  <si>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</si>
  <si>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</si>
  <si>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</si>
  <si>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</si>
  <si>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</si>
  <si>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</si>
  <si>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</si>
  <si>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</si>
  <si>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</si>
  <si>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</si>
  <si>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</si>
  <si>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</si>
  <si>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</si>
  <si>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</si>
  <si>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</si>
  <si>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</si>
  <si>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</si>
  <si>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</si>
  <si>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</si>
  <si>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</si>
  <si>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</si>
  <si>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</si>
  <si>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</si>
  <si>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</si>
  <si>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</si>
  <si>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</si>
  <si>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</si>
  <si>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</si>
  <si>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</si>
  <si>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</si>
  <si>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</si>
  <si>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</si>
  <si>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</si>
  <si>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</si>
  <si>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</si>
  <si>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</si>
  <si>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</si>
  <si>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</si>
  <si>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</si>
  <si>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</si>
  <si>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</si>
  <si>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</si>
  <si>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</si>
  <si>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</si>
  <si>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</si>
  <si>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</si>
  <si>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</si>
  <si>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</si>
  <si>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</si>
  <si>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</si>
  <si>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</si>
  <si>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</si>
  <si>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</si>
  <si>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</si>
  <si>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</si>
  <si>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</si>
  <si>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</si>
  <si>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</si>
  <si>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</si>
  <si>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</si>
  <si>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</si>
  <si>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</si>
  <si>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</si>
  <si>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</si>
  <si>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</si>
  <si>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</si>
  <si>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</si>
  <si>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</si>
  <si>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</si>
  <si>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</si>
  <si>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</si>
  <si>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</si>
  <si>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</si>
  <si>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</si>
  <si>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</si>
  <si>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</si>
  <si>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</si>
  <si>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</si>
  <si>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</si>
  <si>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</si>
  <si>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</si>
  <si>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</si>
  <si>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</si>
  <si>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</si>
  <si>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</si>
  <si>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</si>
  <si>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</si>
  <si>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</si>
  <si>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</si>
  <si>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</si>
  <si>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</si>
  <si>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</si>
  <si>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</si>
  <si>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</si>
  <si>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</si>
  <si>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</si>
  <si>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</si>
  <si>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</si>
  <si>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</si>
  <si>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</si>
  <si>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</si>
  <si>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</si>
  <si>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</si>
  <si>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</si>
  <si>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</si>
  <si>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</si>
  <si>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</si>
  <si>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</si>
  <si>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</si>
  <si>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</si>
  <si>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</si>
  <si>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</si>
  <si>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</si>
  <si>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</si>
  <si>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</si>
  <si>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</si>
  <si>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</si>
  <si>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</si>
  <si>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</si>
  <si>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</si>
  <si>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</si>
  <si>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</si>
  <si>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</si>
  <si>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</si>
  <si>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</si>
  <si>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</si>
  <si>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</si>
  <si>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</si>
  <si>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</si>
  <si>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</si>
  <si>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</si>
  <si>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</si>
  <si>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</si>
  <si>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</si>
  <si>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</si>
  <si>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</si>
  <si>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</si>
  <si>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</si>
  <si>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</si>
  <si>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</si>
  <si>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</si>
  <si>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</si>
  <si>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</si>
  <si>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</si>
  <si>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</si>
  <si>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</si>
  <si>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</si>
  <si>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</si>
  <si>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</si>
  <si>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</si>
  <si>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</si>
  <si>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</si>
  <si>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</si>
  <si>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</si>
  <si>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</si>
  <si>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</si>
  <si>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</si>
  <si>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</si>
  <si>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</si>
  <si>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</si>
  <si>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</si>
  <si>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</si>
  <si>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</si>
  <si>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</si>
  <si>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</si>
  <si>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</si>
  <si>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</si>
  <si>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</si>
  <si>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</si>
  <si>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</si>
  <si>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</si>
  <si>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</si>
  <si>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</si>
  <si>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</si>
  <si>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</si>
  <si>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</si>
  <si>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</si>
  <si>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</si>
  <si>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</si>
  <si>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</si>
  <si>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</si>
  <si>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</si>
  <si>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</si>
  <si>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</si>
  <si>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</si>
  <si>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</si>
  <si>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</si>
  <si>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</si>
  <si>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</si>
  <si>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</si>
  <si>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</si>
  <si>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</si>
  <si>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</si>
  <si>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</si>
  <si>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</si>
  <si>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</si>
  <si>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</si>
  <si>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</si>
  <si>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</si>
  <si>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</si>
  <si>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</si>
  <si>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</si>
  <si>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</si>
  <si>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</si>
  <si>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</si>
  <si>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</si>
  <si>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</si>
  <si>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</si>
  <si>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</si>
  <si>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</si>
  <si>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</si>
  <si>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</si>
  <si>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</si>
  <si>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</si>
  <si>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</si>
  <si>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</si>
  <si>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</si>
  <si>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</si>
  <si>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</si>
  <si>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</si>
  <si>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</si>
  <si>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</si>
  <si>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</si>
  <si>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</si>
  <si>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</si>
  <si>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</si>
  <si>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</si>
  <si>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</si>
  <si>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</si>
  <si>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</si>
  <si>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</si>
  <si>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</si>
  <si>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</si>
  <si>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</si>
  <si>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</si>
  <si>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</si>
  <si>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</si>
  <si>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</si>
  <si>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</si>
  <si>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</si>
  <si>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</si>
  <si>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</si>
  <si>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</si>
  <si>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</si>
  <si>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</si>
  <si>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</si>
  <si>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</si>
  <si>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</si>
  <si>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</si>
  <si>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</si>
  <si>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</si>
  <si>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</si>
  <si>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</si>
  <si>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</si>
  <si>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</si>
  <si>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</si>
  <si>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</si>
  <si>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</si>
  <si>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</si>
  <si>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</si>
  <si>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</si>
  <si>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</si>
  <si>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</si>
  <si>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</si>
  <si>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</si>
  <si>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</si>
  <si>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</si>
  <si>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</si>
  <si>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</si>
  <si>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</si>
  <si>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</si>
  <si>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</si>
  <si>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</si>
  <si>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</si>
  <si>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</si>
  <si>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</si>
  <si>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</si>
  <si>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</si>
  <si>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</si>
  <si>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</si>
  <si>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</si>
  <si>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</si>
  <si>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</si>
  <si>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</si>
  <si>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</si>
  <si>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</si>
  <si>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</si>
  <si>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</si>
  <si>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</si>
  <si>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</si>
  <si>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</si>
  <si>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</si>
  <si>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</si>
  <si>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</si>
  <si>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</si>
  <si>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</si>
  <si>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</si>
  <si>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</si>
  <si>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</si>
  <si>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</si>
  <si>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</si>
  <si>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</si>
  <si>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</si>
  <si>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</si>
  <si>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</si>
  <si>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</si>
  <si>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</si>
  <si>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</si>
  <si>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</si>
  <si>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</si>
  <si>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</si>
  <si>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</si>
  <si>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</si>
  <si>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</si>
  <si>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</si>
  <si>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</si>
  <si>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</si>
  <si>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</si>
  <si>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</si>
  <si>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</si>
  <si>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</si>
  <si>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</si>
  <si>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</si>
  <si>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</si>
  <si>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</si>
  <si>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</si>
  <si>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</si>
  <si>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</si>
  <si>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</si>
  <si>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</si>
  <si>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</si>
  <si>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</si>
  <si>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</si>
  <si>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</si>
  <si>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</si>
  <si>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</si>
  <si>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</si>
  <si>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</si>
  <si>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</si>
  <si>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</si>
  <si>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</si>
  <si>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</si>
  <si>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</si>
  <si>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</si>
  <si>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</si>
  <si>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</si>
  <si>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</si>
  <si>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</si>
  <si>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</si>
  <si>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</si>
  <si>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</si>
  <si>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</si>
  <si>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</si>
  <si>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</si>
  <si>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</si>
  <si>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</si>
  <si>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</si>
  <si>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</si>
  <si>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</si>
  <si>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</si>
  <si>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</si>
  <si>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</si>
  <si>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</si>
  <si>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</si>
  <si>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</si>
  <si>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</si>
  <si>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</si>
  <si>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</si>
  <si>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</si>
  <si>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</si>
  <si>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</si>
  <si>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</si>
  <si>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</si>
  <si>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</si>
  <si>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</si>
  <si>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</si>
  <si>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</si>
  <si>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</si>
  <si>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</si>
  <si>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</si>
  <si>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</si>
  <si>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</si>
  <si>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</si>
  <si>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</si>
  <si>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</si>
  <si>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</si>
  <si>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</si>
  <si>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</si>
  <si>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</si>
  <si>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</si>
  <si>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</si>
  <si>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</si>
  <si>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</si>
  <si>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</si>
  <si>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</si>
  <si>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</si>
  <si>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</si>
  <si>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</si>
  <si>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</si>
  <si>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</si>
  <si>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</si>
  <si>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</si>
  <si>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</si>
  <si>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</si>
  <si>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</si>
  <si>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</si>
  <si>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</si>
  <si>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</si>
  <si>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</si>
  <si>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</si>
  <si>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</si>
  <si>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</si>
  <si>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</si>
  <si>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</si>
  <si>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</si>
  <si>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</si>
  <si>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</si>
  <si>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</si>
  <si>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</si>
  <si>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</si>
  <si>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</si>
  <si>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</si>
  <si>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</si>
  <si>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</si>
  <si>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</si>
  <si>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</si>
  <si>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</si>
  <si>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</si>
  <si>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</si>
  <si>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</si>
  <si>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</si>
  <si>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</si>
  <si>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</si>
  <si>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</si>
  <si>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</si>
  <si>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</si>
  <si>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</si>
  <si>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</si>
  <si>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</si>
  <si>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</si>
  <si>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</si>
  <si>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</si>
  <si>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</si>
  <si>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</si>
  <si>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</si>
  <si>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</si>
  <si>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</si>
  <si>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</si>
  <si>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</si>
  <si>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</si>
  <si>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</si>
  <si>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</si>
  <si>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</si>
  <si>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</si>
  <si>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</si>
  <si>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</si>
  <si>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</si>
  <si>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</si>
  <si>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</si>
  <si>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</si>
  <si>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</si>
  <si>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</si>
  <si>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</si>
  <si>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</si>
  <si>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</si>
  <si>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</si>
  <si>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</si>
  <si>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</si>
  <si>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</si>
  <si>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</si>
  <si>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</si>
  <si>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</si>
  <si>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</si>
  <si>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</si>
  <si>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</si>
  <si>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</si>
  <si>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</si>
  <si>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</si>
  <si>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</si>
  <si>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</si>
  <si>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</si>
  <si>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</si>
  <si>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</si>
  <si>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</si>
  <si>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</si>
  <si>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</si>
  <si>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</si>
  <si>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</si>
  <si>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</si>
  <si>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</si>
  <si>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</si>
  <si>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</si>
  <si>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</si>
  <si>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</si>
  <si>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</si>
  <si>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</si>
  <si>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</si>
  <si>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</si>
  <si>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</si>
  <si>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</si>
  <si>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</si>
  <si>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</si>
  <si>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</si>
  <si>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</si>
  <si>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</si>
  <si>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</si>
  <si>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</si>
  <si>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</si>
  <si>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</si>
  <si>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</si>
  <si>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</si>
  <si>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</si>
  <si>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</si>
  <si>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</si>
  <si>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</si>
  <si>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</si>
  <si>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</si>
  <si>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</si>
  <si>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</si>
  <si>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</si>
  <si>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</si>
  <si>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</si>
  <si>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</si>
  <si>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</si>
  <si>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</si>
  <si>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</si>
  <si>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</si>
  <si>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</si>
  <si>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</si>
  <si>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</si>
  <si>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</si>
  <si>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</si>
  <si>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</si>
  <si>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</si>
  <si>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</si>
  <si>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</si>
  <si>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</si>
  <si>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</si>
  <si>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</si>
  <si>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</si>
  <si>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</si>
  <si>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</si>
  <si>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</si>
  <si>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</si>
  <si>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</si>
  <si>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</si>
  <si>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</si>
  <si>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</si>
  <si>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</si>
  <si>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</si>
  <si>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</si>
  <si>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</si>
  <si>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</si>
  <si>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</si>
  <si>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</si>
  <si>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</si>
  <si>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</si>
  <si>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</si>
  <si>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</si>
  <si>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</si>
  <si>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</si>
  <si>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</si>
  <si>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</si>
  <si>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</si>
  <si>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</si>
  <si>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</si>
  <si>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</si>
  <si>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</si>
  <si>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</si>
  <si>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</si>
  <si>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</si>
  <si>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</si>
  <si>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</si>
  <si>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</si>
  <si>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</si>
  <si>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</si>
  <si>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</si>
  <si>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</si>
  <si>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</si>
  <si>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</si>
  <si>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</si>
  <si>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</si>
  <si>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</si>
  <si>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</si>
  <si>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</si>
  <si>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</si>
  <si>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</si>
  <si>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</si>
  <si>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</si>
  <si>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</si>
  <si>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</si>
  <si>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</si>
  <si>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</si>
  <si>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</si>
  <si>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</si>
  <si>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</si>
  <si>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</si>
  <si>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</si>
  <si>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</si>
  <si>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</si>
  <si>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</si>
  <si>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</si>
  <si>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</si>
  <si>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</si>
  <si>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</si>
  <si>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</si>
  <si>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</si>
  <si>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</si>
  <si>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</si>
  <si>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</si>
  <si>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</si>
  <si>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</si>
  <si>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</si>
  <si>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</si>
  <si>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</si>
  <si>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</si>
  <si>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</si>
  <si>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</si>
  <si>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</si>
  <si>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</si>
  <si>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</si>
  <si>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</si>
  <si>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</si>
  <si>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</si>
  <si>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</si>
  <si>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</si>
  <si>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</si>
  <si>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</si>
  <si>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</si>
  <si>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</si>
  <si>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</si>
  <si>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</si>
  <si>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</si>
  <si>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</si>
  <si>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</si>
  <si>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</si>
  <si>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</si>
  <si>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</si>
  <si>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</si>
  <si>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</si>
  <si>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</si>
  <si>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</si>
  <si>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</si>
  <si>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</si>
  <si>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</si>
  <si>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</si>
  <si>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</si>
  <si>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</si>
  <si>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</si>
  <si>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</si>
  <si>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</si>
  <si>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</si>
  <si>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</si>
  <si>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</si>
  <si>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</si>
  <si>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</si>
  <si>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</si>
  <si>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</si>
  <si>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</si>
  <si>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</si>
  <si>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</si>
  <si>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</si>
  <si>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</si>
  <si>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</si>
  <si>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</si>
  <si>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</si>
  <si>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</si>
  <si>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</si>
  <si>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</si>
  <si>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</si>
  <si>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</si>
  <si>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</si>
  <si>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</si>
  <si>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</si>
  <si>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</si>
  <si>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</si>
  <si>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</si>
  <si>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</si>
  <si>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</si>
  <si>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</si>
  <si>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</si>
  <si>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</si>
  <si>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</si>
  <si>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</si>
  <si>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</si>
  <si>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</si>
  <si>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</si>
  <si>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</si>
  <si>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</si>
  <si>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</si>
  <si>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</si>
  <si>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</si>
  <si>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</si>
  <si>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</si>
  <si>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</si>
  <si>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</si>
  <si>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</si>
  <si>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</si>
  <si>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</si>
  <si>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</si>
  <si>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</si>
  <si>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</si>
  <si>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</si>
  <si>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</si>
  <si>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</si>
  <si>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</si>
  <si>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</si>
  <si>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</si>
  <si>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</si>
  <si>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</si>
  <si>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</si>
  <si>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</si>
  <si>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</si>
  <si>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</si>
  <si>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</si>
  <si>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</si>
  <si>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</si>
  <si>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</si>
  <si>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</si>
  <si>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</si>
  <si>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</si>
  <si>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</si>
  <si>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</si>
  <si>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</si>
  <si>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</si>
  <si>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</si>
  <si>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</si>
  <si>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</si>
  <si>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</si>
  <si>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</si>
  <si>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</si>
  <si>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</si>
  <si>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</si>
  <si>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</si>
  <si>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</si>
  <si>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</si>
  <si>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</si>
  <si>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</si>
  <si>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</si>
  <si>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</si>
  <si>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</si>
  <si>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</si>
  <si>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</si>
  <si>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</si>
  <si>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</si>
  <si>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</si>
  <si>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</si>
  <si>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</si>
  <si>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</si>
  <si>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</si>
  <si>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</si>
  <si>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</si>
  <si>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</si>
  <si>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</si>
  <si>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</si>
  <si>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</si>
  <si>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</si>
  <si>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</si>
  <si>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</si>
  <si>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</si>
  <si>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</si>
  <si>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</si>
  <si>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</si>
  <si>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</si>
  <si>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</si>
  <si>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</si>
  <si>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</si>
  <si>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</si>
  <si>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</si>
  <si>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</si>
  <si>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</si>
  <si>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</si>
  <si>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</si>
  <si>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</si>
  <si>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</si>
  <si>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</si>
  <si>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</si>
  <si>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</si>
  <si>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</si>
  <si>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</si>
  <si>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</si>
  <si>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</si>
  <si>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</si>
  <si>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</si>
  <si>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</si>
  <si>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</si>
  <si>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</si>
  <si>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</si>
  <si>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</si>
  <si>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</si>
  <si>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</si>
  <si>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</si>
  <si>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</si>
  <si>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</si>
  <si>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</si>
  <si>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</si>
  <si>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</si>
  <si>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</si>
  <si>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</si>
  <si>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</si>
  <si>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</si>
  <si>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</si>
  <si>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</si>
  <si>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</si>
  <si>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</si>
  <si>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</si>
  <si>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</si>
  <si>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</si>
  <si>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</si>
  <si>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</si>
  <si>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</si>
  <si>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</si>
  <si>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</si>
  <si>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</si>
  <si>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</si>
  <si>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</si>
  <si>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</si>
  <si>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</si>
  <si>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</si>
  <si>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</si>
  <si>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</si>
  <si>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</si>
  <si>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</si>
  <si>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</si>
  <si>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</si>
  <si>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</si>
  <si>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</si>
  <si>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</si>
  <si>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</si>
  <si>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</si>
  <si>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</si>
  <si>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</si>
  <si>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</si>
  <si>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</si>
  <si>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</si>
  <si>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</si>
  <si>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</si>
  <si>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</si>
  <si>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</si>
  <si>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</si>
  <si>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</si>
  <si>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</si>
  <si>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</si>
  <si>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</si>
  <si>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</si>
  <si>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</si>
  <si>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</si>
  <si>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</si>
  <si>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</si>
  <si>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</si>
  <si>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</si>
  <si>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</si>
  <si>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</si>
  <si>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</si>
  <si>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</si>
  <si>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</si>
  <si>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</si>
  <si>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</si>
  <si>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</si>
  <si>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</si>
  <si>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</si>
  <si>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</si>
  <si>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</si>
  <si>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</si>
  <si>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</si>
  <si>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</si>
  <si>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</si>
  <si>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</si>
  <si>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</si>
  <si>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</si>
  <si>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</si>
  <si>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</si>
  <si>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</si>
  <si>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</si>
  <si>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</si>
  <si>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</si>
  <si>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</si>
  <si>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</si>
  <si>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</si>
  <si>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</si>
  <si>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</si>
  <si>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</si>
  <si>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</si>
  <si>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</si>
  <si>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</si>
  <si>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</si>
  <si>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</si>
  <si>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</si>
  <si>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</si>
  <si>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</si>
  <si>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</si>
  <si>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</si>
  <si>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</si>
  <si>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</si>
  <si>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</si>
  <si>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</si>
  <si>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</si>
  <si>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</si>
  <si>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</si>
  <si>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</si>
  <si>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</si>
  <si>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</si>
  <si>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</si>
  <si>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</si>
  <si>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</si>
  <si>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</si>
  <si>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</si>
  <si>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</si>
  <si>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</si>
  <si>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</si>
  <si>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</si>
  <si>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</si>
  <si>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</si>
  <si>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</si>
  <si>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</si>
  <si>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</si>
  <si>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</si>
  <si>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</si>
  <si>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</si>
  <si>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</si>
  <si>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</si>
  <si>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</si>
  <si>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</si>
  <si>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</si>
  <si>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</si>
  <si>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</si>
  <si>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</si>
  <si>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</si>
  <si>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</si>
  <si>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</si>
  <si>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</si>
  <si>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</si>
  <si>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</si>
  <si>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</si>
  <si>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</si>
  <si>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</si>
  <si>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</si>
  <si>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</si>
  <si>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</si>
  <si>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</si>
  <si>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</si>
  <si>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</si>
  <si>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</si>
  <si>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</si>
  <si>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</si>
  <si>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</si>
  <si>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</si>
  <si>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</si>
  <si>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</si>
  <si>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</si>
  <si>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</si>
  <si>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</si>
  <si>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</si>
  <si>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</si>
  <si>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</si>
  <si>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</si>
  <si>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</si>
  <si>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</si>
  <si>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</si>
  <si>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</si>
  <si>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</si>
  <si>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</si>
  <si>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</si>
  <si>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</si>
  <si>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</si>
  <si>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</si>
  <si>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</si>
  <si>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</si>
  <si>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</si>
  <si>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</si>
  <si>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</si>
  <si>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</si>
  <si>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</si>
  <si>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</si>
  <si>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</si>
  <si>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</si>
  <si>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</si>
  <si>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</si>
  <si>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</si>
  <si>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</si>
  <si>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</si>
  <si>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</si>
  <si>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</si>
  <si>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</si>
  <si>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</si>
  <si>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</si>
  <si>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</si>
  <si>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</si>
  <si>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</si>
  <si>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</si>
  <si>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</si>
  <si>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</si>
  <si>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</si>
  <si>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</si>
  <si>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</si>
  <si>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</si>
  <si>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</si>
  <si>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</si>
  <si>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</si>
  <si>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</si>
  <si>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</si>
  <si>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</si>
  <si>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</si>
  <si>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</si>
  <si>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</si>
  <si>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</si>
  <si>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</si>
  <si>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</si>
  <si>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</si>
  <si>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</si>
  <si>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</si>
  <si>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</si>
  <si>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</si>
  <si>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</si>
  <si>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</si>
  <si>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</si>
  <si>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</si>
  <si>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</si>
  <si>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</si>
  <si>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</si>
  <si>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</si>
  <si>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</si>
  <si>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</si>
  <si>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</si>
  <si>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</si>
  <si>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</si>
  <si>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</si>
  <si>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</si>
  <si>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</si>
  <si>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</si>
  <si>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</si>
  <si>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</si>
  <si>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</si>
  <si>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</si>
  <si>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</si>
  <si>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</si>
  <si>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</si>
  <si>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</si>
  <si>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</si>
  <si>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</si>
  <si>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</si>
  <si>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</si>
  <si>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</si>
  <si>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</si>
  <si>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</si>
  <si>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</si>
  <si>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</si>
  <si>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</si>
  <si>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</si>
  <si>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</si>
  <si>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</si>
  <si>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</si>
  <si>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</si>
  <si>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</si>
  <si>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</si>
  <si>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</si>
  <si>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</si>
  <si>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</si>
  <si>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</si>
  <si>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</si>
  <si>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</si>
  <si>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</si>
  <si>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</si>
  <si>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</si>
  <si>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</si>
  <si>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</si>
  <si>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</si>
  <si>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</si>
  <si>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</si>
  <si>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</si>
  <si>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</si>
  <si>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</si>
  <si>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</si>
  <si>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</si>
  <si>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</si>
  <si>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</si>
  <si>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</si>
  <si>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</si>
  <si>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</si>
  <si>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</si>
  <si>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</si>
  <si>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</si>
  <si>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</si>
  <si>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</si>
  <si>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</si>
  <si>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</si>
  <si>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</si>
  <si>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</si>
  <si>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</si>
  <si>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</si>
  <si>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</si>
  <si>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</si>
  <si>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</si>
  <si>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</si>
  <si>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</si>
  <si>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</si>
  <si>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</si>
  <si>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</si>
  <si>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</si>
  <si>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</si>
  <si>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</si>
  <si>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</si>
  <si>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</si>
  <si>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</si>
  <si>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</si>
  <si>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</si>
  <si>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</si>
  <si>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</si>
  <si>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</si>
  <si>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</si>
  <si>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</si>
  <si>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</si>
  <si>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</si>
  <si>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</si>
  <si>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</si>
  <si>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</si>
  <si>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</si>
  <si>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</si>
  <si>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</si>
  <si>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</si>
  <si>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</si>
  <si>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</si>
  <si>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</si>
  <si>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</si>
  <si>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</si>
  <si>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</si>
  <si>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</si>
  <si>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</si>
  <si>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</si>
  <si>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</si>
  <si>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</si>
  <si>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</si>
  <si>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</si>
  <si>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</si>
  <si>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</si>
  <si>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</si>
  <si>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</si>
  <si>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</si>
  <si>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</si>
  <si>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</si>
  <si>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</si>
  <si>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</si>
  <si>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</si>
  <si>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</si>
  <si>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</si>
  <si>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</si>
  <si>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</si>
  <si>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</si>
  <si>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</si>
  <si>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</si>
  <si>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</si>
  <si>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</si>
  <si>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</si>
  <si>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</si>
  <si>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</si>
  <si>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</si>
  <si>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</si>
  <si>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</si>
  <si>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</si>
  <si>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</si>
  <si>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</si>
  <si>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</si>
  <si>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</si>
  <si>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</si>
  <si>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</si>
  <si>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</si>
  <si>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</si>
  <si>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</si>
  <si>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</si>
  <si>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</si>
  <si>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</si>
  <si>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</si>
  <si>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</si>
  <si>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</si>
  <si>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</si>
  <si>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</si>
  <si>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</si>
  <si>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</si>
  <si>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</si>
  <si>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</si>
  <si>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</si>
  <si>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</si>
  <si>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</si>
  <si>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</si>
  <si>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</si>
  <si>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</si>
  <si>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</si>
  <si>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</si>
  <si>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</si>
  <si>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</si>
  <si>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</si>
  <si>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</si>
  <si>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</si>
  <si>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</si>
  <si>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</si>
  <si>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</si>
  <si>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</si>
  <si>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</si>
  <si>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</si>
  <si>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</si>
  <si>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</si>
  <si>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</si>
  <si>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</si>
  <si>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</si>
  <si>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</si>
  <si>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</si>
  <si>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</si>
  <si>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</si>
  <si>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</si>
  <si>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</si>
  <si>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</si>
  <si>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</si>
  <si>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</si>
  <si>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</si>
  <si>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</si>
  <si>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</si>
  <si>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</si>
  <si>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</si>
  <si>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</si>
  <si>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</si>
  <si>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</si>
  <si>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</si>
  <si>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</si>
  <si>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</si>
  <si>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</si>
  <si>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</si>
  <si>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</si>
  <si>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</si>
  <si>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</si>
  <si>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</si>
  <si>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</si>
  <si>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</si>
  <si>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</si>
  <si>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</si>
  <si>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</si>
  <si>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</si>
  <si>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</si>
  <si>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</si>
  <si>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</si>
  <si>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</si>
  <si>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</si>
  <si>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</si>
  <si>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</si>
  <si>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</si>
  <si>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</si>
  <si>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</si>
  <si>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</si>
  <si>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</si>
  <si>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</si>
  <si>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</si>
  <si>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</si>
  <si>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</si>
  <si>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</si>
  <si>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</si>
  <si>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</si>
  <si>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</si>
  <si>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</si>
  <si>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</si>
  <si>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</si>
  <si>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</si>
  <si>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</si>
  <si>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</si>
  <si>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</si>
  <si>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</si>
  <si>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</si>
  <si>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</si>
  <si>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</si>
  <si>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</si>
  <si>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</si>
  <si>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</si>
  <si>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</si>
  <si>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</si>
  <si>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</si>
  <si>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</si>
  <si>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</si>
  <si>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</si>
  <si>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</si>
  <si>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</si>
  <si>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</si>
  <si>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</si>
  <si>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</si>
  <si>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</si>
  <si>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</si>
  <si>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</si>
  <si>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</si>
  <si>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</si>
  <si>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</si>
  <si>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</si>
  <si>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</si>
  <si>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</si>
  <si>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</si>
  <si>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</si>
  <si>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</si>
  <si>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</si>
  <si>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</si>
  <si>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</si>
  <si>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</si>
  <si>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</si>
  <si>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</si>
  <si>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</si>
  <si>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</si>
  <si>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</si>
  <si>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</si>
  <si>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</si>
  <si>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</si>
  <si>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</si>
  <si>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</si>
  <si>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</si>
  <si>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</si>
  <si>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</si>
  <si>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</si>
  <si>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</si>
  <si>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</si>
  <si>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</si>
  <si>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</si>
  <si>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</si>
  <si>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</si>
  <si>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</si>
  <si>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</si>
  <si>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</si>
  <si>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</si>
  <si>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</si>
  <si>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</si>
  <si>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</si>
  <si>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</si>
  <si>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</si>
  <si>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</si>
  <si>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</si>
  <si>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</si>
  <si>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</si>
  <si>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</si>
  <si>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</si>
  <si>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</si>
  <si>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</si>
  <si>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</si>
  <si>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</si>
  <si>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</si>
  <si>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</si>
  <si>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</si>
  <si>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</si>
  <si>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</si>
  <si>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</si>
  <si>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</si>
  <si>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</si>
  <si>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</si>
  <si>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</si>
  <si>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</si>
  <si>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</si>
  <si>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</si>
  <si>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</si>
  <si>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</si>
  <si>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</si>
  <si>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</si>
  <si>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</si>
  <si>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</si>
  <si>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</si>
  <si>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</si>
  <si>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</si>
  <si>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</si>
  <si>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</si>
  <si>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</si>
  <si>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</si>
  <si>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</si>
  <si>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</si>
  <si>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</si>
  <si>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</si>
  <si>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</si>
  <si>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</si>
  <si>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</si>
  <si>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</si>
  <si>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</si>
  <si>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</si>
  <si>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</si>
  <si>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</si>
  <si>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</si>
  <si>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</si>
  <si>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</si>
  <si>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</si>
  <si>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</si>
  <si>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</si>
  <si>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</si>
  <si>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</si>
  <si>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</si>
  <si>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</si>
  <si>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</si>
  <si>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</si>
  <si>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</si>
  <si>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</si>
  <si>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</si>
  <si>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</si>
  <si>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</si>
  <si>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</si>
  <si>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</si>
  <si>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</si>
  <si>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</si>
  <si>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</si>
  <si>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</si>
  <si>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</si>
  <si>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</si>
  <si>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</si>
  <si>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</si>
  <si>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</si>
  <si>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</si>
  <si>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</si>
  <si>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</si>
  <si>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</si>
  <si>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</si>
  <si>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</si>
  <si>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</si>
  <si>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</si>
  <si>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</si>
  <si>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</si>
  <si>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</si>
  <si>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</si>
  <si>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</si>
  <si>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</si>
  <si>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</si>
  <si>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</si>
  <si>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</si>
  <si>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</si>
  <si>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</si>
  <si>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</si>
  <si>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</si>
  <si>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</si>
  <si>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</si>
  <si>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</si>
  <si>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</si>
  <si>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</si>
  <si>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</si>
  <si>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</si>
  <si>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</si>
  <si>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</si>
  <si>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</si>
  <si>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</si>
  <si>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</si>
  <si>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</si>
  <si>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</si>
  <si>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</si>
  <si>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</si>
  <si>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</si>
  <si>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</si>
  <si>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</si>
  <si>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</si>
  <si>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</si>
  <si>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</si>
  <si>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</si>
  <si>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</si>
  <si>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</si>
  <si>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</si>
  <si>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</si>
  <si>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</si>
  <si>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</si>
  <si>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</si>
  <si>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</si>
  <si>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</si>
  <si>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</si>
  <si>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</si>
  <si>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</si>
  <si>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</si>
  <si>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</si>
  <si>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</si>
  <si>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</si>
  <si>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</si>
  <si>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</si>
  <si>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</si>
  <si>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</si>
  <si>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</si>
  <si>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</si>
  <si>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</si>
  <si>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</si>
  <si>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</si>
  <si>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</si>
  <si>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</si>
  <si>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</si>
  <si>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</si>
  <si>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</si>
  <si>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</si>
  <si>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</si>
  <si>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</si>
  <si>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</si>
  <si>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</si>
  <si>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</si>
  <si>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</si>
  <si>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</si>
  <si>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</si>
  <si>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</si>
  <si>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</si>
  <si>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</si>
  <si>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</si>
  <si>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</si>
  <si>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</si>
  <si>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</si>
  <si>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</si>
  <si>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</si>
  <si>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</si>
  <si>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</si>
  <si>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</si>
  <si>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</si>
  <si>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</si>
  <si>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</si>
  <si>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</si>
  <si>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</si>
  <si>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</si>
  <si>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</si>
  <si>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</si>
  <si>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</si>
  <si>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</si>
  <si>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</si>
  <si>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</si>
  <si>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</si>
  <si>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</si>
  <si>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</si>
  <si>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</si>
  <si>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</si>
  <si>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</si>
  <si>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</si>
  <si>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</si>
  <si>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</si>
  <si>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</si>
  <si>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</si>
  <si>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</si>
  <si>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</si>
  <si>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</si>
  <si>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</si>
  <si>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</si>
  <si>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</si>
  <si>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</si>
  <si>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</si>
  <si>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</si>
  <si>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</si>
  <si>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</si>
  <si>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</si>
  <si>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</si>
  <si>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</si>
  <si>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</si>
  <si>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</si>
  <si>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</si>
  <si>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</si>
  <si>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</si>
  <si>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</si>
  <si>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</si>
  <si>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</si>
  <si>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</si>
  <si>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</si>
  <si>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</si>
  <si>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</si>
  <si>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</si>
  <si>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</si>
  <si>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</si>
  <si>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</si>
  <si>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</si>
  <si>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</si>
  <si>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</si>
  <si>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</si>
  <si>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</si>
  <si>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</si>
  <si>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</si>
  <si>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</si>
  <si>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</si>
  <si>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</si>
  <si>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</si>
  <si>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</si>
  <si>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</si>
  <si>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</si>
  <si>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</si>
  <si>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</si>
  <si>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</si>
  <si>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</si>
  <si>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</si>
  <si>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</si>
  <si>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</si>
  <si>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</si>
  <si>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</si>
  <si>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</si>
  <si>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</si>
  <si>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</si>
  <si>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</si>
  <si>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</si>
  <si>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</si>
  <si>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</si>
  <si>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</si>
  <si>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</si>
  <si>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</si>
  <si>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</si>
  <si>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</si>
  <si>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</si>
  <si>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</si>
  <si>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</si>
  <si>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</si>
  <si>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</si>
  <si>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</si>
  <si>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</si>
  <si>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</si>
  <si>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</si>
  <si>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</si>
  <si>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</si>
  <si>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</si>
  <si>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</si>
  <si>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</si>
  <si>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</si>
  <si>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</si>
  <si>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</si>
  <si>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</si>
  <si>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</si>
  <si>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</si>
  <si>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</si>
  <si>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</si>
  <si>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</si>
  <si>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</si>
  <si>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</si>
  <si>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</si>
  <si>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</si>
  <si>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</si>
  <si>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</si>
  <si>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</si>
  <si>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</si>
  <si>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</si>
  <si>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</si>
  <si>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</si>
  <si>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</si>
  <si>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</si>
  <si>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</si>
  <si>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</si>
  <si>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</si>
  <si>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</si>
  <si>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</si>
  <si>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</si>
  <si>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</si>
  <si>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</si>
  <si>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</si>
  <si>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</si>
  <si>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</si>
  <si>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</si>
  <si>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</si>
  <si>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</si>
  <si>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</si>
  <si>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</si>
  <si>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</si>
  <si>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</si>
  <si>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</si>
  <si>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</si>
  <si>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</si>
  <si>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</si>
  <si>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</si>
  <si>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</si>
  <si>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</si>
  <si>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</si>
  <si>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</si>
  <si>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</si>
  <si>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</si>
  <si>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</si>
  <si>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</si>
  <si>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</si>
  <si>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</si>
  <si>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</si>
  <si>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</si>
  <si>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</si>
  <si>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</si>
  <si>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</si>
  <si>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</si>
  <si>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</si>
  <si>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</si>
  <si>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</si>
  <si>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</si>
  <si>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</si>
  <si>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</si>
  <si>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</si>
  <si>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</si>
  <si>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</si>
  <si>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</si>
  <si>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</si>
  <si>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</si>
  <si>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</si>
  <si>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</si>
  <si>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</si>
  <si>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</si>
  <si>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</si>
  <si>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</si>
  <si>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</si>
  <si>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</si>
  <si>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</si>
  <si>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</si>
  <si>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</si>
  <si>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</si>
  <si>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</si>
  <si>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</si>
  <si>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</si>
  <si>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</si>
  <si>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</si>
  <si>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</si>
  <si>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</si>
  <si>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</si>
  <si>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</si>
  <si>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</si>
  <si>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</si>
  <si>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</si>
  <si>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</si>
  <si>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</si>
  <si>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</si>
  <si>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</si>
  <si>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</si>
  <si>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</si>
  <si>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</si>
  <si>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</si>
  <si>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</si>
  <si>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</si>
  <si>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</si>
  <si>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</si>
  <si>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</si>
  <si>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</si>
  <si>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</si>
  <si>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</si>
  <si>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</si>
  <si>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</si>
  <si>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</si>
  <si>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</si>
  <si>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</si>
  <si>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</si>
  <si>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</si>
  <si>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</si>
  <si>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</si>
  <si>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</si>
  <si>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</si>
  <si>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</si>
  <si>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</si>
  <si>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</si>
  <si>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</si>
  <si>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</si>
  <si>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</si>
  <si>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</si>
  <si>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</si>
  <si>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</si>
  <si>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</si>
  <si>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</si>
  <si>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</si>
  <si>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</si>
  <si>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</si>
  <si>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</si>
  <si>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</si>
  <si>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</si>
  <si>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</si>
  <si>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</si>
  <si>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</si>
  <si>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</si>
  <si>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</si>
  <si>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</si>
  <si>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</si>
  <si>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</si>
  <si>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</si>
  <si>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</si>
  <si>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</si>
  <si>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</si>
  <si>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</si>
  <si>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</si>
  <si>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</si>
  <si>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</si>
  <si>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</si>
  <si>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</si>
  <si>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</si>
  <si>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</si>
  <si>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</si>
  <si>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</si>
  <si>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</si>
  <si>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</si>
  <si>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</si>
  <si>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</si>
  <si>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</si>
  <si>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</si>
  <si>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</si>
  <si>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</si>
  <si>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</si>
  <si>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</si>
  <si>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</si>
  <si>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</si>
  <si>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</si>
  <si>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</si>
  <si>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</si>
  <si>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</si>
  <si>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</si>
  <si>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</si>
  <si>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</si>
  <si>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</si>
  <si>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</si>
  <si>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</si>
  <si>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</si>
  <si>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</si>
  <si>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</si>
  <si>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</si>
  <si>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</si>
  <si>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</si>
  <si>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</si>
  <si>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</si>
  <si>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</si>
  <si>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</si>
  <si>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</si>
  <si>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</si>
  <si>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</si>
  <si>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</si>
  <si>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</si>
  <si>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</si>
  <si>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</si>
  <si>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</si>
  <si>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</si>
  <si>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</si>
  <si>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</si>
  <si>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</si>
  <si>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</si>
  <si>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</si>
  <si>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</si>
  <si>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</si>
  <si>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</si>
  <si>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</si>
  <si>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</si>
  <si>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</si>
  <si>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</si>
  <si>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</si>
  <si>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</si>
  <si>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</si>
  <si>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</si>
  <si>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</si>
  <si>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</si>
  <si>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</si>
  <si>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</si>
  <si>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</si>
  <si>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</si>
  <si>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</si>
  <si>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</si>
  <si>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</si>
  <si>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</si>
  <si>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</si>
  <si>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</si>
  <si>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</si>
  <si>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</si>
  <si>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</si>
  <si>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</si>
  <si>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</si>
  <si>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</si>
  <si>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</si>
  <si>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</si>
  <si>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</si>
  <si>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</si>
  <si>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</si>
  <si>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</si>
  <si>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</si>
  <si>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</si>
  <si>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</si>
  <si>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</si>
  <si>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</si>
  <si>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</si>
  <si>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</si>
  <si>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</si>
  <si>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</si>
  <si>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</si>
  <si>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</si>
  <si>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</si>
  <si>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</si>
  <si>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</si>
  <si>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</si>
  <si>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</si>
  <si>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</si>
  <si>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</si>
  <si>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</si>
  <si>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</si>
  <si>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</si>
  <si>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</si>
  <si>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</si>
  <si>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</si>
  <si>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</si>
  <si>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</si>
  <si>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</si>
  <si>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</si>
  <si>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</si>
  <si>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</si>
  <si>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</si>
  <si>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</si>
  <si>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</si>
  <si>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</si>
  <si>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</si>
  <si>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</si>
  <si>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</si>
  <si>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</si>
  <si>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</si>
  <si>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</si>
  <si>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</si>
  <si>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</si>
  <si>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</si>
  <si>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</si>
  <si>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</si>
  <si>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</si>
  <si>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</si>
  <si>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</si>
  <si>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</si>
  <si>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</si>
  <si>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</si>
  <si>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</si>
  <si>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</si>
  <si>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</si>
  <si>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</si>
  <si>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</si>
  <si>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</si>
  <si>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</si>
  <si>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</si>
  <si>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</si>
  <si>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</si>
  <si>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</si>
  <si>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</si>
  <si>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</si>
  <si>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</si>
  <si>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</si>
  <si>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</si>
  <si>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</si>
  <si>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</si>
  <si>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</si>
  <si>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</si>
  <si>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</si>
  <si>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</si>
  <si>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</si>
  <si>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</si>
  <si>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</si>
  <si>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</si>
  <si>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</si>
  <si>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</si>
  <si>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</si>
  <si>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</si>
  <si>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</si>
  <si>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</si>
  <si>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</si>
  <si>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</si>
  <si>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</si>
  <si>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</si>
  <si>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</si>
  <si>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</si>
  <si>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</si>
  <si>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</si>
  <si>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</si>
  <si>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</si>
  <si>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</si>
  <si>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</si>
  <si>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</si>
  <si>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</si>
  <si>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</si>
  <si>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</si>
  <si>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</si>
  <si>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</si>
  <si>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</si>
  <si>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</si>
  <si>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</si>
  <si>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</si>
  <si>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</si>
  <si>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</si>
  <si>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</si>
  <si>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</si>
  <si>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</si>
  <si>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</si>
  <si>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</si>
  <si>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</si>
  <si>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</si>
  <si>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</si>
  <si>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</si>
  <si>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</si>
  <si>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</si>
  <si>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</si>
  <si>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</si>
  <si>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</si>
  <si>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</si>
  <si>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</si>
  <si>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</si>
  <si>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</si>
  <si>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</si>
  <si>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</si>
  <si>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</si>
  <si>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</si>
  <si>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</si>
  <si>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</si>
  <si>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</si>
  <si>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</si>
  <si>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</si>
  <si>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</si>
  <si>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</si>
  <si>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</si>
  <si>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</si>
  <si>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</si>
  <si>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</si>
  <si>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</si>
  <si>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</si>
  <si>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</si>
  <si>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</si>
  <si>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</si>
  <si>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</si>
  <si>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</si>
  <si>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</si>
  <si>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</si>
  <si>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</si>
  <si>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</si>
  <si>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</si>
  <si>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</si>
  <si>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</si>
  <si>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</si>
  <si>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</si>
  <si>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</si>
  <si>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</si>
  <si>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</si>
  <si>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</si>
  <si>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</si>
  <si>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</si>
  <si>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</si>
  <si>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</si>
  <si>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</si>
  <si>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</si>
  <si>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</si>
  <si>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</si>
  <si>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</si>
  <si>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</si>
  <si>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</si>
  <si>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</si>
  <si>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</si>
  <si>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</si>
  <si>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</si>
  <si>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</si>
  <si>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</si>
  <si>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</si>
  <si>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</si>
  <si>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</si>
  <si>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</si>
  <si>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</si>
  <si>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</si>
  <si>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</si>
  <si>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</si>
  <si>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</si>
  <si>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</si>
  <si>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</si>
  <si>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</si>
  <si>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</si>
  <si>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</si>
  <si>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</si>
  <si>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</si>
  <si>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</si>
  <si>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</si>
  <si>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</si>
  <si>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</si>
  <si>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</si>
  <si>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</si>
  <si>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</si>
  <si>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</si>
  <si>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</si>
  <si>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</si>
  <si>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</si>
  <si>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</si>
  <si>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</si>
  <si>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</si>
  <si>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</si>
  <si>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</si>
  <si>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</si>
  <si>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</si>
  <si>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</si>
  <si>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</si>
  <si>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</si>
  <si>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</si>
  <si>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</si>
  <si>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</si>
  <si>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</si>
  <si>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</si>
  <si>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</si>
  <si>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</si>
  <si>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</si>
  <si>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</si>
  <si>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</si>
  <si>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</si>
  <si>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</si>
  <si>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</si>
  <si>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</si>
  <si>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</si>
  <si>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</si>
  <si>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</si>
  <si>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</si>
  <si>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</si>
  <si>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</si>
  <si>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</si>
  <si>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</si>
  <si>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</si>
  <si>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</si>
  <si>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</si>
  <si>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</si>
  <si>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</si>
  <si>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</si>
  <si>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</si>
  <si>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</si>
  <si>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</si>
  <si>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</si>
  <si>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</si>
  <si>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</si>
  <si>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</si>
  <si>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</si>
  <si>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</si>
  <si>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</si>
  <si>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</si>
  <si>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</si>
  <si>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</si>
  <si>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</si>
  <si>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</si>
  <si>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</si>
  <si>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</si>
  <si>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</si>
  <si>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</si>
  <si>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</si>
  <si>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</si>
  <si>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</si>
  <si>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</si>
  <si>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</si>
  <si>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</si>
  <si>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</si>
  <si>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</si>
  <si>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</si>
  <si>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</si>
  <si>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</si>
  <si>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</si>
  <si>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</si>
  <si>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</si>
  <si>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</si>
  <si>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</si>
  <si>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</si>
  <si>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</si>
  <si>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</si>
  <si>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</si>
  <si>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</si>
  <si>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</si>
  <si>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</si>
  <si>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</si>
  <si>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</si>
  <si>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</si>
  <si>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</si>
  <si>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</si>
  <si>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</si>
  <si>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</si>
  <si>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</si>
  <si>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</si>
  <si>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</si>
  <si>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</si>
  <si>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</si>
  <si>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</si>
  <si>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</si>
  <si>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</si>
  <si>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</si>
  <si>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</si>
  <si>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</si>
  <si>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</si>
  <si>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</si>
  <si>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</si>
  <si>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</si>
  <si>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</si>
  <si>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</si>
  <si>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</si>
  <si>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</si>
  <si>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</si>
  <si>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</si>
  <si>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</si>
  <si>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</si>
  <si>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</si>
  <si>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</si>
  <si>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</si>
  <si>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</si>
  <si>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</si>
  <si>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</si>
  <si>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</si>
  <si>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</si>
  <si>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</si>
  <si>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</si>
  <si>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</si>
  <si>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</si>
  <si>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</si>
  <si>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</si>
  <si>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</si>
  <si>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</si>
  <si>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</si>
  <si>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</si>
  <si>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</si>
  <si>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</si>
  <si>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</si>
  <si>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</si>
  <si>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</si>
  <si>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</si>
  <si>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</si>
  <si>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</si>
  <si>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</si>
  <si>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</si>
  <si>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</si>
  <si>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</si>
  <si>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</si>
  <si>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</si>
  <si>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</si>
  <si>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</si>
  <si>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</si>
  <si>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</si>
  <si>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</si>
  <si>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</si>
  <si>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</si>
  <si>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</si>
  <si>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</si>
  <si>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</si>
  <si>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</si>
  <si>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</si>
  <si>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</si>
  <si>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</si>
  <si>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</si>
  <si>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</si>
  <si>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</si>
  <si>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</si>
  <si>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</si>
  <si>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</si>
  <si>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</si>
  <si>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</si>
  <si>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</si>
  <si>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</si>
  <si>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</si>
  <si>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</si>
  <si>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</si>
  <si>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</si>
  <si>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</si>
  <si>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</si>
  <si>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</si>
  <si>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</si>
  <si>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</si>
  <si>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</si>
  <si>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</si>
  <si>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</si>
  <si>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</si>
  <si>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</si>
  <si>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</si>
  <si>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</si>
  <si>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</si>
  <si>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</si>
  <si>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</si>
  <si>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</si>
  <si>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</si>
  <si>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</si>
  <si>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</si>
  <si>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</si>
  <si>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</si>
  <si>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</si>
  <si>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</si>
  <si>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</si>
  <si>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</si>
  <si>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</si>
  <si>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</si>
  <si>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</si>
  <si>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</si>
  <si>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</si>
  <si>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</si>
  <si>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</si>
  <si>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</si>
  <si>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</si>
  <si>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</si>
  <si>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</si>
  <si>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</si>
  <si>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</si>
  <si>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</si>
  <si>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</si>
  <si>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</si>
  <si>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</si>
  <si>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</si>
  <si>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</si>
  <si>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</si>
  <si>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</si>
  <si>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</si>
  <si>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</si>
  <si>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</si>
  <si>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</si>
  <si>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</si>
  <si>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</si>
  <si>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</si>
  <si>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</si>
  <si>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</si>
  <si>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</si>
  <si>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</si>
  <si>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</si>
  <si>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</si>
  <si>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</si>
  <si>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</si>
  <si>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</si>
  <si>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</si>
  <si>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</si>
  <si>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</si>
  <si>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</si>
  <si>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</si>
  <si>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</si>
  <si>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</si>
  <si>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</si>
  <si>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</si>
  <si>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</si>
  <si>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</si>
  <si>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</si>
  <si>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</si>
  <si>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</si>
  <si>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</si>
  <si>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</si>
  <si>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</si>
  <si>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</si>
  <si>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</si>
  <si>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</si>
  <si>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</si>
  <si>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</si>
  <si>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</si>
  <si>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</si>
  <si>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</si>
  <si>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</si>
  <si>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</si>
  <si>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</si>
  <si>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</si>
  <si>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</si>
  <si>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</si>
  <si>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</si>
  <si>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</si>
  <si>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</si>
  <si>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</si>
  <si>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</si>
  <si>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</si>
  <si>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</si>
  <si>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</si>
  <si>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</si>
  <si>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</si>
  <si>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</si>
  <si>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</si>
  <si>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</si>
  <si>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</si>
  <si>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</si>
  <si>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</si>
  <si>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</si>
  <si>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</si>
  <si>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</si>
  <si>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</si>
  <si>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</si>
  <si>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</si>
  <si>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</si>
  <si>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</si>
  <si>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</si>
  <si>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</si>
  <si>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</si>
  <si>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</si>
  <si>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</si>
  <si>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</si>
  <si>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</si>
  <si>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</si>
  <si>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</si>
  <si>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</si>
  <si>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</si>
  <si>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</si>
  <si>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</si>
  <si>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</si>
  <si>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</si>
  <si>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</si>
  <si>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</si>
  <si>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</si>
  <si>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</si>
  <si>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</si>
  <si>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</si>
  <si>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</si>
  <si>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</si>
  <si>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</si>
  <si>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</si>
  <si>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</si>
  <si>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</si>
  <si>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</si>
  <si>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</si>
  <si>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</si>
  <si>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</si>
  <si>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</si>
  <si>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</si>
  <si>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</si>
  <si>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</si>
  <si>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</si>
  <si>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</si>
  <si>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</si>
  <si>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</si>
  <si>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</si>
  <si>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</si>
  <si>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</si>
  <si>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</si>
  <si>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</si>
  <si>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</si>
  <si>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</si>
  <si>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</si>
  <si>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</si>
  <si>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</si>
  <si>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</si>
  <si>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</si>
  <si>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</si>
  <si>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</si>
  <si>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</si>
  <si>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</si>
  <si>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</si>
  <si>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</si>
  <si>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</si>
  <si>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</si>
  <si>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</si>
  <si>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</si>
  <si>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</si>
  <si>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</si>
  <si>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</si>
  <si>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</si>
  <si>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</si>
  <si>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</si>
  <si>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</si>
  <si>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</si>
  <si>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</si>
  <si>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</si>
  <si>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</si>
  <si>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</si>
  <si>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</si>
  <si>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</si>
  <si>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</si>
  <si>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</si>
  <si>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</si>
  <si>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</si>
  <si>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</si>
  <si>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</si>
  <si>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</si>
  <si>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</si>
  <si>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</si>
  <si>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</si>
  <si>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</si>
  <si>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</si>
  <si>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</si>
  <si>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</si>
  <si>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</si>
  <si>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</si>
  <si>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</si>
  <si>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</si>
  <si>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</si>
  <si>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</si>
  <si>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</si>
  <si>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</si>
  <si>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</si>
  <si>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</si>
  <si>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</si>
  <si>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</si>
  <si>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</si>
  <si>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</si>
  <si>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</si>
  <si>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</si>
  <si>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</si>
  <si>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</si>
  <si>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</si>
  <si>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</si>
  <si>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</si>
  <si>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</si>
  <si>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</si>
  <si>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</si>
  <si>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</si>
  <si>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</si>
  <si>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</si>
  <si>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</si>
  <si>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</si>
  <si>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</si>
  <si>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</si>
  <si>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</si>
  <si>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</si>
  <si>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</si>
  <si>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</si>
  <si>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</si>
  <si>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</si>
  <si>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</si>
  <si>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</si>
  <si>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</si>
  <si>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</si>
  <si>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</si>
  <si>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</si>
  <si>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</si>
  <si>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</si>
  <si>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</si>
  <si>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</si>
  <si>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</si>
  <si>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</si>
  <si>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</si>
  <si>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</si>
  <si>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</si>
  <si>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</si>
  <si>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</si>
  <si>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</si>
  <si>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</si>
  <si>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</si>
  <si>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</si>
  <si>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</si>
  <si>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</si>
  <si>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</si>
  <si>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</si>
  <si>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</si>
  <si>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</si>
  <si>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</si>
  <si>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</si>
  <si>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</si>
  <si>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</si>
  <si>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</si>
  <si>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</si>
  <si>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</si>
  <si>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</si>
  <si>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</si>
  <si>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</si>
  <si>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</si>
  <si>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</si>
  <si>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</si>
  <si>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</si>
  <si>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</si>
  <si>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</si>
  <si>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</si>
  <si>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</si>
  <si>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</si>
  <si>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</si>
  <si>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</si>
  <si>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</si>
  <si>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</si>
  <si>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</si>
  <si>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</si>
  <si>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</si>
  <si>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</si>
  <si>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</si>
  <si>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</si>
  <si>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</si>
  <si>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</si>
  <si>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</si>
  <si>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</si>
  <si>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</si>
  <si>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</si>
  <si>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</si>
  <si>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</si>
  <si>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</si>
  <si>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</si>
  <si>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</si>
  <si>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</si>
  <si>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</si>
  <si>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</si>
  <si>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</si>
  <si>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</si>
  <si>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</si>
  <si>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</si>
  <si>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</si>
  <si>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</si>
  <si>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</si>
  <si>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</si>
  <si>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</si>
  <si>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</si>
  <si>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</si>
  <si>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</si>
  <si>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</si>
  <si>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</si>
  <si>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</si>
  <si>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</si>
  <si>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</si>
  <si>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</si>
  <si>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</si>
  <si>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</si>
  <si>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</si>
  <si>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</si>
  <si>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</si>
  <si>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</si>
  <si>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</si>
  <si>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</si>
  <si>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</si>
  <si>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</si>
  <si>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</si>
  <si>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</si>
  <si>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</si>
  <si>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</si>
  <si>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</si>
  <si>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</si>
  <si>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</si>
  <si>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</si>
  <si>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</si>
  <si>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</si>
  <si>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</si>
  <si>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</si>
  <si>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</si>
  <si>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</si>
  <si>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</si>
  <si>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</si>
  <si>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</si>
  <si>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</si>
  <si>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</si>
  <si>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</si>
  <si>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</si>
  <si>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</si>
  <si>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</si>
  <si>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</si>
  <si>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</si>
  <si>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</si>
  <si>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</si>
  <si>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</si>
  <si>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</si>
  <si>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</si>
  <si>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</si>
  <si>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</si>
  <si>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</si>
  <si>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</si>
  <si>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</si>
  <si>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</si>
  <si>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</si>
  <si>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</si>
  <si>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</si>
  <si>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</si>
  <si>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</si>
  <si>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</si>
  <si>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</si>
  <si>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</si>
  <si>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</si>
  <si>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</si>
  <si>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</si>
  <si>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</si>
  <si>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</si>
  <si>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</si>
  <si>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</si>
  <si>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</si>
  <si>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</si>
  <si>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</si>
  <si>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</si>
  <si>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</si>
  <si>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</si>
  <si>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</si>
  <si>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</si>
  <si>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</si>
  <si>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</si>
  <si>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</si>
  <si>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</si>
  <si>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</si>
  <si>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</si>
  <si>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</si>
  <si>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</si>
  <si>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</si>
  <si>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</si>
  <si>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</si>
  <si>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</si>
  <si>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</si>
  <si>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</si>
  <si>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</si>
  <si>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</si>
  <si>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</si>
  <si>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</si>
  <si>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</si>
  <si>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</si>
  <si>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</si>
  <si>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</si>
  <si>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</si>
  <si>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</si>
  <si>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</si>
  <si>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</si>
  <si>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</si>
  <si>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</si>
  <si>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</si>
  <si>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</si>
  <si>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</si>
  <si>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</si>
  <si>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</si>
  <si>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</si>
  <si>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</si>
  <si>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</si>
  <si>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</si>
  <si>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</si>
  <si>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</si>
  <si>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</si>
  <si>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</si>
  <si>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</si>
  <si>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</si>
  <si>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</si>
  <si>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</si>
  <si>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</si>
  <si>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</si>
  <si>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</si>
  <si>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</si>
  <si>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</si>
  <si>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</si>
  <si>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</si>
  <si>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</si>
  <si>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</si>
  <si>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</si>
  <si>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</si>
  <si>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</si>
  <si>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</si>
  <si>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</si>
  <si>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</si>
  <si>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</si>
  <si>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</si>
  <si>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</si>
  <si>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</si>
  <si>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</si>
  <si>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</si>
  <si>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</si>
  <si>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</si>
  <si>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</si>
  <si>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</si>
  <si>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</si>
  <si>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</si>
  <si>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</si>
  <si>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</si>
  <si>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</si>
  <si>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</si>
  <si>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</si>
  <si>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</si>
  <si>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</si>
  <si>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</si>
  <si>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</si>
  <si>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</si>
  <si>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</si>
  <si>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</si>
  <si>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</si>
  <si>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</si>
  <si>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</si>
  <si>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</si>
  <si>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</si>
  <si>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</si>
  <si>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</si>
  <si>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</si>
  <si>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</si>
  <si>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</si>
  <si>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</si>
  <si>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</si>
  <si>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</si>
  <si>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</si>
  <si>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</si>
  <si>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</si>
  <si>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</si>
  <si>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</si>
  <si>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</si>
  <si>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</si>
  <si>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</si>
  <si>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</si>
  <si>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</si>
  <si>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</si>
  <si>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</si>
  <si>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</si>
  <si>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</si>
  <si>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</si>
  <si>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</si>
  <si>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</si>
  <si>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</si>
  <si>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</si>
  <si>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</si>
  <si>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</si>
  <si>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</si>
  <si>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</si>
  <si>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</si>
  <si>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</si>
  <si>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</si>
  <si>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</si>
  <si>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</si>
  <si>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</si>
  <si>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</si>
  <si>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</si>
  <si>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</si>
  <si>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</si>
  <si>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</si>
  <si>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</si>
  <si>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</si>
  <si>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</si>
  <si>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</si>
  <si>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</si>
  <si>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</si>
  <si>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</si>
  <si>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</si>
  <si>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</si>
  <si>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</si>
  <si>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</si>
  <si>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</si>
  <si>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</si>
  <si>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</si>
  <si>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</si>
  <si>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</si>
  <si>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</si>
  <si>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</si>
  <si>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</si>
  <si>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</si>
  <si>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</si>
  <si>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</si>
  <si>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</si>
  <si>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</si>
  <si>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</si>
  <si>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</si>
  <si>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</si>
  <si>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</si>
  <si>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</si>
  <si>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</si>
  <si>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</si>
  <si>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</si>
  <si>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</si>
  <si>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</si>
  <si>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</si>
  <si>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</si>
  <si>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</si>
  <si>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</si>
  <si>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</si>
  <si>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</si>
  <si>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</si>
  <si>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</si>
  <si>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</si>
  <si>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</si>
  <si>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</si>
  <si>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</si>
  <si>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</si>
  <si>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</si>
  <si>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</si>
  <si>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</si>
  <si>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</si>
  <si>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</si>
  <si>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</si>
  <si>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</si>
  <si>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</si>
  <si>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</si>
  <si>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</si>
  <si>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</si>
  <si>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</si>
  <si>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</si>
  <si>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</si>
  <si>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</si>
  <si>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</si>
  <si>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</si>
  <si>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</si>
  <si>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</si>
  <si>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</si>
  <si>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</si>
  <si>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</si>
  <si>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</si>
  <si>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</si>
  <si>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</si>
  <si>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</si>
  <si>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</si>
  <si>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</si>
  <si>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</si>
  <si>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</si>
  <si>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</si>
  <si>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</si>
  <si>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</si>
  <si>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</si>
  <si>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</si>
  <si>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</si>
  <si>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</si>
  <si>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</si>
  <si>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</si>
  <si>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</si>
  <si>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</si>
  <si>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</si>
  <si>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</si>
  <si>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</si>
  <si>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</si>
  <si>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</si>
  <si>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</si>
  <si>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</si>
  <si>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</si>
  <si>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</si>
  <si>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</si>
  <si>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</si>
  <si>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</si>
  <si>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</si>
  <si>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</si>
  <si>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</si>
  <si>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</si>
  <si>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</si>
  <si>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</si>
  <si>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</si>
  <si>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</si>
  <si>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</si>
  <si>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</si>
  <si>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</si>
  <si>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</si>
  <si>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</si>
  <si>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</si>
  <si>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</si>
  <si>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</si>
  <si>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</si>
  <si>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</si>
  <si>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</si>
  <si>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</si>
  <si>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</si>
  <si>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</si>
  <si>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</si>
  <si>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</si>
  <si>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</si>
  <si>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</si>
  <si>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</si>
  <si>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</si>
  <si>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</si>
  <si>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</si>
  <si>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</si>
  <si>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</si>
  <si>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</si>
  <si>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</si>
  <si>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</si>
  <si>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</si>
  <si>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</si>
  <si>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</si>
  <si>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</si>
  <si>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</si>
  <si>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</si>
  <si>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</si>
  <si>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</si>
  <si>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</si>
  <si>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</si>
  <si>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</si>
  <si>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</si>
  <si>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</si>
  <si>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</si>
  <si>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</si>
  <si>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</si>
  <si>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</si>
  <si>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</si>
  <si>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</si>
  <si>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</si>
  <si>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</si>
  <si>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</si>
  <si>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</si>
  <si>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</si>
  <si>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</si>
  <si>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</si>
  <si>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</si>
  <si>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</si>
  <si>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</si>
  <si>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</si>
  <si>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</si>
  <si>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</si>
  <si>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</si>
  <si>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</si>
  <si>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</si>
  <si>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</si>
  <si>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</si>
  <si>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</si>
  <si>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</si>
  <si>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</si>
  <si>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</si>
  <si>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</si>
  <si>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</si>
  <si>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</si>
  <si>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</si>
  <si>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</si>
  <si>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</si>
  <si>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</si>
  <si>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</si>
  <si>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</si>
  <si>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</si>
  <si>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</si>
  <si>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</si>
  <si>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</si>
  <si>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</si>
  <si>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</si>
  <si>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</si>
  <si>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</si>
  <si>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</si>
  <si>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</si>
  <si>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</si>
  <si>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</si>
  <si>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</si>
  <si>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</si>
  <si>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</si>
  <si>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</si>
  <si>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</si>
  <si>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</si>
  <si>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</si>
  <si>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</si>
  <si>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</si>
  <si>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</si>
  <si>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</si>
  <si>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</si>
  <si>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</si>
  <si>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</si>
  <si>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</si>
  <si>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</si>
  <si>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</si>
  <si>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</si>
  <si>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</si>
  <si>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</si>
  <si>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</si>
  <si>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</si>
  <si>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</si>
  <si>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</si>
  <si>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</si>
  <si>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</si>
  <si>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</si>
  <si>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</si>
  <si>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</si>
  <si>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</si>
  <si>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</si>
  <si>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</si>
  <si>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</si>
  <si>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</si>
  <si>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</si>
  <si>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</si>
  <si>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</si>
  <si>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</si>
  <si>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</si>
  <si>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</si>
  <si>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</si>
  <si>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</si>
  <si>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</si>
  <si>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</si>
  <si>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</si>
  <si>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</si>
  <si>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</si>
  <si>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</si>
  <si>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</si>
  <si>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</si>
  <si>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</si>
  <si>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</si>
  <si>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</si>
  <si>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</si>
  <si>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</si>
  <si>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</si>
  <si>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</si>
  <si>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</si>
  <si>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</si>
  <si>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</si>
  <si>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</si>
  <si>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</si>
  <si>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</si>
  <si>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</si>
  <si>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</si>
  <si>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</si>
  <si>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</si>
  <si>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</si>
  <si>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</si>
  <si>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</si>
  <si>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</si>
  <si>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</si>
  <si>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</si>
  <si>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</si>
  <si>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</si>
  <si>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</si>
  <si>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</si>
  <si>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</si>
  <si>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</si>
  <si>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</si>
  <si>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</si>
  <si>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</si>
  <si>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</si>
  <si>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</si>
  <si>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</si>
  <si>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</si>
  <si>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</si>
  <si>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</si>
  <si>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</si>
  <si>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</si>
  <si>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</si>
  <si>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</si>
  <si>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</si>
  <si>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</si>
  <si>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</si>
  <si>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</si>
  <si>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</si>
  <si>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</si>
  <si>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</si>
  <si>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</si>
  <si>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</si>
  <si>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</si>
  <si>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</si>
  <si>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</si>
  <si>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</si>
  <si>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</si>
  <si>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</si>
  <si>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</si>
  <si>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</si>
  <si>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</si>
  <si>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</si>
  <si>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</si>
  <si>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</si>
  <si>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</si>
  <si>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</si>
  <si>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</si>
  <si>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</si>
  <si>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</si>
  <si>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</si>
  <si>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</si>
  <si>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</si>
  <si>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</si>
  <si>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</si>
  <si>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</si>
  <si>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</si>
  <si>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</si>
  <si>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</si>
  <si>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</si>
  <si>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</si>
  <si>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</si>
  <si>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</si>
  <si>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</si>
  <si>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</si>
  <si>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</si>
  <si>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</si>
  <si>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</si>
  <si>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</si>
  <si>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</si>
  <si>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</si>
  <si>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</si>
  <si>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</si>
  <si>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</si>
  <si>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</si>
  <si>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</si>
  <si>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</si>
  <si>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</si>
  <si>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</si>
  <si>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</si>
  <si>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</si>
  <si>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</si>
  <si>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</si>
  <si>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</si>
  <si>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</si>
  <si>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</si>
  <si>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</si>
  <si>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</si>
  <si>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</si>
  <si>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</si>
  <si>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</si>
  <si>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</si>
  <si>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</si>
  <si>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</si>
  <si>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</si>
  <si>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</si>
  <si>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</si>
  <si>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</si>
  <si>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</si>
  <si>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</si>
  <si>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</si>
  <si>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</si>
  <si>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</si>
  <si>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</si>
  <si>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</si>
  <si>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</si>
  <si>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</si>
  <si>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</si>
  <si>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</si>
  <si>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</si>
  <si>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</si>
  <si>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</si>
  <si>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</si>
  <si>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</si>
  <si>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</si>
  <si>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</si>
  <si>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</si>
  <si>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</si>
  <si>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</si>
  <si>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</si>
  <si>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</si>
  <si>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</si>
  <si>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</si>
  <si>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</si>
  <si>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</si>
  <si>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</si>
  <si>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</si>
  <si>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</si>
  <si>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</si>
  <si>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</si>
  <si>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</si>
  <si>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</si>
  <si>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</si>
  <si>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</si>
  <si>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</si>
  <si>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</si>
  <si>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</si>
  <si>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</si>
  <si>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</si>
  <si>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</si>
  <si>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</si>
  <si>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</si>
  <si>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</si>
  <si>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</si>
  <si>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</si>
  <si>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</si>
  <si>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</si>
  <si>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</si>
  <si>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</si>
  <si>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</si>
  <si>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</si>
  <si>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</si>
  <si>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</si>
  <si>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</si>
  <si>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</si>
  <si>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</si>
  <si>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</si>
  <si>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</si>
  <si>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</si>
  <si>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</si>
  <si>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</si>
  <si>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</si>
  <si>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</si>
  <si>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</si>
  <si>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</si>
  <si>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</si>
  <si>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</si>
  <si>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</si>
  <si>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</si>
  <si>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</si>
  <si>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</si>
  <si>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</si>
  <si>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</si>
  <si>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</si>
  <si>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</si>
  <si>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</si>
  <si>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</si>
  <si>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</si>
  <si>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</si>
  <si>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</si>
  <si>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</si>
  <si>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</si>
  <si>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</si>
  <si>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</si>
  <si>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</si>
  <si>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</si>
  <si>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</si>
  <si>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</si>
  <si>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</si>
  <si>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</si>
  <si>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</si>
  <si>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</si>
  <si>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</si>
  <si>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</si>
  <si>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</si>
  <si>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</si>
  <si>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</si>
  <si>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</si>
  <si>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</si>
  <si>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</si>
  <si>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</si>
  <si>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</si>
  <si>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</si>
  <si>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</si>
  <si>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</si>
  <si>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</si>
  <si>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</si>
  <si>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</si>
  <si>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</si>
  <si>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</si>
  <si>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</si>
  <si>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</si>
  <si>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</si>
  <si>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</si>
  <si>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</si>
  <si>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</si>
  <si>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</si>
  <si>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</si>
  <si>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</si>
  <si>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</si>
  <si>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</si>
  <si>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</si>
  <si>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</si>
  <si>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</si>
  <si>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</si>
  <si>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</si>
  <si>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</si>
  <si>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</si>
  <si>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</si>
  <si>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</si>
  <si>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</si>
  <si>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</si>
  <si>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</si>
  <si>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</si>
  <si>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</si>
  <si>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</si>
  <si>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</si>
  <si>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</si>
  <si>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</si>
  <si>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</si>
  <si>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</si>
  <si>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</si>
  <si>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</si>
  <si>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</si>
  <si>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</si>
  <si>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</si>
  <si>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</si>
  <si>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</si>
  <si>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</si>
  <si>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</si>
  <si>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</si>
  <si>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</si>
  <si>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</si>
  <si>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</si>
  <si>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</si>
  <si>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</si>
  <si>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</si>
  <si>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</si>
  <si>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</si>
  <si>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</si>
  <si>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</si>
  <si>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</si>
  <si>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</si>
  <si>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</si>
  <si>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</si>
  <si>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</si>
  <si>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</si>
  <si>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</si>
  <si>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</si>
  <si>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</si>
  <si>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</si>
  <si>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</si>
  <si>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</si>
  <si>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</si>
  <si>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</si>
  <si>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</si>
  <si>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</si>
  <si>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</si>
  <si>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</si>
  <si>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</si>
  <si>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</si>
  <si>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</si>
  <si>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</si>
  <si>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</si>
  <si>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</si>
  <si>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</si>
  <si>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</si>
  <si>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</si>
  <si>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</si>
  <si>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</si>
  <si>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</si>
  <si>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</si>
  <si>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</si>
  <si>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</si>
  <si>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</si>
  <si>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</si>
  <si>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</si>
  <si>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</si>
  <si>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</si>
  <si>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</si>
  <si>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</si>
  <si>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</si>
  <si>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</si>
  <si>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</si>
  <si>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</si>
  <si>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</si>
  <si>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</si>
  <si>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</si>
  <si>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</si>
  <si>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</si>
  <si>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</si>
  <si>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</si>
  <si>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</si>
  <si>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</si>
  <si>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</si>
  <si>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</si>
  <si>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</si>
  <si>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</si>
  <si>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</si>
  <si>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</si>
  <si>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</si>
  <si>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</si>
  <si>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</si>
  <si>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</si>
  <si>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</si>
  <si>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</si>
  <si>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</si>
  <si>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</si>
  <si>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</si>
  <si>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</si>
  <si>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</si>
  <si>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</si>
  <si>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</si>
  <si>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</si>
  <si>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</si>
  <si>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</si>
  <si>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</si>
  <si>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</si>
  <si>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</si>
  <si>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</si>
  <si>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</si>
  <si>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</si>
  <si>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</si>
  <si>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</si>
  <si>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</si>
  <si>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</si>
  <si>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</si>
  <si>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</si>
  <si>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</si>
  <si>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</si>
  <si>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</si>
  <si>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</si>
  <si>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</si>
  <si>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</si>
  <si>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</si>
  <si>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</si>
  <si>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</si>
  <si>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</si>
  <si>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</si>
  <si>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</si>
  <si>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</si>
  <si>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</si>
  <si>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</si>
  <si>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</si>
  <si>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</si>
  <si>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</si>
  <si>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</si>
  <si>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</si>
  <si>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</si>
  <si>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</si>
  <si>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</si>
  <si>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</si>
  <si>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</si>
  <si>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</si>
  <si>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</si>
  <si>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</si>
  <si>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</si>
  <si>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</si>
  <si>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</si>
  <si>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</si>
  <si>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</si>
  <si>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</si>
  <si>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</si>
  <si>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</si>
  <si>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</si>
  <si>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</si>
  <si>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</si>
  <si>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</si>
  <si>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</si>
  <si>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</si>
  <si>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</si>
  <si>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</si>
  <si>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</si>
  <si>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</si>
  <si>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</si>
  <si>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</si>
  <si>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</si>
  <si>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</si>
  <si>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</si>
  <si>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</si>
  <si>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</si>
  <si>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</si>
  <si>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</si>
  <si>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</si>
  <si>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</si>
  <si>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</si>
  <si>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</si>
  <si>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</si>
  <si>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</si>
  <si>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</si>
  <si>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</si>
  <si>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</si>
  <si>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</si>
  <si>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</si>
  <si>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</si>
  <si>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</si>
  <si>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</si>
  <si>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</si>
  <si>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</si>
  <si>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</si>
  <si>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</si>
  <si>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</si>
  <si>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</si>
  <si>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</si>
  <si>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</si>
  <si>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</si>
  <si>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</si>
  <si>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</si>
  <si>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</si>
  <si>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</si>
  <si>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</si>
  <si>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</si>
  <si>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</si>
  <si>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</si>
  <si>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</si>
  <si>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</si>
  <si>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</si>
  <si>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</si>
  <si>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</si>
  <si>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</si>
  <si>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</si>
  <si>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</si>
  <si>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</si>
  <si>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</si>
  <si>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</si>
  <si>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</si>
  <si>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</si>
  <si>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</si>
  <si>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</si>
  <si>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</si>
  <si>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</si>
  <si>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</si>
  <si>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</si>
  <si>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</si>
  <si>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</si>
  <si>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</si>
  <si>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</si>
  <si>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</si>
  <si>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</si>
  <si>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</si>
  <si>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</si>
  <si>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</si>
  <si>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</si>
  <si>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</si>
  <si>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</si>
  <si>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</si>
  <si>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</si>
  <si>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</si>
  <si>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</si>
  <si>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</si>
  <si>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</si>
  <si>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</si>
  <si>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</si>
  <si>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</si>
  <si>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</si>
  <si>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</si>
  <si>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</si>
  <si>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</si>
  <si>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</si>
  <si>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</si>
  <si>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</si>
  <si>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</si>
  <si>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</si>
  <si>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</si>
  <si>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</si>
  <si>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</si>
  <si>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</si>
  <si>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</si>
  <si>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</si>
  <si>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</si>
  <si>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</si>
  <si>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</si>
  <si>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</si>
  <si>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</si>
  <si>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</si>
  <si>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</si>
  <si>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</si>
  <si>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</si>
  <si>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</si>
  <si>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</si>
  <si>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</si>
  <si>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</si>
  <si>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</si>
  <si>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</si>
  <si>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</si>
  <si>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</si>
  <si>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</si>
  <si>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</si>
  <si>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</si>
  <si>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</si>
  <si>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</si>
  <si>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</si>
  <si>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</si>
  <si>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</si>
  <si>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</si>
  <si>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</si>
  <si>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</si>
  <si>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</si>
  <si>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</si>
  <si>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</si>
  <si>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</si>
  <si>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</si>
  <si>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</si>
  <si>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</si>
  <si>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</si>
  <si>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</si>
  <si>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</si>
  <si>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</si>
  <si>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</si>
  <si>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</si>
  <si>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</si>
  <si>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</si>
  <si>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</si>
  <si>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</si>
  <si>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</si>
  <si>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</si>
  <si>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</si>
  <si>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</si>
  <si>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</si>
  <si>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</si>
  <si>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</si>
  <si>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</si>
  <si>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</si>
  <si>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</si>
  <si>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</si>
  <si>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</si>
  <si>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</si>
  <si>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</si>
  <si>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</si>
  <si>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</si>
  <si>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</si>
  <si>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</si>
  <si>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</si>
  <si>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</si>
  <si>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</si>
  <si>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</si>
  <si>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</si>
  <si>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</si>
  <si>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</si>
  <si>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</si>
  <si>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</si>
  <si>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</si>
  <si>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</si>
  <si>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</si>
  <si>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</si>
  <si>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</si>
  <si>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</si>
  <si>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</si>
  <si>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</si>
  <si>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</si>
  <si>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</si>
  <si>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</si>
  <si>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</si>
  <si>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</si>
  <si>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</si>
  <si>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</si>
  <si>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</si>
  <si>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</si>
  <si>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</si>
  <si>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</si>
  <si>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</si>
  <si>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</si>
  <si>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</si>
  <si>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</si>
  <si>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</si>
  <si>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</si>
  <si>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</si>
  <si>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</si>
  <si>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</si>
  <si>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</si>
  <si>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</si>
  <si>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</si>
  <si>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</si>
  <si>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</si>
  <si>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</si>
  <si>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</si>
  <si>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</si>
  <si>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</si>
  <si>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</si>
  <si>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</si>
  <si>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</si>
  <si>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</si>
  <si>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</si>
  <si>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</si>
  <si>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</si>
  <si>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</si>
  <si>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</si>
  <si>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</si>
  <si>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</si>
  <si>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</si>
  <si>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</si>
  <si>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</si>
  <si>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</si>
  <si>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</si>
  <si>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</si>
  <si>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</si>
  <si>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</si>
  <si>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</si>
  <si>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</si>
  <si>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</si>
  <si>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</si>
  <si>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</si>
  <si>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</si>
  <si>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</si>
  <si>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</si>
  <si>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</si>
  <si>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</si>
  <si>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</si>
  <si>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</si>
  <si>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</si>
  <si>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</si>
  <si>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</si>
  <si>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</si>
  <si>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</si>
  <si>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</si>
  <si>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</si>
  <si>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</si>
  <si>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</si>
  <si>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</si>
  <si>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</si>
  <si>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</si>
  <si>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</si>
  <si>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</si>
  <si>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</si>
  <si>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</si>
  <si>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</si>
  <si>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</si>
  <si>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</si>
  <si>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</si>
  <si>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</si>
  <si>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</si>
  <si>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</si>
  <si>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</si>
  <si>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</si>
  <si>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</si>
  <si>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</si>
  <si>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</si>
  <si>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</si>
  <si>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</si>
  <si>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</si>
  <si>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</si>
  <si>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</si>
  <si>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</si>
  <si>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</si>
  <si>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</si>
  <si>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</si>
  <si>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</si>
  <si>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</si>
  <si>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</si>
  <si>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</si>
  <si>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</si>
  <si>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</si>
  <si>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</si>
  <si>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</si>
  <si>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</si>
  <si>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</si>
  <si>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</si>
  <si>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</si>
  <si>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</si>
  <si>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</si>
  <si>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</si>
  <si>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</si>
  <si>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</si>
  <si>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</si>
  <si>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</si>
  <si>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</si>
  <si>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</si>
  <si>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</si>
  <si>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</si>
  <si>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</si>
  <si>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</si>
  <si>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</si>
  <si>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</si>
  <si>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</si>
  <si>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</si>
  <si>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</si>
  <si>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</si>
  <si>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</si>
  <si>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</si>
  <si>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</si>
  <si>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</si>
  <si>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</si>
  <si>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</si>
  <si>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</si>
  <si>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</si>
  <si>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</si>
  <si>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</si>
  <si>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</si>
  <si>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</si>
  <si>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</si>
  <si>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</si>
  <si>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</si>
  <si>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</si>
  <si>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</si>
  <si>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</si>
  <si>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</si>
  <si>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</si>
  <si>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</si>
  <si>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</si>
  <si>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</si>
  <si>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</si>
  <si>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</si>
  <si>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</si>
  <si>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</si>
  <si>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</si>
  <si>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</si>
  <si>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</si>
  <si>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</si>
  <si>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</si>
  <si>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</si>
  <si>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</si>
  <si>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</si>
  <si>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</si>
  <si>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</si>
  <si>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</si>
  <si>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</si>
  <si>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</si>
  <si>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</si>
  <si>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</si>
  <si>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</si>
  <si>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</si>
  <si>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</si>
  <si>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</si>
  <si>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</si>
  <si>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</si>
  <si>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</si>
  <si>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</si>
  <si>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</si>
  <si>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</si>
  <si>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</si>
  <si>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</si>
  <si>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</si>
  <si>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</si>
  <si>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</si>
  <si>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</si>
  <si>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</si>
  <si>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</si>
  <si>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</si>
  <si>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</si>
  <si>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</si>
  <si>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</si>
  <si>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</si>
  <si>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</si>
  <si>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</si>
  <si>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</si>
  <si>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</si>
  <si>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</si>
  <si>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</si>
  <si>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</si>
  <si>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</si>
  <si>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</si>
  <si>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</si>
  <si>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</si>
  <si>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</si>
  <si>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</si>
  <si>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</si>
  <si>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</si>
  <si>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</si>
  <si>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</si>
  <si>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</si>
  <si>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</si>
  <si>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</si>
  <si>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</si>
  <si>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</si>
  <si>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</si>
  <si>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</si>
  <si>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</si>
  <si>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</si>
  <si>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</si>
  <si>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</si>
  <si>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</si>
  <si>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</si>
  <si>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</si>
  <si>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</si>
  <si>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</si>
  <si>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</si>
  <si>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</si>
  <si>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</si>
  <si>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</si>
  <si>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</si>
  <si>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</si>
  <si>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</si>
  <si>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</si>
  <si>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</si>
  <si>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</si>
  <si>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</si>
  <si>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</si>
  <si>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</si>
  <si>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</si>
  <si>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</si>
  <si>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</si>
  <si>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</si>
  <si>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</si>
  <si>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</si>
  <si>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</si>
  <si>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</si>
  <si>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</si>
  <si>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</si>
  <si>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</si>
  <si>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</si>
  <si>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</si>
  <si>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</si>
  <si>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</si>
  <si>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</si>
  <si>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</si>
  <si>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</si>
  <si>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</si>
  <si>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</si>
  <si>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</si>
  <si>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</si>
  <si>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</si>
  <si>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</si>
  <si>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</si>
  <si>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</si>
  <si>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</si>
  <si>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</si>
  <si>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</si>
  <si>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</si>
  <si>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</si>
  <si>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</si>
  <si>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</si>
  <si>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</si>
  <si>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</si>
  <si>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</si>
  <si>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</si>
  <si>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</si>
  <si>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</si>
  <si>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</si>
  <si>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</si>
  <si>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</si>
  <si>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</si>
  <si>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</si>
  <si>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</si>
  <si>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</si>
  <si>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</si>
  <si>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</si>
  <si>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</si>
  <si>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</si>
  <si>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</si>
  <si>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</si>
  <si>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</si>
  <si>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</si>
  <si>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</si>
  <si>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</si>
  <si>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</si>
  <si>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</si>
  <si>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</si>
  <si>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</si>
  <si>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</si>
  <si>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</si>
  <si>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</si>
  <si>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</si>
  <si>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</si>
  <si>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</si>
  <si>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</si>
  <si>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</si>
  <si>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</si>
  <si>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</si>
  <si>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</si>
  <si>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</si>
  <si>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</si>
  <si>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</si>
  <si>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</si>
  <si>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</si>
  <si>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</si>
  <si>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</si>
  <si>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</si>
  <si>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</si>
  <si>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</si>
  <si>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</si>
  <si>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</si>
  <si>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</si>
  <si>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</si>
  <si>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</si>
  <si>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</si>
  <si>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</si>
  <si>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</si>
  <si>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</si>
  <si>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</si>
  <si>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</si>
  <si>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</si>
  <si>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</si>
  <si>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</si>
  <si>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</si>
  <si>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</si>
  <si>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</si>
  <si>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</si>
  <si>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</si>
  <si>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</si>
  <si>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</si>
  <si>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</si>
  <si>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</si>
  <si>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</si>
  <si>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</si>
  <si>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</si>
  <si>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</si>
  <si>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</si>
  <si>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</si>
  <si>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</si>
  <si>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</si>
  <si>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</si>
  <si>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</si>
  <si>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</si>
  <si>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</si>
  <si>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</si>
  <si>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</si>
  <si>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</si>
  <si>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</si>
  <si>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</si>
  <si>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</si>
  <si>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</si>
  <si>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</si>
  <si>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</si>
  <si>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</si>
  <si>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</si>
  <si>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</si>
  <si>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</si>
  <si>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</si>
  <si>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</si>
  <si>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</si>
  <si>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</si>
  <si>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</si>
  <si>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</si>
  <si>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</si>
  <si>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</si>
  <si>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</si>
  <si>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</si>
  <si>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</si>
  <si>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</si>
  <si>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</si>
  <si>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</si>
  <si>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</si>
  <si>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</si>
  <si>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</si>
  <si>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</si>
  <si>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</si>
  <si>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</si>
  <si>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</si>
  <si>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</si>
  <si>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</si>
  <si>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</si>
  <si>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</si>
  <si>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</si>
  <si>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</si>
  <si>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</si>
  <si>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</si>
  <si>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</si>
  <si>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</si>
  <si>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</si>
  <si>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</si>
  <si>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</si>
  <si>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</si>
  <si>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</si>
  <si>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</si>
  <si>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</si>
  <si>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</si>
  <si>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</si>
  <si>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</si>
  <si>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</si>
  <si>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</si>
  <si>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</si>
  <si>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</si>
  <si>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</si>
  <si>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</si>
  <si>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</si>
  <si>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</si>
  <si>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</si>
  <si>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</si>
  <si>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</si>
  <si>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</si>
  <si>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</si>
  <si>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</si>
  <si>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</si>
  <si>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</si>
  <si>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</si>
  <si>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</si>
  <si>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</si>
  <si>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</si>
  <si>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</si>
  <si>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</si>
  <si>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</si>
  <si>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</si>
  <si>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</si>
  <si>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</si>
  <si>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</si>
  <si>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</si>
  <si>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</si>
  <si>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</si>
  <si>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</si>
  <si>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</si>
  <si>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</si>
  <si>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</si>
  <si>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</si>
  <si>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</si>
  <si>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</si>
  <si>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</si>
  <si>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</si>
  <si>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</si>
  <si>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</si>
  <si>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</si>
  <si>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</si>
  <si>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</si>
  <si>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</si>
  <si>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</si>
  <si>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</si>
  <si>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</si>
  <si>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</si>
  <si>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</si>
  <si>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</si>
  <si>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</si>
  <si>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</si>
  <si>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</si>
  <si>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</si>
  <si>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</si>
  <si>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</si>
  <si>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</si>
  <si>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</si>
  <si>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</si>
  <si>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</si>
  <si>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</si>
  <si>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</si>
  <si>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</si>
  <si>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</si>
  <si>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</si>
  <si>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</si>
  <si>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</si>
  <si>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</si>
  <si>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</si>
  <si>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</si>
  <si>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</si>
  <si>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</si>
  <si>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</si>
  <si>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</si>
  <si>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</si>
  <si>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</si>
  <si>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</si>
  <si>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</si>
  <si>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</si>
  <si>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</si>
  <si>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</si>
  <si>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</si>
  <si>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</si>
  <si>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</si>
  <si>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</si>
  <si>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</si>
  <si>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</si>
  <si>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</si>
  <si>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</si>
  <si>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</si>
  <si>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</si>
  <si>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</si>
  <si>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</si>
  <si>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</si>
  <si>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</si>
  <si>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</si>
  <si>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</si>
  <si>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</si>
  <si>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</si>
  <si>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</si>
  <si>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</si>
  <si>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</si>
  <si>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</si>
  <si>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</si>
  <si>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</si>
  <si>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</si>
  <si>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</si>
  <si>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</si>
  <si>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</si>
  <si>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</si>
  <si>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</si>
  <si>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</si>
  <si>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</si>
  <si>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</si>
  <si>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</si>
  <si>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</si>
  <si>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</si>
  <si>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</si>
  <si>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</si>
  <si>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</si>
  <si>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</si>
  <si>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</si>
  <si>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</si>
  <si>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</si>
  <si>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</si>
  <si>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</si>
  <si>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</si>
  <si>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</si>
  <si>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</si>
  <si>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</si>
  <si>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</si>
  <si>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</si>
  <si>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</si>
  <si>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</si>
  <si>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</si>
  <si>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</si>
  <si>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</si>
  <si>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</si>
  <si>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</si>
  <si>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</si>
  <si>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</si>
  <si>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</si>
  <si>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</si>
  <si>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</si>
  <si>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</si>
  <si>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</si>
  <si>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</si>
  <si>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</si>
  <si>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</si>
  <si>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</si>
  <si>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</si>
  <si>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</si>
  <si>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</si>
  <si>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</si>
  <si>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</si>
  <si>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</si>
  <si>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</si>
  <si>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</si>
  <si>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</si>
  <si>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</si>
  <si>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</si>
  <si>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</si>
  <si>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</si>
  <si>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</si>
  <si>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</si>
  <si>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</si>
  <si>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</si>
  <si>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</si>
  <si>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</si>
  <si>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</si>
  <si>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</si>
  <si>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</si>
  <si>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</si>
  <si>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</si>
  <si>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</si>
  <si>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</si>
  <si>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</si>
  <si>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</si>
  <si>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</si>
  <si>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</si>
  <si>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</si>
  <si>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</si>
  <si>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</si>
  <si>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</si>
  <si>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</si>
  <si>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</si>
  <si>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</si>
  <si>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</si>
  <si>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</si>
  <si>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</si>
  <si>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</si>
  <si>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</si>
  <si>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</si>
  <si>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</si>
  <si>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</si>
  <si>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</si>
  <si>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</si>
  <si>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</si>
  <si>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</si>
  <si>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</si>
  <si>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</si>
  <si>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</si>
  <si>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</si>
  <si>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</si>
  <si>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</si>
  <si>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</si>
  <si>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</si>
  <si>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</si>
  <si>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</si>
  <si>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</si>
  <si>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</si>
  <si>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</si>
  <si>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</si>
  <si>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</si>
  <si>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</si>
  <si>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</si>
  <si>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</si>
  <si>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</si>
  <si>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</si>
  <si>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</si>
  <si>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</si>
  <si>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</si>
  <si>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</si>
  <si>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</si>
  <si>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</si>
  <si>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</si>
  <si>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</si>
  <si>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</si>
  <si>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</si>
  <si>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</si>
  <si>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</si>
  <si>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</si>
  <si>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</si>
  <si>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</si>
  <si>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</si>
  <si>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</si>
  <si>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</si>
  <si>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</si>
  <si>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</si>
  <si>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</si>
  <si>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</si>
  <si>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</si>
  <si>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</si>
  <si>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</si>
  <si>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</si>
  <si>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</si>
  <si>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</si>
  <si>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</si>
  <si>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</si>
  <si>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</si>
  <si>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</si>
  <si>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</si>
  <si>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</si>
  <si>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</si>
  <si>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</si>
  <si>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</si>
  <si>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</si>
  <si>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</si>
  <si>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</si>
  <si>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</si>
  <si>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</si>
  <si>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</si>
  <si>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</si>
  <si>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</si>
  <si>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</si>
  <si>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</si>
  <si>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</si>
  <si>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</si>
  <si>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</si>
  <si>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</si>
  <si>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</si>
  <si>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</si>
  <si>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</si>
  <si>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</si>
  <si>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</si>
  <si>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</si>
  <si>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</si>
  <si>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</si>
  <si>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</si>
  <si>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</si>
  <si>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</si>
  <si>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</si>
  <si>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</si>
  <si>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</si>
  <si>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</si>
  <si>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</si>
  <si>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</si>
  <si>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</si>
  <si>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</si>
  <si>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</si>
  <si>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</si>
  <si>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</si>
  <si>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</si>
  <si>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</si>
  <si>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</si>
  <si>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</si>
  <si>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</si>
  <si>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</si>
  <si>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</si>
  <si>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</si>
  <si>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</si>
  <si>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</si>
  <si>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</si>
  <si>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</si>
  <si>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</si>
  <si>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</si>
  <si>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</si>
  <si>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</si>
  <si>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</si>
  <si>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</si>
  <si>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</si>
  <si>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</si>
  <si>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</si>
  <si>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</si>
  <si>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</si>
  <si>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</si>
  <si>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</si>
  <si>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</si>
  <si>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</si>
  <si>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</si>
  <si>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</si>
  <si>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</si>
  <si>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</si>
  <si>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</si>
  <si>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</si>
  <si>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</si>
  <si>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</si>
  <si>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</si>
  <si>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</si>
  <si>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</si>
  <si>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</si>
  <si>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</si>
  <si>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</si>
  <si>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</si>
  <si>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</si>
  <si>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</si>
  <si>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</si>
  <si>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</si>
  <si>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</si>
  <si>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</si>
  <si>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</si>
  <si>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</si>
  <si>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</si>
  <si>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</si>
  <si>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</si>
  <si>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</si>
  <si>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</si>
  <si>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</si>
  <si>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</si>
  <si>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</si>
  <si>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</si>
  <si>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</si>
  <si>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</si>
  <si>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</si>
  <si>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</si>
  <si>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</si>
  <si>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</si>
  <si>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</si>
  <si>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</si>
  <si>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</si>
  <si>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</si>
  <si>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</si>
  <si>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</si>
  <si>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</si>
  <si>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</si>
  <si>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</si>
  <si>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</si>
  <si>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</si>
  <si>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</si>
  <si>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</si>
  <si>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</si>
  <si>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</si>
  <si>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</si>
  <si>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</si>
  <si>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</si>
  <si>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</si>
  <si>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</si>
  <si>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</si>
  <si>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</si>
  <si>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</si>
  <si>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</si>
  <si>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</si>
  <si>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</si>
  <si>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</si>
  <si>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</si>
  <si>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</si>
  <si>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</si>
  <si>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</si>
  <si>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</si>
  <si>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</si>
  <si>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</si>
  <si>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</si>
  <si>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</si>
  <si>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</si>
  <si>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</si>
  <si>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</si>
  <si>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</si>
  <si>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</si>
  <si>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</si>
  <si>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</si>
  <si>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</si>
  <si>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</si>
  <si>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</si>
  <si>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</si>
  <si>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</si>
  <si>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</si>
  <si>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</si>
  <si>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</si>
  <si>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</si>
  <si>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</si>
  <si>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</si>
  <si>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</si>
  <si>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</si>
  <si>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</si>
  <si>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</si>
  <si>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</si>
  <si>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</si>
  <si>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</si>
  <si>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</si>
  <si>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</si>
  <si>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</si>
  <si>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</si>
  <si>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</si>
  <si>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</si>
  <si>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</si>
  <si>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</si>
  <si>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</si>
  <si>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</si>
  <si>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</si>
  <si>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</si>
  <si>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</si>
  <si>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</si>
  <si>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</si>
  <si>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</si>
  <si>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</si>
  <si>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</si>
  <si>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</si>
  <si>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</si>
  <si>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</si>
  <si>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</si>
  <si>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</si>
  <si>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</si>
  <si>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</si>
  <si>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</si>
  <si>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</si>
  <si>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</si>
  <si>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</si>
  <si>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</si>
  <si>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</si>
  <si>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</si>
  <si>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</si>
  <si>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</si>
  <si>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</si>
  <si>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</si>
  <si>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</si>
  <si>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</si>
  <si>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</si>
  <si>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</si>
  <si>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</si>
  <si>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</si>
  <si>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</si>
  <si>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</si>
  <si>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</si>
  <si>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</si>
  <si>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</si>
  <si>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</si>
  <si>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</si>
  <si>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</si>
  <si>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</si>
  <si>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</si>
  <si>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</si>
  <si>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</si>
  <si>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</si>
  <si>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</si>
  <si>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</si>
  <si>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</si>
  <si>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</si>
  <si>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</si>
  <si>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</si>
  <si>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</si>
  <si>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</si>
  <si>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</si>
  <si>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</si>
  <si>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</si>
  <si>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</si>
  <si>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</si>
  <si>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</si>
  <si>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</si>
  <si>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</si>
  <si>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</si>
  <si>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</si>
  <si>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</si>
  <si>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</si>
  <si>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</si>
  <si>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</si>
  <si>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</si>
  <si>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</si>
  <si>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</si>
  <si>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</si>
  <si>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</si>
  <si>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</si>
  <si>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</si>
  <si>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</si>
  <si>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</si>
  <si>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</si>
  <si>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</si>
  <si>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</si>
  <si>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</si>
  <si>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</si>
  <si>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</si>
  <si>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</si>
  <si>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</si>
  <si>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</si>
  <si>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</si>
  <si>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</si>
  <si>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</si>
  <si>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</si>
  <si>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</si>
  <si>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</si>
  <si>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</si>
  <si>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</si>
  <si>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</si>
  <si>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</si>
  <si>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</si>
  <si>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</si>
  <si>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</si>
  <si>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</si>
  <si>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</si>
  <si>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</si>
  <si>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</si>
  <si>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</si>
  <si>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</si>
  <si>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</si>
  <si>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</si>
  <si>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</si>
  <si>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</si>
  <si>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</si>
  <si>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</si>
  <si>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</si>
  <si>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</si>
  <si>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</si>
  <si>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</si>
  <si>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</si>
  <si>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</si>
  <si>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</si>
  <si>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</si>
  <si>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</si>
  <si>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</si>
  <si>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</si>
  <si>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</si>
  <si>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</si>
  <si>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</si>
  <si>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</si>
  <si>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</si>
  <si>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</si>
  <si>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</si>
  <si>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</si>
  <si>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</si>
  <si>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</si>
  <si>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</si>
  <si>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</si>
  <si>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</si>
  <si>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</si>
  <si>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</si>
  <si>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</si>
  <si>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</si>
  <si>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</si>
  <si>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</si>
  <si>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</si>
  <si>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</si>
  <si>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</si>
  <si>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</si>
  <si>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</si>
  <si>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</si>
  <si>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</si>
  <si>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</si>
  <si>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</si>
  <si>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</si>
  <si>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</si>
  <si>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</si>
  <si>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</si>
  <si>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</si>
  <si>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</si>
  <si>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</si>
  <si>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</si>
  <si>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</si>
  <si>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</si>
  <si>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</si>
  <si>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</si>
  <si>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</si>
  <si>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</si>
  <si>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</si>
  <si>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</si>
  <si>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</si>
  <si>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</si>
  <si>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</si>
  <si>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</si>
  <si>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</si>
  <si>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</si>
  <si>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</si>
  <si>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</si>
  <si>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</si>
  <si>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</si>
  <si>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</si>
  <si>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</si>
  <si>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</si>
  <si>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</si>
  <si>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</si>
  <si>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</si>
  <si>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</si>
  <si>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</si>
  <si>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</si>
  <si>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</si>
  <si>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</si>
  <si>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</si>
  <si>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</si>
  <si>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</si>
  <si>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</si>
  <si>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</si>
  <si>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</si>
  <si>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</si>
  <si>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</si>
  <si>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</si>
  <si>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</si>
  <si>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</si>
  <si>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</si>
  <si>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</si>
  <si>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</si>
  <si>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</si>
  <si>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</si>
  <si>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</si>
  <si>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</si>
  <si>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</si>
  <si>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</si>
  <si>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</si>
  <si>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</si>
  <si>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</si>
  <si>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</si>
  <si>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</si>
  <si>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</si>
  <si>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</si>
  <si>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</si>
  <si>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</si>
  <si>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</si>
  <si>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</si>
  <si>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</si>
  <si>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</si>
  <si>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</si>
  <si>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</si>
  <si>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</si>
  <si>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</si>
  <si>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</si>
  <si>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</si>
  <si>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</si>
  <si>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</si>
  <si>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</si>
  <si>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</si>
  <si>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</si>
  <si>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</si>
  <si>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</si>
  <si>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</si>
  <si>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</si>
  <si>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</si>
  <si>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</si>
  <si>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</si>
  <si>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</si>
  <si>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</si>
  <si>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</si>
  <si>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</si>
  <si>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</si>
  <si>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</si>
  <si>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</si>
  <si>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</si>
  <si>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</si>
  <si>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</si>
  <si>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</si>
  <si>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</si>
  <si>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</si>
  <si>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</si>
  <si>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</si>
  <si>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</si>
  <si>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</si>
  <si>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</si>
  <si>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</si>
  <si>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</si>
  <si>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</si>
  <si>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</si>
  <si>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</si>
  <si>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</si>
  <si>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</si>
  <si>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</si>
  <si>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</si>
  <si>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</si>
  <si>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</si>
  <si>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</si>
  <si>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</si>
  <si>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</si>
  <si>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</si>
  <si>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</si>
  <si>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</si>
  <si>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</si>
  <si>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</si>
  <si>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</si>
  <si>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</si>
  <si>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</si>
  <si>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</si>
  <si>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</si>
  <si>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</si>
  <si>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</si>
  <si>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</si>
  <si>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</si>
  <si>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</si>
  <si>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</si>
  <si>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</si>
  <si>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</si>
  <si>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</si>
  <si>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</si>
  <si>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</si>
  <si>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</si>
  <si>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</si>
  <si>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</si>
  <si>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</si>
  <si>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</si>
  <si>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</si>
  <si>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</si>
  <si>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</si>
  <si>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</si>
  <si>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</si>
  <si>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</si>
  <si>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</si>
  <si>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</si>
  <si>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</si>
  <si>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</si>
  <si>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</si>
  <si>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</si>
  <si>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</si>
  <si>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</si>
  <si>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</si>
  <si>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</si>
  <si>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</si>
  <si>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</si>
  <si>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</si>
  <si>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</si>
  <si>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</si>
  <si>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</si>
  <si>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</si>
  <si>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</si>
  <si>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</si>
  <si>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</si>
  <si>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</si>
  <si>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</si>
  <si>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</si>
  <si>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</si>
  <si>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</si>
  <si>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</si>
  <si>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</si>
  <si>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</si>
  <si>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</si>
  <si>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</si>
  <si>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</si>
  <si>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</si>
  <si>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</si>
  <si>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</si>
  <si>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</si>
  <si>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</si>
  <si>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</si>
  <si>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</si>
  <si>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</si>
  <si>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</si>
  <si>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</si>
  <si>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</si>
  <si>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</si>
  <si>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</si>
  <si>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</si>
  <si>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</si>
  <si>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</si>
  <si>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</si>
  <si>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</si>
  <si>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</si>
  <si>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</si>
  <si>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</si>
  <si>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</si>
  <si>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</si>
  <si>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</si>
  <si>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</si>
  <si>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</si>
  <si>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</si>
  <si>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</si>
  <si>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</si>
  <si>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</si>
  <si>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</si>
  <si>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</si>
  <si>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</si>
  <si>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</si>
  <si>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</si>
  <si>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</si>
  <si>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</si>
  <si>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</si>
  <si>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</si>
  <si>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</si>
  <si>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</si>
  <si>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</si>
  <si>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</si>
  <si>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</si>
  <si>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</si>
  <si>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</si>
  <si>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</si>
  <si>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</si>
  <si>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</si>
  <si>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</si>
  <si>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</si>
  <si>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</si>
  <si>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</si>
  <si>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</si>
  <si>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</si>
  <si>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</si>
  <si>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</si>
  <si>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</si>
  <si>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</si>
  <si>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</si>
  <si>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</si>
  <si>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</si>
  <si>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</si>
  <si>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</si>
  <si>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</si>
  <si>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</si>
  <si>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</si>
  <si>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</si>
  <si>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</si>
  <si>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</si>
  <si>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</si>
  <si>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</si>
  <si>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</si>
  <si>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</si>
  <si>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</si>
  <si>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</si>
  <si>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</si>
  <si>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</si>
  <si>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</si>
  <si>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</si>
  <si>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</si>
  <si>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</si>
  <si>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</si>
  <si>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</si>
  <si>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</si>
  <si>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</si>
  <si>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</si>
  <si>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</si>
  <si>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</si>
  <si>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</si>
  <si>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</si>
  <si>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</si>
  <si>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</si>
  <si>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</si>
  <si>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</si>
  <si>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</si>
  <si>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</si>
  <si>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</si>
  <si>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</si>
  <si>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</si>
  <si>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</si>
  <si>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</si>
  <si>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</si>
  <si>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</si>
  <si>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</si>
  <si>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</si>
  <si>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</si>
  <si>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</si>
  <si>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</si>
  <si>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</si>
  <si>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</si>
  <si>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</si>
  <si>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</si>
  <si>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</si>
  <si>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</si>
  <si>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</si>
  <si>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</si>
  <si>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</si>
  <si>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</si>
  <si>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</si>
  <si>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</si>
  <si>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</si>
  <si>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</si>
  <si>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</si>
  <si>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</si>
  <si>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</si>
  <si>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</si>
  <si>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</si>
  <si>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</si>
  <si>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</si>
  <si>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</si>
  <si>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</si>
  <si>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</si>
  <si>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</si>
  <si>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</si>
  <si>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</si>
  <si>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</si>
  <si>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</si>
  <si>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</si>
  <si>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</si>
  <si>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</si>
  <si>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</si>
  <si>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</si>
  <si>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</si>
  <si>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</si>
  <si>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</si>
  <si>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</si>
  <si>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</si>
  <si>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</si>
  <si>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</si>
  <si>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</si>
  <si>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</si>
  <si>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</si>
  <si>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</si>
  <si>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</si>
  <si>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</si>
  <si>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</si>
  <si>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</si>
  <si>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</si>
  <si>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</si>
  <si>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</si>
  <si>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</si>
  <si>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</si>
  <si>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</si>
  <si>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</si>
  <si>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</si>
  <si>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</si>
  <si>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</si>
  <si>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</si>
  <si>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</si>
  <si>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</si>
  <si>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</si>
  <si>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</si>
  <si>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</si>
  <si>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</si>
  <si>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</si>
  <si>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</si>
  <si>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</si>
  <si>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</si>
  <si>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</si>
  <si>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</si>
  <si>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</si>
  <si>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</si>
  <si>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</si>
  <si>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</si>
  <si>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</si>
  <si>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</si>
  <si>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</si>
  <si>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</si>
  <si>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</si>
  <si>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</si>
  <si>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</si>
  <si>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</si>
  <si>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</si>
  <si>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</si>
  <si>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</si>
  <si>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</si>
  <si>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</si>
  <si>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</si>
  <si>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</si>
  <si>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</si>
  <si>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</si>
  <si>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</si>
  <si>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</si>
  <si>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</si>
  <si>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</si>
  <si>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</si>
  <si>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</si>
  <si>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</si>
  <si>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</si>
  <si>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</si>
  <si>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</si>
  <si>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</si>
  <si>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</si>
  <si>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</si>
  <si>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</si>
  <si>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</si>
  <si>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</si>
  <si>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</si>
  <si>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</si>
  <si>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</si>
  <si>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</si>
  <si>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</si>
  <si>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</si>
  <si>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</si>
  <si>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</si>
  <si>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</si>
  <si>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</si>
  <si>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</si>
  <si>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</si>
  <si>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</si>
  <si>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</si>
  <si>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</si>
  <si>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</si>
  <si>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</si>
  <si>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</si>
  <si>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</si>
  <si>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</si>
  <si>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</si>
  <si>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</si>
  <si>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</si>
  <si>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</si>
  <si>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</si>
  <si>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</si>
  <si>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</si>
  <si>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</si>
  <si>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</si>
  <si>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</si>
  <si>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</si>
  <si>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</si>
  <si>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</si>
  <si>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</si>
  <si>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</si>
  <si>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</si>
  <si>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</si>
  <si>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</si>
  <si>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</si>
  <si>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</si>
  <si>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</si>
  <si>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</si>
  <si>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</si>
  <si>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</si>
  <si>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</si>
  <si>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</si>
  <si>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</si>
  <si>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</si>
  <si>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</si>
  <si>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</si>
  <si>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</si>
  <si>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</si>
  <si>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</si>
  <si>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</si>
  <si>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</si>
  <si>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</si>
  <si>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</si>
  <si>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</si>
  <si>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</si>
  <si>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</si>
  <si>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</si>
  <si>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</si>
  <si>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</si>
  <si>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</si>
  <si>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</si>
  <si>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</si>
  <si>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</si>
  <si>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</si>
  <si>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</si>
  <si>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</si>
  <si>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</si>
  <si>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</si>
  <si>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</si>
  <si>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</si>
  <si>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</si>
  <si>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</si>
  <si>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</si>
  <si>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</si>
  <si>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</si>
  <si>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</si>
  <si>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</si>
  <si>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</si>
  <si>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</si>
  <si>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</si>
  <si>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</si>
  <si>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</si>
  <si>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</si>
  <si>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</si>
  <si>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</si>
  <si>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</si>
  <si>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</si>
  <si>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</si>
  <si>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</si>
  <si>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</si>
  <si>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</si>
  <si>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</si>
  <si>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</si>
  <si>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</si>
  <si>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</si>
  <si>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</si>
  <si>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</si>
  <si>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</si>
  <si>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</si>
  <si>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</si>
  <si>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</si>
  <si>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</si>
  <si>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</si>
  <si>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</si>
  <si>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</si>
  <si>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</si>
  <si>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</si>
  <si>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</si>
  <si>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</si>
  <si>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</si>
  <si>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</si>
  <si>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</si>
  <si>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</si>
  <si>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</si>
  <si>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</si>
  <si>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</si>
  <si>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</si>
  <si>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</si>
  <si>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</si>
  <si>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</si>
  <si>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</si>
  <si>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</si>
  <si>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</si>
  <si>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</si>
  <si>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</si>
  <si>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</si>
  <si>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</si>
  <si>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</si>
  <si>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</si>
  <si>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</si>
  <si>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</si>
  <si>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</si>
  <si>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</si>
  <si>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</si>
  <si>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</si>
  <si>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</si>
  <si>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</si>
  <si>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</si>
  <si>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</si>
  <si>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</si>
  <si>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</si>
  <si>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</si>
  <si>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</si>
  <si>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</si>
  <si>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</si>
  <si>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</si>
  <si>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</si>
  <si>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</si>
  <si>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</si>
  <si>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</si>
  <si>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</si>
  <si>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</si>
  <si>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</si>
  <si>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</si>
  <si>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</si>
  <si>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</si>
  <si>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</si>
  <si>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</si>
  <si>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</si>
  <si>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</si>
  <si>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</si>
  <si>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</si>
  <si>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</si>
  <si>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</si>
  <si>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</si>
  <si>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</si>
  <si>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</si>
  <si>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</si>
  <si>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</si>
  <si>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</si>
  <si>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</si>
  <si>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</si>
  <si>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</si>
  <si>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</si>
  <si>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</si>
  <si>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</si>
  <si>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</si>
  <si>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</si>
  <si>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</si>
  <si>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</si>
  <si>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</si>
  <si>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</si>
  <si>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</si>
  <si>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</si>
  <si>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</si>
  <si>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</si>
  <si>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</si>
  <si>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</si>
  <si>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</si>
  <si>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</si>
  <si>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</si>
  <si>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</si>
  <si>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</si>
  <si>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</si>
  <si>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</si>
  <si>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</si>
  <si>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</si>
  <si>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</si>
  <si>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</si>
  <si>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</si>
  <si>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</si>
  <si>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</si>
  <si>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</si>
  <si>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</si>
  <si>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</si>
  <si>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</si>
  <si>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</si>
  <si>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</si>
  <si>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</si>
  <si>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</si>
  <si>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</si>
  <si>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</si>
  <si>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</si>
  <si>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</si>
  <si>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</si>
  <si>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</si>
  <si>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</si>
  <si>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</si>
  <si>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</si>
  <si>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</si>
  <si>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</si>
  <si>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</si>
  <si>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</si>
  <si>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</si>
  <si>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</si>
  <si>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</si>
  <si>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</si>
  <si>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</si>
  <si>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</si>
  <si>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</si>
  <si>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</si>
  <si>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</si>
  <si>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</si>
  <si>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</si>
  <si>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</si>
  <si>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</si>
  <si>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</si>
  <si>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</si>
  <si>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</si>
  <si>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</si>
  <si>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</si>
  <si>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</si>
  <si>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</si>
  <si>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</si>
  <si>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</si>
  <si>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</si>
  <si>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</si>
  <si>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</si>
  <si>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</si>
  <si>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</si>
  <si>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</si>
  <si>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</si>
  <si>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</si>
  <si>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</si>
  <si>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</si>
  <si>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</si>
  <si>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</si>
  <si>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</si>
  <si>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</si>
  <si>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</si>
  <si>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</si>
  <si>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</si>
  <si>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</si>
  <si>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</si>
  <si>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</si>
  <si>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</si>
  <si>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</si>
  <si>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</si>
  <si>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</si>
  <si>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</si>
  <si>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</si>
  <si>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</si>
  <si>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</si>
  <si>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</si>
  <si>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</si>
  <si>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</si>
  <si>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</si>
  <si>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</si>
  <si>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</si>
  <si>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</si>
  <si>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</si>
  <si>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</si>
  <si>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</si>
  <si>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</si>
  <si>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</si>
  <si>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</si>
  <si>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</si>
  <si>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</si>
  <si>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</si>
  <si>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</si>
  <si>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</si>
  <si>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</si>
  <si>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</si>
  <si>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</si>
  <si>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</si>
  <si>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</si>
  <si>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</si>
  <si>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</si>
  <si>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</si>
  <si>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</si>
  <si>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</si>
  <si>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</si>
  <si>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</si>
  <si>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</si>
  <si>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</si>
  <si>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</si>
  <si>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</si>
  <si>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</si>
  <si>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</si>
  <si>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</si>
  <si>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</si>
  <si>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</si>
  <si>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</si>
  <si>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</si>
  <si>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</si>
  <si>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</si>
  <si>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</si>
  <si>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</si>
  <si>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</si>
  <si>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</si>
  <si>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</si>
  <si>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</si>
  <si>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</si>
  <si>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</si>
  <si>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</si>
  <si>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</si>
  <si>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</si>
  <si>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</si>
  <si>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</si>
  <si>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</si>
  <si>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</si>
  <si>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</si>
  <si>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</si>
  <si>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</si>
  <si>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</si>
  <si>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</si>
  <si>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</si>
  <si>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</si>
  <si>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</si>
  <si>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</si>
  <si>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</si>
  <si>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</si>
  <si>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</si>
  <si>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</si>
  <si>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</si>
  <si>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</si>
  <si>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</si>
  <si>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</si>
  <si>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</si>
  <si>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</si>
  <si>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</si>
  <si>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</si>
  <si>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</si>
  <si>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</si>
  <si>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</si>
  <si>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</si>
  <si>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</si>
  <si>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</si>
  <si>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</si>
  <si>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</si>
  <si>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</si>
  <si>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</si>
  <si>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</si>
  <si>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</si>
  <si>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</si>
  <si>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</si>
  <si>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</si>
  <si>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</si>
  <si>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</si>
  <si>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</si>
  <si>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</si>
  <si>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</si>
  <si>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</si>
  <si>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</si>
  <si>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</si>
  <si>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</si>
  <si>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</si>
  <si>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</si>
  <si>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</si>
  <si>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</si>
  <si>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</si>
  <si>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</si>
  <si>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</si>
  <si>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</si>
  <si>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</si>
  <si>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</si>
  <si>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</si>
  <si>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</si>
  <si>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</si>
  <si>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</si>
  <si>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</si>
  <si>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</si>
  <si>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</si>
  <si>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</si>
  <si>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</si>
  <si>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</si>
  <si>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</si>
  <si>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</si>
  <si>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</si>
  <si>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</si>
  <si>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</si>
  <si>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</si>
  <si>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</si>
  <si>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</si>
  <si>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</si>
  <si>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</si>
  <si>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</si>
  <si>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</si>
  <si>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</si>
  <si>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</si>
  <si>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</si>
  <si>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</si>
  <si>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</si>
  <si>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</si>
  <si>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</si>
  <si>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</si>
  <si>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</si>
  <si>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</si>
  <si>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</si>
  <si>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</si>
  <si>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</si>
  <si>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</si>
  <si>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</si>
  <si>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</si>
  <si>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</si>
  <si>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</si>
  <si>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</si>
  <si>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</si>
  <si>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</si>
  <si>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</si>
  <si>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</si>
  <si>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</si>
  <si>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</si>
  <si>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</si>
  <si>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</si>
  <si>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</si>
  <si>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</si>
  <si>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</si>
  <si>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</si>
  <si>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</si>
  <si>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</si>
  <si>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</si>
  <si>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</si>
  <si>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</si>
  <si>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</si>
  <si>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</si>
  <si>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</si>
  <si>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</si>
  <si>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</si>
  <si>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</si>
  <si>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</si>
  <si>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</si>
  <si>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</si>
  <si>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</si>
  <si>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</si>
  <si>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</si>
  <si>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</si>
  <si>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</si>
  <si>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</si>
  <si>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</si>
  <si>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</si>
  <si>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</si>
  <si>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</si>
  <si>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</si>
  <si>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</si>
  <si>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</si>
  <si>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</si>
  <si>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</si>
  <si>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</si>
  <si>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</si>
  <si>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</si>
  <si>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</si>
  <si>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</si>
  <si>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</si>
  <si>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</si>
  <si>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</si>
  <si>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</si>
  <si>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</si>
  <si>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</si>
  <si>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</si>
  <si>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</si>
  <si>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</si>
  <si>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</si>
  <si>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</si>
  <si>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</si>
  <si>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</si>
  <si>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</si>
  <si>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</si>
  <si>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</si>
  <si>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</si>
  <si>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</si>
  <si>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</si>
  <si>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</si>
  <si>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</si>
  <si>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</si>
  <si>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</si>
  <si>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</si>
  <si>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</si>
  <si>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</si>
  <si>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</si>
  <si>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</si>
  <si>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</si>
  <si>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</si>
  <si>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</si>
  <si>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</si>
  <si>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</si>
  <si>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</si>
  <si>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</si>
  <si>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</si>
  <si>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</si>
  <si>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</si>
  <si>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</si>
  <si>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</si>
  <si>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</si>
  <si>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</si>
  <si>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</si>
  <si>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</si>
  <si>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</si>
  <si>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</si>
  <si>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</si>
  <si>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</si>
  <si>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</si>
  <si>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</si>
  <si>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</si>
  <si>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</si>
  <si>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</si>
  <si>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</si>
  <si>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</si>
  <si>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</si>
  <si>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</si>
  <si>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</si>
  <si>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</si>
  <si>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</si>
  <si>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</si>
  <si>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</si>
  <si>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</si>
  <si>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</si>
  <si>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</si>
  <si>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</si>
  <si>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</si>
  <si>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</si>
  <si>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</si>
  <si>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</si>
  <si>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</si>
  <si>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</si>
  <si>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</si>
  <si>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</si>
  <si>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</si>
  <si>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</si>
  <si>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</si>
  <si>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</si>
  <si>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</si>
  <si>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</si>
  <si>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</si>
  <si>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</si>
  <si>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</si>
  <si>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</si>
  <si>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</si>
  <si>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</si>
  <si>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</si>
  <si>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</si>
  <si>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</si>
  <si>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</si>
  <si>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</si>
  <si>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</si>
  <si>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</si>
  <si>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</si>
  <si>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</si>
  <si>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</si>
  <si>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</si>
  <si>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</si>
  <si>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</si>
  <si>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</si>
  <si>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</si>
  <si>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</si>
  <si>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</si>
  <si>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</si>
  <si>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</si>
  <si>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</si>
  <si>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</si>
  <si>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</si>
  <si>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</si>
  <si>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</si>
  <si>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</si>
  <si>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</si>
  <si>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</si>
  <si>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</si>
  <si>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</si>
  <si>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</si>
  <si>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</si>
  <si>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</si>
  <si>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</si>
  <si>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</si>
  <si>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</si>
  <si>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</si>
  <si>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</si>
  <si>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</si>
  <si>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</si>
  <si>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</si>
  <si>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</si>
  <si>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</si>
  <si>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</si>
  <si>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</si>
  <si>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</si>
  <si>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</si>
  <si>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</si>
  <si>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</si>
  <si>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</si>
  <si>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</si>
  <si>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</si>
  <si>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</si>
  <si>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</si>
  <si>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</si>
  <si>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</si>
  <si>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</si>
  <si>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</si>
  <si>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</si>
  <si>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</si>
  <si>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</si>
  <si>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</si>
  <si>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</si>
  <si>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</si>
  <si>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</si>
  <si>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</si>
  <si>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</si>
  <si>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</si>
  <si>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</si>
  <si>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</si>
  <si>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</si>
  <si>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</si>
  <si>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</si>
  <si>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</si>
  <si>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</si>
  <si>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</si>
  <si>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</si>
  <si>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</si>
  <si>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</si>
  <si>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</si>
  <si>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</si>
  <si>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</si>
  <si>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</si>
  <si>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</si>
  <si>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</si>
  <si>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</si>
  <si>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</si>
  <si>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</si>
  <si>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</si>
  <si>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</si>
  <si>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</si>
  <si>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</si>
  <si>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</si>
  <si>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</si>
  <si>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</si>
  <si>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</si>
  <si>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</si>
  <si>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</si>
  <si>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</si>
  <si>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</si>
  <si>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</si>
  <si>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</si>
  <si>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</si>
  <si>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</si>
  <si>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</si>
  <si>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</si>
  <si>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</si>
  <si>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</si>
  <si>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</si>
  <si>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</si>
  <si>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</si>
  <si>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</si>
  <si>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</si>
  <si>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</si>
  <si>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</si>
  <si>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</si>
  <si>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</si>
  <si>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</si>
  <si>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</si>
  <si>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</si>
  <si>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</si>
  <si>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</si>
  <si>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</si>
  <si>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</si>
  <si>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</si>
  <si>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</si>
  <si>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</si>
  <si>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</si>
  <si>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</si>
  <si>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</si>
  <si>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</si>
  <si>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</si>
  <si>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</si>
  <si>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</si>
  <si>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</si>
  <si>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</si>
  <si>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</si>
  <si>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</si>
  <si>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</si>
  <si>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</si>
  <si>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</si>
  <si>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</si>
  <si>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</si>
  <si>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</si>
  <si>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</si>
  <si>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</si>
  <si>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</si>
  <si>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</si>
  <si>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</si>
  <si>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</si>
  <si>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</si>
  <si>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</si>
  <si>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</si>
  <si>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</si>
  <si>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</si>
  <si>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</si>
  <si>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</si>
  <si>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</si>
  <si>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</si>
  <si>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</si>
  <si>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</si>
  <si>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</si>
  <si>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</si>
  <si>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</si>
  <si>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</si>
  <si>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</si>
  <si>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</si>
  <si>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</si>
  <si>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</si>
  <si>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</si>
  <si>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</si>
  <si>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</si>
  <si>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</si>
  <si>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</si>
  <si>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</si>
  <si>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</si>
  <si>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</si>
  <si>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</si>
  <si>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</si>
  <si>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</si>
  <si>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</si>
  <si>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</si>
  <si>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</si>
  <si>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</si>
  <si>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</si>
  <si>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</si>
  <si>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</si>
  <si>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</si>
  <si>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</si>
  <si>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</si>
  <si>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</si>
  <si>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</si>
  <si>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</si>
  <si>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</si>
  <si>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</si>
  <si>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</si>
  <si>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</si>
  <si>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</si>
  <si>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</si>
  <si>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</si>
  <si>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</si>
  <si>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</si>
  <si>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</si>
  <si>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</si>
  <si>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</si>
  <si>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</si>
  <si>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</si>
  <si>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</si>
  <si>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</si>
  <si>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</si>
  <si>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</si>
  <si>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</si>
  <si>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</si>
  <si>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</si>
  <si>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</si>
  <si>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</si>
  <si>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</si>
  <si>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</si>
  <si>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</si>
  <si>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</si>
  <si>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</si>
  <si>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</si>
  <si>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</si>
  <si>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</si>
  <si>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</si>
  <si>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</si>
  <si>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</si>
  <si>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</si>
  <si>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</si>
  <si>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</si>
  <si>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</si>
  <si>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</si>
  <si>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</si>
  <si>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</si>
  <si>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</si>
  <si>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</si>
  <si>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</si>
  <si>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</si>
  <si>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</si>
  <si>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</si>
  <si>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</si>
  <si>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</si>
  <si>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</si>
  <si>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</si>
  <si>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</si>
  <si>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</si>
  <si>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</si>
  <si>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</si>
  <si>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</si>
  <si>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</si>
  <si>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</si>
  <si>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</si>
  <si>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</si>
  <si>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</si>
  <si>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</si>
  <si>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</si>
  <si>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</si>
  <si>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</si>
  <si>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</si>
  <si>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</si>
  <si>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</si>
  <si>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</si>
  <si>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</si>
  <si>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</si>
  <si>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</si>
  <si>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</si>
  <si>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</si>
  <si>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</si>
  <si>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</si>
  <si>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</si>
  <si>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</si>
  <si>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</si>
  <si>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</si>
  <si>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</si>
  <si>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</si>
  <si>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</si>
  <si>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</si>
  <si>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</si>
  <si>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</si>
  <si>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</si>
  <si>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</si>
  <si>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</si>
  <si>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</si>
  <si>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</si>
  <si>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</si>
  <si>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</si>
  <si>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</si>
  <si>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</si>
  <si>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</si>
  <si>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</si>
  <si>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</si>
  <si>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</si>
  <si>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</si>
  <si>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</si>
  <si>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</si>
  <si>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</si>
  <si>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</si>
  <si>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</si>
  <si>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</si>
  <si>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</si>
  <si>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</si>
  <si>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</si>
  <si>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</si>
  <si>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</si>
  <si>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</si>
  <si>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</si>
  <si>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</si>
  <si>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</si>
  <si>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</si>
  <si>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</si>
  <si>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</si>
  <si>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</si>
  <si>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</si>
  <si>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</si>
  <si>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</si>
  <si>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</si>
  <si>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</si>
  <si>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</si>
  <si>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</si>
  <si>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</si>
  <si>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</si>
  <si>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</si>
  <si>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</si>
  <si>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</si>
  <si>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</si>
  <si>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</si>
  <si>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</si>
  <si>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</si>
  <si>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</si>
  <si>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</si>
  <si>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</si>
  <si>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</si>
  <si>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</si>
  <si>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</si>
  <si>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</si>
  <si>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</si>
  <si>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</si>
  <si>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</si>
  <si>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</si>
  <si>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</si>
  <si>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</si>
  <si>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</si>
  <si>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</si>
  <si>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</si>
  <si>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</si>
  <si>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</si>
  <si>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</si>
  <si>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</si>
  <si>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</si>
  <si>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</si>
  <si>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</si>
  <si>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</si>
  <si>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</si>
  <si>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</si>
  <si>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</si>
  <si>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</si>
  <si>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</si>
  <si>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</si>
  <si>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</si>
  <si>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</si>
  <si>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</si>
  <si>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</si>
  <si>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</si>
  <si>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</si>
  <si>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</si>
  <si>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</si>
  <si>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</si>
  <si>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</si>
  <si>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</si>
  <si>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</si>
  <si>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</si>
  <si>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</si>
  <si>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</si>
  <si>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</si>
  <si>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</si>
  <si>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</si>
  <si>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</si>
  <si>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</si>
  <si>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</si>
  <si>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</si>
  <si>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</si>
  <si>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</si>
  <si>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</si>
  <si>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</si>
  <si>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</si>
  <si>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</si>
  <si>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</si>
  <si>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</si>
  <si>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</si>
  <si>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</si>
  <si>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</si>
  <si>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</si>
  <si>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</si>
  <si>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</si>
  <si>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</si>
  <si>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</si>
  <si>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</si>
  <si>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</si>
  <si>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</si>
  <si>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</si>
  <si>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</si>
  <si>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</si>
  <si>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</si>
  <si>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</si>
  <si>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</si>
  <si>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</si>
  <si>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</si>
  <si>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</si>
  <si>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</si>
  <si>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</si>
  <si>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</si>
  <si>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</si>
  <si>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</si>
  <si>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</si>
  <si>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</si>
  <si>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</si>
  <si>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</si>
  <si>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</si>
  <si>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</si>
  <si>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</si>
  <si>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</si>
  <si>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</si>
  <si>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</si>
  <si>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</si>
  <si>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</si>
  <si>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</si>
  <si>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</si>
  <si>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</si>
  <si>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</si>
  <si>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</si>
  <si>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</si>
  <si>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</si>
  <si>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</si>
  <si>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</si>
  <si>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</si>
  <si>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</si>
  <si>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</si>
  <si>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</si>
  <si>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</si>
  <si>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</si>
  <si>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</si>
  <si>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</si>
  <si>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</si>
  <si>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</si>
  <si>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</si>
  <si>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</si>
  <si>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</si>
  <si>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</si>
  <si>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</si>
  <si>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</si>
  <si>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</si>
  <si>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</si>
  <si>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</si>
  <si>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</si>
  <si>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</si>
  <si>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</si>
  <si>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</si>
  <si>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</si>
  <si>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</si>
  <si>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</si>
  <si>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</si>
  <si>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</si>
  <si>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</si>
  <si>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</si>
  <si>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</si>
  <si>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</si>
  <si>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</si>
  <si>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</si>
  <si>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</si>
  <si>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</si>
  <si>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</si>
  <si>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</si>
  <si>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</si>
  <si>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</si>
  <si>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</si>
  <si>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</si>
  <si>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</si>
  <si>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</si>
  <si>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</si>
  <si>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</si>
  <si>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</si>
  <si>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</si>
  <si>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</si>
  <si>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</si>
  <si>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</si>
  <si>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</si>
  <si>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</si>
  <si>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</si>
  <si>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</si>
  <si>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</si>
  <si>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</si>
  <si>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</si>
  <si>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</si>
  <si>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</si>
  <si>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</si>
  <si>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</si>
  <si>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</si>
  <si>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</si>
  <si>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</si>
  <si>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</si>
  <si>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</si>
  <si>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</si>
  <si>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</si>
  <si>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</si>
  <si>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</si>
  <si>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</si>
  <si>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</si>
  <si>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Rows</t>
  </si>
  <si>
    <t>Columns</t>
  </si>
  <si>
    <t>Duplicate CustomerID</t>
  </si>
  <si>
    <t>blank value in total charges</t>
  </si>
  <si>
    <t>blank value in churn label</t>
  </si>
  <si>
    <t>Result</t>
  </si>
  <si>
    <t>Check</t>
  </si>
  <si>
    <t>churn distribution</t>
  </si>
  <si>
    <t>churn customers</t>
  </si>
  <si>
    <t>retained customers</t>
  </si>
  <si>
    <t>churn rate</t>
  </si>
  <si>
    <t>churn by contact type</t>
  </si>
  <si>
    <t>one year</t>
  </si>
  <si>
    <t>two year</t>
  </si>
  <si>
    <t>contract type</t>
  </si>
  <si>
    <t>total customers</t>
  </si>
  <si>
    <t>churned customers</t>
  </si>
  <si>
    <t>churn by internet service</t>
  </si>
  <si>
    <t>internet service</t>
  </si>
  <si>
    <t>churn by payment method</t>
  </si>
  <si>
    <t>payment method</t>
  </si>
  <si>
    <t xml:space="preserve">electronic check </t>
  </si>
  <si>
    <t>bank transfer (automatic)</t>
  </si>
  <si>
    <t>credit card (automatic)</t>
  </si>
  <si>
    <t>mailed check</t>
  </si>
  <si>
    <t>churn by Tenure</t>
  </si>
  <si>
    <t>tenure group</t>
  </si>
  <si>
    <t>0-12 months</t>
  </si>
  <si>
    <t>13-24 months</t>
  </si>
  <si>
    <t>25-48 months</t>
  </si>
  <si>
    <t>49+ months</t>
  </si>
  <si>
    <t>churn by senior citizen</t>
  </si>
  <si>
    <t>senior citizen</t>
  </si>
  <si>
    <t>yes</t>
  </si>
  <si>
    <t>no</t>
  </si>
  <si>
    <t>churn by partner status</t>
  </si>
  <si>
    <t>partner status</t>
  </si>
  <si>
    <t>churn by dependents</t>
  </si>
  <si>
    <t>dependents status</t>
  </si>
  <si>
    <t>churn by monthly charges</t>
  </si>
  <si>
    <t>customer group</t>
  </si>
  <si>
    <t>churned</t>
  </si>
  <si>
    <t>retained</t>
  </si>
  <si>
    <t>average monthly charges</t>
  </si>
  <si>
    <t>churn by contract + internet service</t>
  </si>
  <si>
    <t>total customers (month-to-month + fiber optic)</t>
  </si>
  <si>
    <t>monthly charges: churned vs retained</t>
  </si>
  <si>
    <t>monthly charges group</t>
  </si>
  <si>
    <t>low (&lt;= $35)</t>
  </si>
  <si>
    <t>medium ($35-$70)</t>
  </si>
  <si>
    <t>high(&gt;$70)</t>
  </si>
  <si>
    <t>Customer Churn Analysis Dashboard</t>
  </si>
  <si>
    <t>Churned Customers</t>
  </si>
  <si>
    <t>Retained Customers</t>
  </si>
  <si>
    <t>Overall Churn Rate</t>
  </si>
  <si>
    <t>Total Customers</t>
  </si>
  <si>
    <t>Customer Churn Analysis - Key Insights</t>
  </si>
  <si>
    <t>1. Contract Type</t>
  </si>
  <si>
    <t>Month-to-month customers have the highest churn rate at 42.71%, compared with 11.27% for one-year and 2.83% for two-year contracts.</t>
  </si>
  <si>
    <t>2. Internet Service</t>
  </si>
  <si>
    <t>Fiber optic customers have the highest churn rate at 41.89%, compared with 18.96% for DSL and 7.40% for customers without internet service.</t>
  </si>
  <si>
    <t>3. Payment Method</t>
  </si>
  <si>
    <t>Customers using electronic checks have the highest churn rate at 45.29%, compared with other payment methods.</t>
  </si>
  <si>
    <t>4. Tenure</t>
  </si>
  <si>
    <t>5. Senior Citizen</t>
  </si>
  <si>
    <t>6. Partner Status</t>
  </si>
  <si>
    <t>7. Dependents</t>
  </si>
  <si>
    <t>8. Monthly Charges</t>
  </si>
  <si>
    <t>9. Combined Segment</t>
  </si>
  <si>
    <t>10. Overall Churn</t>
  </si>
  <si>
    <t>The overall customer churn rate is 26.54%, with 1,869 churned customers out of 7,043 customers.</t>
  </si>
  <si>
    <t>Month-to-month customers using fiber optic internet have a churn rate of 54.60%, higher than the overall churn rate of 26.54%.</t>
  </si>
  <si>
    <t>Customers with high monthly charges (above $70) have the highest churn rate at 35.36%.</t>
  </si>
  <si>
    <t>Customers without dependents have a higher churn rate of 32.55%, compared with 6.52% for customers with dependents.</t>
  </si>
  <si>
    <t>Customers without a partner have a higher churn rate of 32.96%, compared with 19.66% for customers with a partner.</t>
  </si>
  <si>
    <t>Senior citizens have a higher churn rate of 41.68%, compared with 23.61% for non-senior citizens.</t>
  </si>
  <si>
    <t>Customers with 0–12 months of tenure have the highest churn rate at 47.44%. Churn decreases as customer tenure increases.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</si>
</sst>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0"/>
    <numFmt numFmtId="165" formatCode="0.000000"/>
    <numFmt numFmtId="172" formatCode="[$$-409]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10" fontId="0" fillId="0" borderId="0" xfId="0" applyNumberFormat="1"/>
    <xf numFmtId="0" fontId="19" fillId="0" borderId="0" xfId="0" applyFont="1"/>
    <xf numFmtId="172" fontId="0" fillId="0" borderId="0" xfId="0" applyNumberFormat="1"/>
    <xf numFmtId="0" fontId="0" fillId="0" borderId="0" xfId="0" applyAlignment="1">
      <alignment vertical="center"/>
    </xf>
    <xf numFmtId="0" fontId="20" fillId="34" borderId="0" xfId="0" applyFont="1" applyFill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21" fillId="37" borderId="0" xfId="0" applyFont="1" applyFill="1" applyAlignment="1">
      <alignment horizontal="center" vertical="center"/>
    </xf>
    <xf numFmtId="0" fontId="22" fillId="36" borderId="0" xfId="0" applyFont="1" applyFill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10" fontId="22" fillId="38" borderId="0" xfId="0" applyNumberFormat="1" applyFont="1" applyFill="1" applyAlignment="1">
      <alignment horizontal="center" vertical="center"/>
    </xf>
    <xf numFmtId="0" fontId="22" fillId="37" borderId="0" xfId="0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0" fontId="21" fillId="38" borderId="0" xfId="0" applyFont="1" applyFill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0.000000"/>
    </dxf>
    <dxf>
      <numFmt numFmtId="165" formatCode="0.000000"/>
    </dxf>
    <dxf>
      <numFmt numFmtId="164" formatCode="#0"/>
    </dxf>
    <dxf>
      <numFmt numFmtId="164" formatCode="#0"/>
    </dxf>
    <dxf>
      <numFmt numFmtId="1" formatCode="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00A3919-7F93-43DF-9A84-B26F4E15A4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Data_Profile!$D$14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Data_Profile!$A$15:$A$17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Data_Profile!$D$15:$D$17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0-42C1-AA25-562B72BB2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425312"/>
        <c:axId val="2076430112"/>
      </c:barChart>
      <c:catAx>
        <c:axId val="207642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30112"/>
        <c:crosses val="autoZero"/>
        <c:auto val="1"/>
        <c:lblAlgn val="ctr"/>
        <c:lblOffset val="100"/>
        <c:noMultiLvlLbl val="0"/>
      </c:catAx>
      <c:valAx>
        <c:axId val="20764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2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Data_Profile!$D$20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Data_Profile!$A$21:$A$23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Data_Profile!$D$21:$D$23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A-42BF-A62A-FC8AC1FAB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424832"/>
        <c:axId val="2076433952"/>
      </c:barChart>
      <c:catAx>
        <c:axId val="207642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33952"/>
        <c:crosses val="autoZero"/>
        <c:auto val="1"/>
        <c:lblAlgn val="ctr"/>
        <c:lblOffset val="100"/>
        <c:noMultiLvlLbl val="0"/>
      </c:catAx>
      <c:valAx>
        <c:axId val="207643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2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Data_Profile!$D$26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Data_Profile!$A$27:$A$30</c:f>
              <c:strCache>
                <c:ptCount val="4"/>
                <c:pt idx="0">
                  <c:v>electronic check 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Data_Profile!$D$27:$D$30</c:f>
              <c:numCache>
                <c:formatCode>0.00%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B-4B16-BF57-055A0DECC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432512"/>
        <c:axId val="1964117616"/>
      </c:barChart>
      <c:catAx>
        <c:axId val="207643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117616"/>
        <c:crosses val="autoZero"/>
        <c:auto val="1"/>
        <c:lblAlgn val="ctr"/>
        <c:lblOffset val="100"/>
        <c:noMultiLvlLbl val="0"/>
      </c:catAx>
      <c:valAx>
        <c:axId val="19641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3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Data_Profile!$D$33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Data_Profile!$A$34:$A$37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Data_Profile!$D$34:$D$37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A-4CA3-B3C1-73CC8C99C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601072"/>
        <c:axId val="2084604912"/>
      </c:barChart>
      <c:catAx>
        <c:axId val="208460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04912"/>
        <c:crosses val="autoZero"/>
        <c:auto val="1"/>
        <c:lblAlgn val="ctr"/>
        <c:lblOffset val="100"/>
        <c:noMultiLvlLbl val="0"/>
      </c:catAx>
      <c:valAx>
        <c:axId val="208460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0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Senior</a:t>
            </a:r>
            <a:r>
              <a:rPr lang="en-IN" baseline="0"/>
              <a:t> Citizen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Data_Profile!$D$40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Data_Profile!$A$41:$A$42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Data_Profile!$D$41:$D$42</c:f>
              <c:numCache>
                <c:formatCode>0.00%</c:formatCode>
                <c:ptCount val="2"/>
                <c:pt idx="0">
                  <c:v>0.41681260945709281</c:v>
                </c:pt>
                <c:pt idx="1">
                  <c:v>0.23606168446026096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B-46AA-ACC1-615B31184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426752"/>
        <c:axId val="2076424352"/>
      </c:barChart>
      <c:catAx>
        <c:axId val="207642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24352"/>
        <c:crosses val="autoZero"/>
        <c:auto val="1"/>
        <c:lblAlgn val="ctr"/>
        <c:lblOffset val="100"/>
        <c:noMultiLvlLbl val="0"/>
      </c:catAx>
      <c:valAx>
        <c:axId val="207642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2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Partner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Data_Profile!$D$45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Data_Profile!$A$46:$A$47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Data_Profile!$D$46:$D$47</c:f>
              <c:numCache>
                <c:formatCode>0.00%</c:formatCode>
                <c:ptCount val="2"/>
                <c:pt idx="0">
                  <c:v>0.1966490299823633</c:v>
                </c:pt>
                <c:pt idx="1">
                  <c:v>0.32957978577313923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0-450C-B917-838ADEDBB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963776"/>
        <c:axId val="1978964256"/>
      </c:barChart>
      <c:catAx>
        <c:axId val="19789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64256"/>
        <c:crosses val="autoZero"/>
        <c:auto val="1"/>
        <c:lblAlgn val="ctr"/>
        <c:lblOffset val="100"/>
        <c:noMultiLvlLbl val="0"/>
      </c:catAx>
      <c:valAx>
        <c:axId val="19789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6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Dependents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Data_Profile!$D$50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Data_Profile!$A$51:$A$52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Data_Profile!$D$51:$D$52</c:f>
              <c:numCache>
                <c:formatCode>0.00%</c:formatCode>
                <c:ptCount val="2"/>
                <c:pt idx="0">
                  <c:v>6.515058389674247E-2</c:v>
                </c:pt>
                <c:pt idx="1">
                  <c:v>0.32551698670605611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0-4091-8627-8724CBF76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942864"/>
        <c:axId val="1737938016"/>
      </c:barChart>
      <c:catAx>
        <c:axId val="173794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938016"/>
        <c:crosses val="autoZero"/>
        <c:auto val="1"/>
        <c:lblAlgn val="ctr"/>
        <c:lblOffset val="100"/>
        <c:noMultiLvlLbl val="0"/>
      </c:catAx>
      <c:valAx>
        <c:axId val="173793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94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0</xdr:colOff>
      <xdr:row>15</xdr:row>
      <xdr:rowOff>194828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A27E93-D7D9-470B-82CB-19F150615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15</xdr:col>
      <xdr:colOff>604914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FCAEBF-6B19-464F-9386-AAB7ACC06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606135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FD0A3F-CBAE-48E1-A70E-50FF5A585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606135</xdr:colOff>
      <xdr:row>15</xdr:row>
      <xdr:rowOff>187816</xdr:rowOff>
    </xdr:from>
    <xdr:to>
      <xdr:col>15</xdr:col>
      <xdr:colOff>606136</xdr:colOff>
      <xdr:row>30</xdr:row>
      <xdr:rowOff>6707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0AD577-2D46-4989-AA79-D7F7F0BF5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-1</xdr:rowOff>
    </xdr:from>
    <xdr:to>
      <xdr:col>7</xdr:col>
      <xdr:colOff>612320</xdr:colOff>
      <xdr:row>44</xdr:row>
      <xdr:rowOff>11338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2256B0-48DC-47CC-8651-8B67AD272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16</xdr:col>
      <xdr:colOff>0</xdr:colOff>
      <xdr:row>44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2DDD29-FB24-428C-98F3-F5B39C9B9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44</xdr:row>
      <xdr:rowOff>13805</xdr:rowOff>
    </xdr:from>
    <xdr:to>
      <xdr:col>8</xdr:col>
      <xdr:colOff>4929</xdr:colOff>
      <xdr:row>58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2085D4-7760-41D6-BB97-F1FA0215D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4538C-AEC5-47E2-8700-18243AB6D2BC}" name="Telco" displayName="Telco" ref="A1:AG7044" totalsRowShown="0" headerRowDxfId="31" dataDxfId="30"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tableColumns count="33">
    <tableColumn id="1" xr3:uid="{F51A967D-04F2-4D2A-832E-D5332822D9E2}" name="CustomerID" dataDxfId="29"/>
    <tableColumn id="2" xr3:uid="{FFC3C5B5-299E-43D1-B090-02476FE04A03}" name="Count" dataDxfId="28"/>
    <tableColumn id="3" xr3:uid="{2D1390C8-A19D-4C83-A41E-30F42C8556B2}" name="Country"/>
    <tableColumn id="4" xr3:uid="{9316FC89-D7C8-4E85-AF3D-DECB59260E1E}" name="State"/>
    <tableColumn id="5" xr3:uid="{FA63D0CE-CF90-41D1-97F7-AF04D17C3D9F}" name="City"/>
    <tableColumn id="6" xr3:uid="{80A208A5-77E5-460E-9D1F-FCC5FE2C8392}" name="Zip Code" dataDxfId="27"/>
    <tableColumn id="7" xr3:uid="{A84751B8-4257-44E0-9A59-41172B33FE9B}" name="Lat Long" dataDxfId="26"/>
    <tableColumn id="8" xr3:uid="{13239D9C-4E64-4980-A954-49F6C2000B28}" name="Latitude" dataDxfId="25"/>
    <tableColumn id="9" xr3:uid="{09CFACF3-3956-4349-BE3D-E7EBE1DA82B2}" name="Longitude" dataDxfId="24"/>
    <tableColumn id="10" xr3:uid="{72C6F0C6-A8DE-4FE6-AD84-33B5597194CB}" name="Gender" dataDxfId="23"/>
    <tableColumn id="11" xr3:uid="{9EDC039F-51B6-41B6-8FD7-0DB78217D51F}" name="Senior Citizen" dataDxfId="22"/>
    <tableColumn id="12" xr3:uid="{A5C79FAF-127B-4BF1-944C-6603C68BEA5A}" name="Partner" dataDxfId="21"/>
    <tableColumn id="13" xr3:uid="{B13586BF-4C68-49DA-97A4-3DAABDA1BC1E}" name="Dependents" dataDxfId="20"/>
    <tableColumn id="14" xr3:uid="{21066589-7850-4A88-95CF-6A2D0109CD90}" name="Tenure Months" dataDxfId="19"/>
    <tableColumn id="15" xr3:uid="{7B9CB192-AF4D-4577-9A2D-6CE6FA6074AB}" name="Phone Service" dataDxfId="18"/>
    <tableColumn id="16" xr3:uid="{542AE411-D547-405B-8934-D926D9BC13E7}" name="Multiple Lines" dataDxfId="17"/>
    <tableColumn id="17" xr3:uid="{214AF233-698E-4171-801D-B281D613DD36}" name="Internet Service" dataDxfId="16"/>
    <tableColumn id="18" xr3:uid="{5A6C9A06-1081-49C9-A360-C6086C4A4E31}" name="Online Security" dataDxfId="15"/>
    <tableColumn id="19" xr3:uid="{8100FAA8-964C-4245-AC70-24C12FE79669}" name="Online Backup" dataDxfId="14"/>
    <tableColumn id="20" xr3:uid="{83BCC938-2E3F-4F2E-8E41-1D9A6940F46A}" name="Device Protection" dataDxfId="13"/>
    <tableColumn id="21" xr3:uid="{B0BC6FE9-252D-46F4-A636-9A413A95042C}" name="Tech Support" dataDxfId="12"/>
    <tableColumn id="22" xr3:uid="{39846A23-23B4-4D24-BB8C-D98D63A0835D}" name="Streaming TV" dataDxfId="11"/>
    <tableColumn id="23" xr3:uid="{D9B25401-9C79-4885-A5F0-E5C09ED47752}" name="Streaming Movies" dataDxfId="10"/>
    <tableColumn id="24" xr3:uid="{FA73EBBF-51B7-4153-8242-735B131579A4}" name="Contract" dataDxfId="9"/>
    <tableColumn id="25" xr3:uid="{558E7CF8-189D-448B-B68C-DDF340FFC0B5}" name="Paperless Billing" dataDxfId="8"/>
    <tableColumn id="26" xr3:uid="{AAEEBE31-CC93-4559-B1C7-2E1722A84F21}" name="Payment Method" dataDxfId="7"/>
    <tableColumn id="27" xr3:uid="{84A95135-2CF9-4A57-AF4D-DA48F4A23199}" name="Monthly Charges" dataDxfId="6"/>
    <tableColumn id="28" xr3:uid="{C3825D4E-4C2A-4927-8FD4-827715C80463}" name="Total Charges" dataDxfId="5"/>
    <tableColumn id="29" xr3:uid="{6460ED2F-48D7-4347-B5B7-AED15372DF48}" name="Churn Label" dataDxfId="4"/>
    <tableColumn id="30" xr3:uid="{A4A14571-A5F7-4EB1-B570-855E4F15752D}" name="Churn Value" dataDxfId="3"/>
    <tableColumn id="31" xr3:uid="{B0CB46B3-CEC0-4826-A800-9A51CB7BB4A7}" name="Churn Score" dataDxfId="2"/>
    <tableColumn id="32" xr3:uid="{14A7AB94-014F-424E-942C-FC63801361CF}" name="CLTV" dataDxfId="1"/>
    <tableColumn id="33" xr3:uid="{5D1EC555-03AA-40EA-AFF6-584FB7B6EE91}" name="Churn 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workbookViewId="0">
      <selection activeCell="E29" sqref="E29"/>
    </sheetView>
  </sheetViews>
  <sheetFormatPr defaultColWidth="8.85546875" defaultRowHeight="15" x14ac:dyDescent="0.25"/>
  <cols>
    <col min="1" max="1" width="14" style="1" bestFit="1" customWidth="1"/>
    <col min="2" max="2" width="8.5703125" style="8" bestFit="1" customWidth="1"/>
    <col min="3" max="3" width="12.85546875" style="1" bestFit="1" customWidth="1"/>
    <col min="4" max="4" width="9.5703125" style="1" bestFit="1" customWidth="1"/>
    <col min="5" max="5" width="22" style="1" bestFit="1" customWidth="1"/>
    <col min="6" max="6" width="11" style="1" bestFit="1" customWidth="1"/>
    <col min="7" max="7" width="21.140625" style="1" bestFit="1" customWidth="1"/>
    <col min="8" max="8" width="10.5703125" style="1" bestFit="1" customWidth="1"/>
    <col min="9" max="9" width="12.140625" style="1" bestFit="1" customWidth="1"/>
    <col min="10" max="10" width="10" style="1" bestFit="1" customWidth="1"/>
    <col min="11" max="11" width="15.7109375" style="1" bestFit="1" customWidth="1"/>
    <col min="12" max="12" width="9.85546875" style="1" bestFit="1" customWidth="1"/>
    <col min="13" max="13" width="14.140625" style="1" bestFit="1" customWidth="1"/>
    <col min="14" max="14" width="16.7109375" style="1" customWidth="1"/>
    <col min="15" max="15" width="15.7109375" style="1" customWidth="1"/>
    <col min="16" max="16" width="15.85546875" style="1" customWidth="1"/>
    <col min="17" max="17" width="17.28515625" style="1" customWidth="1"/>
    <col min="18" max="18" width="16.7109375" style="1" customWidth="1"/>
    <col min="19" max="19" width="18.28515625" style="1" bestFit="1" customWidth="1"/>
    <col min="20" max="20" width="19.140625" style="1" bestFit="1" customWidth="1"/>
    <col min="21" max="22" width="18.28515625" style="1" bestFit="1" customWidth="1"/>
    <col min="23" max="23" width="19.5703125" style="1" bestFit="1" customWidth="1"/>
    <col min="24" max="24" width="16.140625" style="1" bestFit="1" customWidth="1"/>
    <col min="25" max="25" width="18" style="1" bestFit="1" customWidth="1"/>
    <col min="26" max="26" width="23.85546875" style="1" bestFit="1" customWidth="1"/>
    <col min="27" max="27" width="18.42578125" style="1" bestFit="1" customWidth="1"/>
    <col min="28" max="28" width="15.140625" style="1" bestFit="1" customWidth="1"/>
    <col min="29" max="29" width="13.7109375" style="1" bestFit="1" customWidth="1"/>
    <col min="30" max="30" width="14.140625" style="1" bestFit="1" customWidth="1"/>
    <col min="31" max="31" width="13.85546875" style="1" bestFit="1" customWidth="1"/>
    <col min="32" max="32" width="7.5703125" style="1" bestFit="1" customWidth="1"/>
    <col min="33" max="33" width="41.42578125" style="1" bestFit="1" customWidth="1"/>
    <col min="34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905B-0EF5-4C35-9F65-809A6C3DE8A6}">
  <dimension ref="A1:D69"/>
  <sheetViews>
    <sheetView zoomScale="82" workbookViewId="0">
      <selection activeCell="J11" sqref="J11"/>
    </sheetView>
  </sheetViews>
  <sheetFormatPr defaultRowHeight="15" x14ac:dyDescent="0.25"/>
  <cols>
    <col min="1" max="1" width="43.7109375" bestFit="1" customWidth="1"/>
    <col min="2" max="2" width="14.85546875" bestFit="1" customWidth="1"/>
    <col min="3" max="3" width="18.140625" bestFit="1" customWidth="1"/>
    <col min="4" max="4" width="10" bestFit="1" customWidth="1"/>
  </cols>
  <sheetData>
    <row r="1" spans="1:4" x14ac:dyDescent="0.25">
      <c r="A1" s="14" t="s">
        <v>9901</v>
      </c>
      <c r="B1" s="26" t="s">
        <v>9900</v>
      </c>
    </row>
    <row r="2" spans="1:4" x14ac:dyDescent="0.25">
      <c r="A2" s="27" t="s">
        <v>9895</v>
      </c>
      <c r="B2" s="24">
        <f>ROWS(Telco[])</f>
        <v>7043</v>
      </c>
    </row>
    <row r="3" spans="1:4" x14ac:dyDescent="0.25">
      <c r="A3" s="27" t="s">
        <v>9896</v>
      </c>
      <c r="B3" s="24">
        <f>COLUMNS(Telco[])</f>
        <v>33</v>
      </c>
    </row>
    <row r="4" spans="1:4" x14ac:dyDescent="0.25">
      <c r="A4" s="27" t="s">
        <v>9897</v>
      </c>
      <c r="B4" s="24">
        <f>ROWS(Telco[])-ROWS(_xlfn.UNIQUE(Telco[CustomerID]))</f>
        <v>0</v>
      </c>
    </row>
    <row r="5" spans="1:4" x14ac:dyDescent="0.25">
      <c r="A5" s="27" t="s">
        <v>9898</v>
      </c>
      <c r="B5" s="24">
        <f>COUNTBLANK(Telco[Total Charges])</f>
        <v>0</v>
      </c>
    </row>
    <row r="6" spans="1:4" x14ac:dyDescent="0.25">
      <c r="A6" s="28" t="s">
        <v>9899</v>
      </c>
      <c r="B6" s="25">
        <f>COUNTBLANK(Telco[Churn Label])</f>
        <v>0</v>
      </c>
    </row>
    <row r="8" spans="1:4" x14ac:dyDescent="0.25">
      <c r="A8" t="s">
        <v>9902</v>
      </c>
    </row>
    <row r="9" spans="1:4" x14ac:dyDescent="0.25">
      <c r="A9" t="s">
        <v>9903</v>
      </c>
      <c r="B9">
        <f>COUNTIF(Telco[Churn Label], "Yes")</f>
        <v>1869</v>
      </c>
    </row>
    <row r="10" spans="1:4" x14ac:dyDescent="0.25">
      <c r="A10" t="s">
        <v>9904</v>
      </c>
      <c r="B10">
        <f>COUNTIF(Telco[Churn Label], "No")</f>
        <v>5174</v>
      </c>
    </row>
    <row r="11" spans="1:4" x14ac:dyDescent="0.25">
      <c r="A11" t="s">
        <v>9905</v>
      </c>
      <c r="B11" s="9">
        <f>COUNTIF(Telco[Churn Label], "Yes")/COUNTA(Telco[CustomerID])</f>
        <v>0.26536987079369589</v>
      </c>
    </row>
    <row r="12" spans="1:4" x14ac:dyDescent="0.25">
      <c r="B12" s="9"/>
    </row>
    <row r="13" spans="1:4" x14ac:dyDescent="0.25">
      <c r="A13" t="s">
        <v>9906</v>
      </c>
      <c r="B13" s="9"/>
    </row>
    <row r="14" spans="1:4" x14ac:dyDescent="0.25">
      <c r="A14" t="s">
        <v>9909</v>
      </c>
      <c r="B14" s="9" t="s">
        <v>9910</v>
      </c>
      <c r="C14" t="s">
        <v>9911</v>
      </c>
      <c r="D14" t="s">
        <v>9905</v>
      </c>
    </row>
    <row r="15" spans="1:4" x14ac:dyDescent="0.25">
      <c r="A15" t="s">
        <v>9</v>
      </c>
      <c r="B15">
        <f>COUNTIF(Telco[Contract], "Month-to-month")</f>
        <v>3875</v>
      </c>
      <c r="C15">
        <f>COUNTIFS(Telco[Contract],"Month-to-month", Telco[Churn Label], "Yes")</f>
        <v>1655</v>
      </c>
      <c r="D15" s="9">
        <f>C15/B15</f>
        <v>0.42709677419354841</v>
      </c>
    </row>
    <row r="16" spans="1:4" x14ac:dyDescent="0.25">
      <c r="A16" t="s">
        <v>9907</v>
      </c>
      <c r="B16">
        <f>COUNTIF(Telco[Contract], "One year")</f>
        <v>1473</v>
      </c>
      <c r="C16">
        <f>COUNTIFS(Telco[Contract],"One year", Telco[Churn Label], "Yes")</f>
        <v>166</v>
      </c>
      <c r="D16" s="9">
        <f>C16/B16</f>
        <v>0.11269517990495587</v>
      </c>
    </row>
    <row r="17" spans="1:4" x14ac:dyDescent="0.25">
      <c r="A17" t="s">
        <v>9908</v>
      </c>
      <c r="B17">
        <f>COUNTIF(Telco[Contract], "Two year")</f>
        <v>1695</v>
      </c>
      <c r="C17">
        <f>COUNTIFS(Telco[Contract],"Two year", Telco[Churn Label], "Yes")</f>
        <v>48</v>
      </c>
      <c r="D17" s="9">
        <f>C17/B17</f>
        <v>2.831858407079646E-2</v>
      </c>
    </row>
    <row r="18" spans="1:4" x14ac:dyDescent="0.25">
      <c r="D18" s="9"/>
    </row>
    <row r="19" spans="1:4" x14ac:dyDescent="0.25">
      <c r="A19" t="s">
        <v>9912</v>
      </c>
      <c r="D19" s="9"/>
    </row>
    <row r="20" spans="1:4" x14ac:dyDescent="0.25">
      <c r="A20" t="s">
        <v>9913</v>
      </c>
      <c r="B20" t="s">
        <v>9910</v>
      </c>
      <c r="C20" t="s">
        <v>9911</v>
      </c>
      <c r="D20" t="s">
        <v>9905</v>
      </c>
    </row>
    <row r="21" spans="1:4" x14ac:dyDescent="0.25">
      <c r="A21" t="s">
        <v>8</v>
      </c>
      <c r="B21">
        <f>COUNTIF(Telco[Internet Service], "DSL")</f>
        <v>2421</v>
      </c>
      <c r="C21">
        <f>COUNTIFS(Telco[Internet Service], "DSL", Telco[Churn Label], "Yes")</f>
        <v>459</v>
      </c>
      <c r="D21" s="9">
        <f>C21/B21</f>
        <v>0.1895910780669145</v>
      </c>
    </row>
    <row r="22" spans="1:4" x14ac:dyDescent="0.25">
      <c r="A22" t="s">
        <v>19</v>
      </c>
      <c r="B22">
        <f>COUNTIF(Telco[Internet Service], "Fiber optic")</f>
        <v>3096</v>
      </c>
      <c r="C22">
        <f>COUNTIFS(Telco[Internet Service], "Fiber optic", Telco[Churn Label], "Yes")</f>
        <v>1297</v>
      </c>
      <c r="D22" s="9">
        <f t="shared" ref="D22:D23" si="0">C22/B22</f>
        <v>0.41892764857881137</v>
      </c>
    </row>
    <row r="23" spans="1:4" x14ac:dyDescent="0.25">
      <c r="A23" t="s">
        <v>6</v>
      </c>
      <c r="B23">
        <f>COUNTIF(Telco[Internet Service], "No")</f>
        <v>1526</v>
      </c>
      <c r="C23">
        <f>COUNTIFS(Telco[Internet Service], "No", Telco[Churn Label], "Yes")</f>
        <v>113</v>
      </c>
      <c r="D23" s="9">
        <f t="shared" si="0"/>
        <v>7.4049803407601575E-2</v>
      </c>
    </row>
    <row r="25" spans="1:4" x14ac:dyDescent="0.25">
      <c r="A25" t="s">
        <v>9914</v>
      </c>
    </row>
    <row r="26" spans="1:4" x14ac:dyDescent="0.25">
      <c r="A26" t="s">
        <v>9915</v>
      </c>
      <c r="B26" t="s">
        <v>9910</v>
      </c>
      <c r="C26" t="s">
        <v>9911</v>
      </c>
      <c r="D26" t="s">
        <v>9905</v>
      </c>
    </row>
    <row r="27" spans="1:4" x14ac:dyDescent="0.25">
      <c r="A27" t="s">
        <v>9916</v>
      </c>
      <c r="B27">
        <f>COUNTIF(Telco[Payment Method], "Electronic check")</f>
        <v>2365</v>
      </c>
      <c r="C27">
        <f>COUNTIFS(Telco[Payment Method], "Electronic check", Telco[Churn Label], "Yes")</f>
        <v>1071</v>
      </c>
      <c r="D27" s="9">
        <f>C27/B27</f>
        <v>0.45285412262156449</v>
      </c>
    </row>
    <row r="28" spans="1:4" x14ac:dyDescent="0.25">
      <c r="A28" t="s">
        <v>9919</v>
      </c>
      <c r="B28">
        <f>COUNTIF(Telco[Payment Method],"Mailed check")</f>
        <v>1612</v>
      </c>
      <c r="C28">
        <f>COUNTIFS(Telco[Payment Method], "Mailed check", Telco[Churn Label], "Yes")</f>
        <v>308</v>
      </c>
      <c r="D28" s="9">
        <f t="shared" ref="D28:D30" si="1">C28/B28</f>
        <v>0.19106699751861042</v>
      </c>
    </row>
    <row r="29" spans="1:4" x14ac:dyDescent="0.25">
      <c r="A29" t="s">
        <v>9917</v>
      </c>
      <c r="B29">
        <f>COUNTIF(Telco[Payment Method],"Bank transfer (automatic)")</f>
        <v>1544</v>
      </c>
      <c r="C29">
        <f>COUNTIFS(Telco[Payment Method], "Bank transfer (automatic)", Telco[Churn Label], "Yes")</f>
        <v>258</v>
      </c>
      <c r="D29" s="9">
        <f t="shared" si="1"/>
        <v>0.16709844559585493</v>
      </c>
    </row>
    <row r="30" spans="1:4" x14ac:dyDescent="0.25">
      <c r="A30" t="s">
        <v>9918</v>
      </c>
      <c r="B30">
        <f>COUNTIF(Telco[Payment Method], "Credit card (automatic)")</f>
        <v>1522</v>
      </c>
      <c r="C30">
        <f>COUNTIFS(Telco[Payment Method], "Credit card (automatic)", Telco[Churn Label], "Yes")</f>
        <v>232</v>
      </c>
      <c r="D30" s="9">
        <f t="shared" si="1"/>
        <v>0.15243101182654403</v>
      </c>
    </row>
    <row r="32" spans="1:4" x14ac:dyDescent="0.25">
      <c r="A32" t="s">
        <v>9920</v>
      </c>
    </row>
    <row r="33" spans="1:4" x14ac:dyDescent="0.25">
      <c r="A33" t="s">
        <v>9921</v>
      </c>
      <c r="B33" t="s">
        <v>9910</v>
      </c>
      <c r="C33" t="s">
        <v>9911</v>
      </c>
      <c r="D33" t="s">
        <v>9905</v>
      </c>
    </row>
    <row r="34" spans="1:4" x14ac:dyDescent="0.25">
      <c r="A34" t="s">
        <v>9922</v>
      </c>
      <c r="B34">
        <f>COUNTIFS(Telco[Tenure Months], "&gt;=0", Telco[Tenure Months], "&lt;=12")</f>
        <v>2186</v>
      </c>
      <c r="C34">
        <f>COUNTIFS(Telco[Tenure Months], "&gt;=0", Telco[Tenure Months], "&lt;=12", Telco[Churn Label], "Yes")</f>
        <v>1037</v>
      </c>
      <c r="D34" s="9">
        <f>C34/B34</f>
        <v>0.47438243366880145</v>
      </c>
    </row>
    <row r="35" spans="1:4" x14ac:dyDescent="0.25">
      <c r="A35" t="s">
        <v>9923</v>
      </c>
      <c r="B35">
        <f>COUNTIFS(Telco[Tenure Months], "&gt;=13", Telco[Tenure Months], "&lt;=24")</f>
        <v>1024</v>
      </c>
      <c r="C35">
        <f>COUNTIFS(Telco[Tenure Months], "&gt;=13", Telco[Tenure Months], "&lt;=24", Telco[Churn Label], "Yes")</f>
        <v>294</v>
      </c>
      <c r="D35" s="9">
        <f t="shared" ref="D35:D37" si="2">C35/B35</f>
        <v>0.287109375</v>
      </c>
    </row>
    <row r="36" spans="1:4" x14ac:dyDescent="0.25">
      <c r="A36" t="s">
        <v>9924</v>
      </c>
      <c r="B36">
        <f>COUNTIFS(Telco[Tenure Months], "&gt;=25", Telco[Tenure Months], "&lt;=48")</f>
        <v>1594</v>
      </c>
      <c r="C36">
        <f>COUNTIFS(Telco[Tenure Months], "&gt;=25", Telco[Tenure Months], "&lt;=48", Telco[Churn Label], "Yes")</f>
        <v>325</v>
      </c>
      <c r="D36" s="9">
        <f t="shared" si="2"/>
        <v>0.20388958594730239</v>
      </c>
    </row>
    <row r="37" spans="1:4" x14ac:dyDescent="0.25">
      <c r="A37" t="s">
        <v>9925</v>
      </c>
      <c r="B37">
        <f>COUNTIF(Telco[Tenure Months], "&gt;=49")</f>
        <v>2239</v>
      </c>
      <c r="C37">
        <f>COUNTIFS(Telco[Tenure Months], "&gt;=49", Telco[Churn Label], "Yes")</f>
        <v>213</v>
      </c>
      <c r="D37" s="9">
        <f t="shared" si="2"/>
        <v>9.5131755247878522E-2</v>
      </c>
    </row>
    <row r="39" spans="1:4" x14ac:dyDescent="0.25">
      <c r="A39" t="s">
        <v>9926</v>
      </c>
    </row>
    <row r="40" spans="1:4" x14ac:dyDescent="0.25">
      <c r="A40" t="s">
        <v>9927</v>
      </c>
      <c r="B40" t="s">
        <v>9910</v>
      </c>
      <c r="C40" t="s">
        <v>9911</v>
      </c>
      <c r="D40" t="s">
        <v>9905</v>
      </c>
    </row>
    <row r="41" spans="1:4" x14ac:dyDescent="0.25">
      <c r="A41" t="s">
        <v>9928</v>
      </c>
      <c r="B41">
        <f>COUNTIF(Telco[Senior Citizen], "Yes")</f>
        <v>1142</v>
      </c>
      <c r="C41">
        <f>COUNTIFS(Telco[Senior Citizen], "Yes", Telco[Churn Label], "Yes")</f>
        <v>476</v>
      </c>
      <c r="D41" s="9">
        <f>C41/B41</f>
        <v>0.41681260945709281</v>
      </c>
    </row>
    <row r="42" spans="1:4" x14ac:dyDescent="0.25">
      <c r="A42" t="s">
        <v>9929</v>
      </c>
      <c r="B42">
        <f>COUNTIF(Telco[Senior Citizen], "No")</f>
        <v>5901</v>
      </c>
      <c r="C42">
        <f>COUNTIFS(Telco[Senior Citizen], "No", Telco[Churn Label], "Yes")</f>
        <v>1393</v>
      </c>
      <c r="D42" s="9">
        <f>C42/B42</f>
        <v>0.23606168446026096</v>
      </c>
    </row>
    <row r="44" spans="1:4" x14ac:dyDescent="0.25">
      <c r="A44" t="s">
        <v>9930</v>
      </c>
    </row>
    <row r="45" spans="1:4" x14ac:dyDescent="0.25">
      <c r="A45" t="s">
        <v>9931</v>
      </c>
      <c r="B45" t="s">
        <v>9910</v>
      </c>
      <c r="C45" t="s">
        <v>9911</v>
      </c>
      <c r="D45" t="s">
        <v>9905</v>
      </c>
    </row>
    <row r="46" spans="1:4" x14ac:dyDescent="0.25">
      <c r="A46" t="s">
        <v>9928</v>
      </c>
      <c r="B46">
        <f>COUNTIF(Telco[Partner], "Yes")</f>
        <v>3402</v>
      </c>
      <c r="C46">
        <f>COUNTIFS(Telco[Partner], "Yes", Telco[Churn Label], "Yes")</f>
        <v>669</v>
      </c>
      <c r="D46" s="9">
        <f>C46/B46</f>
        <v>0.1966490299823633</v>
      </c>
    </row>
    <row r="47" spans="1:4" x14ac:dyDescent="0.25">
      <c r="A47" t="s">
        <v>9929</v>
      </c>
      <c r="B47">
        <f>COUNTIF(Telco[Partner], "No")</f>
        <v>3641</v>
      </c>
      <c r="C47">
        <f>COUNTIFS(Telco[Partner], "No", Telco[Churn Label], "Yes")</f>
        <v>1200</v>
      </c>
      <c r="D47" s="9">
        <f>C47/B47</f>
        <v>0.32957978577313923</v>
      </c>
    </row>
    <row r="49" spans="1:4" x14ac:dyDescent="0.25">
      <c r="A49" t="s">
        <v>9932</v>
      </c>
    </row>
    <row r="50" spans="1:4" x14ac:dyDescent="0.25">
      <c r="A50" t="s">
        <v>9933</v>
      </c>
      <c r="B50" s="10" t="s">
        <v>9910</v>
      </c>
      <c r="C50" s="10" t="s">
        <v>9911</v>
      </c>
      <c r="D50" s="10" t="s">
        <v>9905</v>
      </c>
    </row>
    <row r="51" spans="1:4" x14ac:dyDescent="0.25">
      <c r="A51" t="s">
        <v>9928</v>
      </c>
      <c r="B51">
        <f>COUNTIF(Telco[Dependents], "Yes")</f>
        <v>1627</v>
      </c>
      <c r="C51">
        <f>COUNTIFS(Telco[Dependents], "Yes", Telco[Churn Label], "Yes")</f>
        <v>106</v>
      </c>
      <c r="D51" s="9">
        <f>C51/B51</f>
        <v>6.515058389674247E-2</v>
      </c>
    </row>
    <row r="52" spans="1:4" x14ac:dyDescent="0.25">
      <c r="A52" t="s">
        <v>9929</v>
      </c>
      <c r="B52">
        <f>COUNTIF(Telco[Dependents], "No")</f>
        <v>5416</v>
      </c>
      <c r="C52">
        <f>COUNTIFS(Telco[Dependents], "No", Telco[Churn Label], "Yes")</f>
        <v>1763</v>
      </c>
      <c r="D52" s="9">
        <f>C52/B52</f>
        <v>0.32551698670605611</v>
      </c>
    </row>
    <row r="54" spans="1:4" x14ac:dyDescent="0.25">
      <c r="A54" t="s">
        <v>9934</v>
      </c>
    </row>
    <row r="55" spans="1:4" x14ac:dyDescent="0.25">
      <c r="A55" t="s">
        <v>9935</v>
      </c>
      <c r="B55" t="s">
        <v>9938</v>
      </c>
    </row>
    <row r="56" spans="1:4" x14ac:dyDescent="0.25">
      <c r="A56" t="s">
        <v>9936</v>
      </c>
      <c r="B56" s="11">
        <f>AVERAGEIF(Telco[Churn Label], "Yes", Telco[Monthly Charges])</f>
        <v>74.441332263242302</v>
      </c>
    </row>
    <row r="57" spans="1:4" x14ac:dyDescent="0.25">
      <c r="A57" t="s">
        <v>9937</v>
      </c>
      <c r="B57" s="11">
        <f>AVERAGEIF(Telco[Churn Label], "No", Telco[Monthly Charges])</f>
        <v>61.2651236953999</v>
      </c>
    </row>
    <row r="59" spans="1:4" x14ac:dyDescent="0.25">
      <c r="A59" t="s">
        <v>9939</v>
      </c>
      <c r="B59">
        <f>COUNTIFS(Telco[Contract], "Month-to-month", Telco[Internet Service], "Fiber optic", Telco[Churn Label], "Yes")</f>
        <v>1162</v>
      </c>
    </row>
    <row r="61" spans="1:4" x14ac:dyDescent="0.25">
      <c r="A61" t="s">
        <v>9940</v>
      </c>
      <c r="B61">
        <f>COUNTIFS(
Telco[Contract],"Month-to-month",
Telco[Internet Service],"Fiber optic"
)</f>
        <v>2128</v>
      </c>
    </row>
    <row r="63" spans="1:4" x14ac:dyDescent="0.25">
      <c r="A63" t="s">
        <v>9905</v>
      </c>
      <c r="B63" s="9">
        <f>B59/B61</f>
        <v>0.54605263157894735</v>
      </c>
    </row>
    <row r="65" spans="1:4" x14ac:dyDescent="0.25">
      <c r="A65" t="s">
        <v>9941</v>
      </c>
    </row>
    <row r="66" spans="1:4" x14ac:dyDescent="0.25">
      <c r="A66" t="s">
        <v>9942</v>
      </c>
      <c r="B66" s="10" t="s">
        <v>9910</v>
      </c>
      <c r="C66" s="10" t="s">
        <v>9911</v>
      </c>
      <c r="D66" s="10" t="s">
        <v>9905</v>
      </c>
    </row>
    <row r="67" spans="1:4" x14ac:dyDescent="0.25">
      <c r="A67" t="s">
        <v>9943</v>
      </c>
      <c r="B67">
        <f>COUNTIF(Telco[Monthly Charges], "&lt;=35")</f>
        <v>1735</v>
      </c>
      <c r="C67">
        <f>COUNTIFS(Telco[Monthly Charges], "&lt;=35", Telco[Churn Label], "Yes")</f>
        <v>189</v>
      </c>
      <c r="D67" s="9">
        <f>C67/B67</f>
        <v>0.10893371757925072</v>
      </c>
    </row>
    <row r="68" spans="1:4" x14ac:dyDescent="0.25">
      <c r="A68" t="s">
        <v>9944</v>
      </c>
      <c r="B68">
        <f>COUNTIFS(Telco[Monthly Charges],"&gt;35", Telco[Monthly Charges], "&lt;=70")</f>
        <v>1725</v>
      </c>
      <c r="C68">
        <f>COUNTIFS(Telco[Monthly Charges],"&gt;35", Telco[Monthly Charges], "&lt;=70", Telco[Churn Label], "Yes")</f>
        <v>413</v>
      </c>
      <c r="D68" s="9">
        <f t="shared" ref="D68:D69" si="3">C68/B68</f>
        <v>0.23942028985507247</v>
      </c>
    </row>
    <row r="69" spans="1:4" x14ac:dyDescent="0.25">
      <c r="A69" t="s">
        <v>9945</v>
      </c>
      <c r="B69">
        <f>COUNTIF(Telco[Monthly Charges], "&gt;70")</f>
        <v>3583</v>
      </c>
      <c r="C69">
        <f>COUNTIFS(Telco[Monthly Charges], "&gt;70", Telco[Churn Label], "Yes")</f>
        <v>1267</v>
      </c>
      <c r="D69" s="9">
        <f t="shared" si="3"/>
        <v>0.35361428970136755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0833-3390-4A23-95C5-2F41DADC31F5}">
  <dimension ref="A1:P28"/>
  <sheetViews>
    <sheetView zoomScale="69" zoomScaleNormal="76" workbookViewId="0">
      <selection activeCell="M64" sqref="M64"/>
    </sheetView>
  </sheetViews>
  <sheetFormatPr defaultRowHeight="15" x14ac:dyDescent="0.25"/>
  <sheetData>
    <row r="1" spans="1:16" ht="31.5" x14ac:dyDescent="0.25">
      <c r="A1" s="13" t="s">
        <v>9946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5.75" x14ac:dyDescent="0.25">
      <c r="A2" s="16" t="s">
        <v>9950</v>
      </c>
      <c r="B2" s="16"/>
      <c r="C2" s="16"/>
      <c r="D2" s="16"/>
      <c r="E2" s="21" t="s">
        <v>9947</v>
      </c>
      <c r="F2" s="21"/>
      <c r="G2" s="21"/>
      <c r="H2" s="21"/>
      <c r="I2" s="22" t="s">
        <v>9948</v>
      </c>
      <c r="J2" s="22"/>
      <c r="K2" s="22"/>
      <c r="L2" s="22"/>
      <c r="M2" s="23" t="s">
        <v>9949</v>
      </c>
      <c r="N2" s="23"/>
      <c r="O2" s="23"/>
      <c r="P2" s="23"/>
    </row>
    <row r="3" spans="1:16" ht="26.25" x14ac:dyDescent="0.25">
      <c r="A3" s="20">
        <f>COUNTA((Telco[CustomerID]))</f>
        <v>7043</v>
      </c>
      <c r="B3" s="20"/>
      <c r="C3" s="20"/>
      <c r="D3" s="20"/>
      <c r="E3" s="17">
        <f>COUNTIF(Telco[Churn Label],"Yes")</f>
        <v>1869</v>
      </c>
      <c r="F3" s="17"/>
      <c r="G3" s="17"/>
      <c r="H3" s="17"/>
      <c r="I3" s="18">
        <f>COUNTIF(Telco[Churn Label],"No")</f>
        <v>5174</v>
      </c>
      <c r="J3" s="18"/>
      <c r="K3" s="18"/>
      <c r="L3" s="18"/>
      <c r="M3" s="19">
        <f>COUNTIF(Telco[Churn Label],"Yes")/COUNTA(Telco[CustomerID])</f>
        <v>0.26536987079369589</v>
      </c>
      <c r="N3" s="19"/>
      <c r="O3" s="19"/>
      <c r="P3" s="19"/>
    </row>
    <row r="7" spans="1:16" x14ac:dyDescent="0.25">
      <c r="D7" s="12"/>
    </row>
    <row r="18" spans="4:9" x14ac:dyDescent="0.25">
      <c r="D18" s="15"/>
      <c r="E18" s="15"/>
      <c r="F18" s="15"/>
      <c r="G18" s="15"/>
      <c r="H18" s="15"/>
      <c r="I18" s="15"/>
    </row>
    <row r="19" spans="4:9" x14ac:dyDescent="0.25">
      <c r="D19" s="15"/>
      <c r="E19" s="15"/>
      <c r="F19" s="15"/>
      <c r="G19" s="15"/>
      <c r="H19" s="15"/>
      <c r="I19" s="15"/>
    </row>
    <row r="20" spans="4:9" x14ac:dyDescent="0.25">
      <c r="D20" s="15"/>
      <c r="E20" s="15"/>
      <c r="F20" s="15"/>
      <c r="G20" s="15"/>
      <c r="H20" s="15"/>
      <c r="I20" s="15"/>
    </row>
    <row r="21" spans="4:9" x14ac:dyDescent="0.25">
      <c r="D21" s="15"/>
      <c r="E21" s="15"/>
      <c r="F21" s="15"/>
      <c r="G21" s="15"/>
      <c r="H21" s="15"/>
      <c r="I21" s="15"/>
    </row>
    <row r="22" spans="4:9" x14ac:dyDescent="0.25">
      <c r="D22" s="15"/>
      <c r="E22" s="15"/>
      <c r="F22" s="15"/>
      <c r="G22" s="15"/>
      <c r="H22" s="15"/>
      <c r="I22" s="15"/>
    </row>
    <row r="23" spans="4:9" x14ac:dyDescent="0.25">
      <c r="D23" s="15"/>
      <c r="E23" s="15"/>
      <c r="F23" s="15"/>
      <c r="G23" s="15"/>
      <c r="H23" s="15"/>
      <c r="I23" s="15"/>
    </row>
    <row r="24" spans="4:9" x14ac:dyDescent="0.25">
      <c r="D24" s="15"/>
      <c r="E24" s="15"/>
      <c r="F24" s="15"/>
      <c r="G24" s="15"/>
      <c r="H24" s="15"/>
      <c r="I24" s="15"/>
    </row>
    <row r="25" spans="4:9" x14ac:dyDescent="0.25">
      <c r="D25" s="15"/>
      <c r="E25" s="15"/>
      <c r="F25" s="15"/>
      <c r="G25" s="15"/>
      <c r="H25" s="15"/>
      <c r="I25" s="15"/>
    </row>
    <row r="26" spans="4:9" x14ac:dyDescent="0.25">
      <c r="D26" s="15"/>
      <c r="E26" s="15"/>
      <c r="F26" s="15"/>
      <c r="G26" s="15"/>
      <c r="H26" s="15"/>
      <c r="I26" s="15"/>
    </row>
    <row r="27" spans="4:9" x14ac:dyDescent="0.25">
      <c r="D27" s="15"/>
      <c r="E27" s="15"/>
      <c r="F27" s="15"/>
      <c r="G27" s="15"/>
      <c r="H27" s="15"/>
      <c r="I27" s="15"/>
    </row>
    <row r="28" spans="4:9" x14ac:dyDescent="0.25">
      <c r="D28" s="15"/>
      <c r="E28" s="15"/>
      <c r="F28" s="15"/>
      <c r="G28" s="15"/>
      <c r="H28" s="15"/>
      <c r="I28" s="15"/>
    </row>
  </sheetData>
  <mergeCells count="9">
    <mergeCell ref="E2:H2"/>
    <mergeCell ref="E3:H3"/>
    <mergeCell ref="A2:D2"/>
    <mergeCell ref="A3:D3"/>
    <mergeCell ref="M2:P2"/>
    <mergeCell ref="M3:P3"/>
    <mergeCell ref="I2:L2"/>
    <mergeCell ref="I3:L3"/>
    <mergeCell ref="A1:P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378D-3921-4842-9A12-E15C38C6AAFB}">
  <dimension ref="A1:B12"/>
  <sheetViews>
    <sheetView tabSelected="1" workbookViewId="0">
      <selection activeCell="B19" sqref="B19"/>
    </sheetView>
  </sheetViews>
  <sheetFormatPr defaultRowHeight="15" x14ac:dyDescent="0.25"/>
  <cols>
    <col min="1" max="1" width="36" bestFit="1" customWidth="1"/>
    <col min="2" max="2" width="124.7109375" bestFit="1" customWidth="1"/>
  </cols>
  <sheetData>
    <row r="1" spans="1:2" x14ac:dyDescent="0.25">
      <c r="A1" t="s">
        <v>9951</v>
      </c>
    </row>
    <row r="3" spans="1:2" x14ac:dyDescent="0.25">
      <c r="A3" t="s">
        <v>9952</v>
      </c>
      <c r="B3" t="s">
        <v>9953</v>
      </c>
    </row>
    <row r="4" spans="1:2" x14ac:dyDescent="0.25">
      <c r="A4" t="s">
        <v>9954</v>
      </c>
      <c r="B4" t="s">
        <v>9955</v>
      </c>
    </row>
    <row r="5" spans="1:2" x14ac:dyDescent="0.25">
      <c r="A5" t="s">
        <v>9956</v>
      </c>
      <c r="B5" t="s">
        <v>9957</v>
      </c>
    </row>
    <row r="6" spans="1:2" x14ac:dyDescent="0.25">
      <c r="A6" t="s">
        <v>9958</v>
      </c>
      <c r="B6" t="s">
        <v>9971</v>
      </c>
    </row>
    <row r="7" spans="1:2" x14ac:dyDescent="0.25">
      <c r="A7" t="s">
        <v>9959</v>
      </c>
      <c r="B7" t="s">
        <v>9970</v>
      </c>
    </row>
    <row r="8" spans="1:2" x14ac:dyDescent="0.25">
      <c r="A8" t="s">
        <v>9960</v>
      </c>
      <c r="B8" t="s">
        <v>9969</v>
      </c>
    </row>
    <row r="9" spans="1:2" x14ac:dyDescent="0.25">
      <c r="A9" t="s">
        <v>9961</v>
      </c>
      <c r="B9" t="s">
        <v>9968</v>
      </c>
    </row>
    <row r="10" spans="1:2" x14ac:dyDescent="0.25">
      <c r="A10" t="s">
        <v>9962</v>
      </c>
      <c r="B10" t="s">
        <v>9967</v>
      </c>
    </row>
    <row r="11" spans="1:2" x14ac:dyDescent="0.25">
      <c r="A11" t="s">
        <v>9963</v>
      </c>
      <c r="B11" t="s">
        <v>9966</v>
      </c>
    </row>
    <row r="12" spans="1:2" x14ac:dyDescent="0.25">
      <c r="A12" t="s">
        <v>9964</v>
      </c>
      <c r="B12" t="s">
        <v>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Telco_Churn</vt:lpstr>
      <vt:lpstr>Data_Profile</vt:lpstr>
      <vt:lpstr>Churn Dashboard</vt:lpstr>
      <vt:lpstr>Key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Shivam Gupta</cp:lastModifiedBy>
  <dcterms:created xsi:type="dcterms:W3CDTF">2015-08-27T19:39:31Z</dcterms:created>
  <dcterms:modified xsi:type="dcterms:W3CDTF">2026-09-18T11:11:02Z</dcterms:modified>
</cp:coreProperties>
</file>