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y Report" sheetId="1" r:id="rId4"/>
    <sheet state="visible" name="Survey Report" sheetId="2" r:id="rId5"/>
    <sheet state="visible" name="State Abbreviation" sheetId="3" r:id="rId6"/>
    <sheet state="visible" name="State-wise Company Turnover Rep" sheetId="4" r:id="rId7"/>
  </sheets>
  <definedNames/>
  <calcPr/>
</workbook>
</file>

<file path=xl/sharedStrings.xml><?xml version="1.0" encoding="utf-8"?>
<sst xmlns="http://schemas.openxmlformats.org/spreadsheetml/2006/main" count="442" uniqueCount="269">
  <si>
    <t>Date of Establishment</t>
  </si>
  <si>
    <t>Company Name</t>
  </si>
  <si>
    <t>Headquarters</t>
  </si>
  <si>
    <t>State</t>
  </si>
  <si>
    <t>Age (Years)</t>
  </si>
  <si>
    <t>Annual Turnover</t>
  </si>
  <si>
    <t>Day of Establishment</t>
  </si>
  <si>
    <t>Month of Establishment</t>
  </si>
  <si>
    <t>Year of Establishment</t>
  </si>
  <si>
    <t>Value(Column F)</t>
  </si>
  <si>
    <t>Headqaurters</t>
  </si>
  <si>
    <t>City</t>
  </si>
  <si>
    <t>Trim[City]</t>
  </si>
  <si>
    <t xml:space="preserve">Use "&amp;" to Frame the Below Sentence  [(Column B)'s headquarters is in (Column M)] </t>
  </si>
  <si>
    <t>Use "&amp;" to frame the Below Sentence [(Column M) is in (Column D)]</t>
  </si>
  <si>
    <t>Company Type</t>
  </si>
  <si>
    <t>Logan Funding Co</t>
  </si>
  <si>
    <t>HQ- Amaravati</t>
  </si>
  <si>
    <t>Andhra Pradesh</t>
  </si>
  <si>
    <t>Focus Financial</t>
  </si>
  <si>
    <t>HQ- Itanagar</t>
  </si>
  <si>
    <t>Arunachal Pradesh</t>
  </si>
  <si>
    <t>Masters Of Finance</t>
  </si>
  <si>
    <t>HQ- Dispur</t>
  </si>
  <si>
    <t>Assam</t>
  </si>
  <si>
    <t>Credit Flows</t>
  </si>
  <si>
    <t>HQ- Patna</t>
  </si>
  <si>
    <t>Bihar</t>
  </si>
  <si>
    <t>23680000</t>
  </si>
  <si>
    <t>Flexicapital</t>
  </si>
  <si>
    <t>HQ- Raipur</t>
  </si>
  <si>
    <t>Chhattisgarh</t>
  </si>
  <si>
    <t>3/1/2013</t>
  </si>
  <si>
    <t>Financial Connections</t>
  </si>
  <si>
    <t>HQ- Panaji</t>
  </si>
  <si>
    <t>Goa</t>
  </si>
  <si>
    <t>23660000</t>
  </si>
  <si>
    <t>Financial Adventures</t>
  </si>
  <si>
    <t>HQ- Gandhinagar</t>
  </si>
  <si>
    <t>Gujarat</t>
  </si>
  <si>
    <t>28560000</t>
  </si>
  <si>
    <t>Fierce Financial</t>
  </si>
  <si>
    <t>HQ- Chandigarh</t>
  </si>
  <si>
    <t>Haryana</t>
  </si>
  <si>
    <t>Fodora Finance</t>
  </si>
  <si>
    <t>HQ- Shimla</t>
  </si>
  <si>
    <t>Himachal Pradesh</t>
  </si>
  <si>
    <t>Monetary Masters</t>
  </si>
  <si>
    <t>HQ- Ranchi</t>
  </si>
  <si>
    <t>Jharkhand</t>
  </si>
  <si>
    <t>26240000</t>
  </si>
  <si>
    <t>Everest Digital Banking</t>
  </si>
  <si>
    <t>HQ- Bangalore</t>
  </si>
  <si>
    <t>Karnataka</t>
  </si>
  <si>
    <t>6/2/2009</t>
  </si>
  <si>
    <t>Virtual Stocks</t>
  </si>
  <si>
    <t>HQ- Thiruvananthapuram</t>
  </si>
  <si>
    <t>Kerala</t>
  </si>
  <si>
    <t>Golden Coin Group</t>
  </si>
  <si>
    <t>HQ- Bhopal</t>
  </si>
  <si>
    <t>Madhya Pradesh</t>
  </si>
  <si>
    <t>1/6/2022</t>
  </si>
  <si>
    <t>Weston Banking</t>
  </si>
  <si>
    <t>HQ- Mumbai</t>
  </si>
  <si>
    <t>Maharashtra</t>
  </si>
  <si>
    <t>32520000</t>
  </si>
  <si>
    <t>7/8/2020</t>
  </si>
  <si>
    <t>Organic Wealth Systems</t>
  </si>
  <si>
    <t>HQ- Imphal</t>
  </si>
  <si>
    <t>Manipur</t>
  </si>
  <si>
    <t>2/10/2020</t>
  </si>
  <si>
    <t>Velocity Financial Services</t>
  </si>
  <si>
    <t>HQ- Shillong</t>
  </si>
  <si>
    <t>Meghalaya</t>
  </si>
  <si>
    <t>Your Wealth Story</t>
  </si>
  <si>
    <t>HQ- Aizawl</t>
  </si>
  <si>
    <t>Mizoram</t>
  </si>
  <si>
    <t>Banktik Financial Co</t>
  </si>
  <si>
    <t>HQ- Kohima</t>
  </si>
  <si>
    <t>Nagaland</t>
  </si>
  <si>
    <t>7/3/2023</t>
  </si>
  <si>
    <t>Ivy Financial Funds</t>
  </si>
  <si>
    <t>HQ- Bhubaneshwar</t>
  </si>
  <si>
    <t>Odisha</t>
  </si>
  <si>
    <t>Cloudwise Finance Co</t>
  </si>
  <si>
    <t>4/7/2012</t>
  </si>
  <si>
    <t>Brightfund</t>
  </si>
  <si>
    <t>HQ- Jaipur</t>
  </si>
  <si>
    <t>Rajasthan</t>
  </si>
  <si>
    <t>8/9/2010</t>
  </si>
  <si>
    <t>Enkrypt Funding</t>
  </si>
  <si>
    <t>HQ- Gangtok</t>
  </si>
  <si>
    <t>Sikkim</t>
  </si>
  <si>
    <t>Creditwise</t>
  </si>
  <si>
    <t>HQ- Chennai</t>
  </si>
  <si>
    <t>Tamil Nadu</t>
  </si>
  <si>
    <t>5/2/2011</t>
  </si>
  <si>
    <t>Blink Financial</t>
  </si>
  <si>
    <t>HQ- Hyderabad</t>
  </si>
  <si>
    <t>Telangana</t>
  </si>
  <si>
    <t>8/4/2018</t>
  </si>
  <si>
    <t>Diversify Financial</t>
  </si>
  <si>
    <t>HQ- Agartala</t>
  </si>
  <si>
    <t>Tripura</t>
  </si>
  <si>
    <t>36680000</t>
  </si>
  <si>
    <t>9/6/2019</t>
  </si>
  <si>
    <t>Futurus Finanicial Co</t>
  </si>
  <si>
    <t>HQ- Dehradun</t>
  </si>
  <si>
    <t>Uttarakhand</t>
  </si>
  <si>
    <t>32780000</t>
  </si>
  <si>
    <t>Financial Insight Group</t>
  </si>
  <si>
    <t>HQ- Lucknow</t>
  </si>
  <si>
    <t>Uttar Pradesh</t>
  </si>
  <si>
    <t>6/10/2019</t>
  </si>
  <si>
    <t>Wealth Quarry Capital</t>
  </si>
  <si>
    <t>HQ- Kolkata</t>
  </si>
  <si>
    <t>West Bengal</t>
  </si>
  <si>
    <t>11/12/2020</t>
  </si>
  <si>
    <t>Grow Your Money</t>
  </si>
  <si>
    <t>Life Balance Financial</t>
  </si>
  <si>
    <t>The Money Wagon</t>
  </si>
  <si>
    <t>36400000</t>
  </si>
  <si>
    <t>11/5/2022</t>
  </si>
  <si>
    <t>Capital Wisdom Group</t>
  </si>
  <si>
    <t>Fiscal Freaks</t>
  </si>
  <si>
    <t>7/9/2022</t>
  </si>
  <si>
    <t>Fred Financial</t>
  </si>
  <si>
    <t>Voltage Wealth Management</t>
  </si>
  <si>
    <t>Round Trip Wealth</t>
  </si>
  <si>
    <t>8/4/2012</t>
  </si>
  <si>
    <t>Wise Wealth Advisors</t>
  </si>
  <si>
    <t>Royal Funds</t>
  </si>
  <si>
    <t>86520000</t>
  </si>
  <si>
    <t>Secure Shares</t>
  </si>
  <si>
    <t>83000000</t>
  </si>
  <si>
    <t>Royal Finance Group</t>
  </si>
  <si>
    <t>Crypted</t>
  </si>
  <si>
    <t>Abundant Wealth Allies</t>
  </si>
  <si>
    <t>Digital Finance</t>
  </si>
  <si>
    <t>9/5/2019</t>
  </si>
  <si>
    <t>Century Financial Group</t>
  </si>
  <si>
    <t>1/7/2016</t>
  </si>
  <si>
    <t>Investioglobal Banking Co</t>
  </si>
  <si>
    <t>Corporatus Banking</t>
  </si>
  <si>
    <t>Rapidtransfer</t>
  </si>
  <si>
    <t>Champion Wealth Professionals</t>
  </si>
  <si>
    <t>81830000</t>
  </si>
  <si>
    <t>3/4/2021</t>
  </si>
  <si>
    <t>Wesley&amp;Jones Financial Co</t>
  </si>
  <si>
    <t>6/6/2017</t>
  </si>
  <si>
    <t>Full Fledged Financial</t>
  </si>
  <si>
    <t>9/8/2022</t>
  </si>
  <si>
    <t>The Money Guru</t>
  </si>
  <si>
    <t>12/10/2014</t>
  </si>
  <si>
    <t>Black Fox Financial</t>
  </si>
  <si>
    <t>Financially Fit Bootcamp</t>
  </si>
  <si>
    <t>22430000</t>
  </si>
  <si>
    <t>Life Goals Financial</t>
  </si>
  <si>
    <t>84670000</t>
  </si>
  <si>
    <t>Online Financial Trust</t>
  </si>
  <si>
    <t>53870000</t>
  </si>
  <si>
    <t>Fundwise Banking Co</t>
  </si>
  <si>
    <t>81260000</t>
  </si>
  <si>
    <t>Wealth Controllers</t>
  </si>
  <si>
    <t>Swift Finance</t>
  </si>
  <si>
    <t>11/11/2023</t>
  </si>
  <si>
    <t>Money Mentors</t>
  </si>
  <si>
    <t>Night Owl Financial</t>
  </si>
  <si>
    <t>4/4/2013</t>
  </si>
  <si>
    <t>Smartly Financial Co</t>
  </si>
  <si>
    <t>12/6/2012</t>
  </si>
  <si>
    <t>Family Funds</t>
  </si>
  <si>
    <t>Budget Boosters</t>
  </si>
  <si>
    <t>Moon Financial Freedom</t>
  </si>
  <si>
    <t>3/12/2019</t>
  </si>
  <si>
    <t>Future Finance</t>
  </si>
  <si>
    <t>6/1/2012</t>
  </si>
  <si>
    <t>Innovative Investments</t>
  </si>
  <si>
    <t>Budgeeter</t>
  </si>
  <si>
    <t>The Commerce Cops</t>
  </si>
  <si>
    <t>Positive Wealth Team</t>
  </si>
  <si>
    <t>51870000</t>
  </si>
  <si>
    <t>Budget Advisor</t>
  </si>
  <si>
    <t>8/11/2021</t>
  </si>
  <si>
    <t>Income Hacking</t>
  </si>
  <si>
    <t>Securitas Funds</t>
  </si>
  <si>
    <t>12/4/2021</t>
  </si>
  <si>
    <t>Charles Thomas Funding</t>
  </si>
  <si>
    <t>Accufunds Financial Co</t>
  </si>
  <si>
    <t>Levi Management</t>
  </si>
  <si>
    <t>9/10/2015</t>
  </si>
  <si>
    <t>Outbreak Financial Advisers</t>
  </si>
  <si>
    <t>53840000</t>
  </si>
  <si>
    <t>Legendary Wealth</t>
  </si>
  <si>
    <t>53910000</t>
  </si>
  <si>
    <t>Capital Flow Group</t>
  </si>
  <si>
    <t>51840000</t>
  </si>
  <si>
    <t>Kapital Investors</t>
  </si>
  <si>
    <t>54760000</t>
  </si>
  <si>
    <t>Borderless Banking</t>
  </si>
  <si>
    <t>10/7/2017</t>
  </si>
  <si>
    <t>Flexifunds</t>
  </si>
  <si>
    <t>First Financial Co</t>
  </si>
  <si>
    <t>Wealth Express</t>
  </si>
  <si>
    <t>Fund Guardian</t>
  </si>
  <si>
    <t>Full Wealth Group</t>
  </si>
  <si>
    <t>54430000</t>
  </si>
  <si>
    <t>Sun Global Banking</t>
  </si>
  <si>
    <t>12/8/2010</t>
  </si>
  <si>
    <t>Mutufund</t>
  </si>
  <si>
    <t>Smithstone Financial Co</t>
  </si>
  <si>
    <t>High Volume Financial</t>
  </si>
  <si>
    <t>Budget Financial</t>
  </si>
  <si>
    <t>Vanus Banking Co</t>
  </si>
  <si>
    <t>Brownstone Banking Co</t>
  </si>
  <si>
    <t>Power Wealth</t>
  </si>
  <si>
    <t>Prevalent Wealth Management</t>
  </si>
  <si>
    <t>Square Radius Financial</t>
  </si>
  <si>
    <t>Building Bank</t>
  </si>
  <si>
    <t>32090000</t>
  </si>
  <si>
    <t>Dolphin Wealth Management</t>
  </si>
  <si>
    <t>2/6/2015</t>
  </si>
  <si>
    <t>Balance Financial</t>
  </si>
  <si>
    <t>Survey Report</t>
  </si>
  <si>
    <t>Startup</t>
  </si>
  <si>
    <t>Total Turnover</t>
  </si>
  <si>
    <t>Number of Companies</t>
  </si>
  <si>
    <t>Average Turnover</t>
  </si>
  <si>
    <t>Minimum Turnover</t>
  </si>
  <si>
    <t>Maximum Turnover</t>
  </si>
  <si>
    <t>States</t>
  </si>
  <si>
    <t>Abbreviations</t>
  </si>
  <si>
    <t>AP</t>
  </si>
  <si>
    <t>AR</t>
  </si>
  <si>
    <t>AS</t>
  </si>
  <si>
    <t>BR</t>
  </si>
  <si>
    <t>CG</t>
  </si>
  <si>
    <t>GA</t>
  </si>
  <si>
    <t>GJ</t>
  </si>
  <si>
    <t>HR</t>
  </si>
  <si>
    <t>HP</t>
  </si>
  <si>
    <t>JH</t>
  </si>
  <si>
    <t>KA</t>
  </si>
  <si>
    <t>KL</t>
  </si>
  <si>
    <t>MP</t>
  </si>
  <si>
    <t>MH</t>
  </si>
  <si>
    <t>MN</t>
  </si>
  <si>
    <t>ML</t>
  </si>
  <si>
    <t>MZ</t>
  </si>
  <si>
    <t>NL</t>
  </si>
  <si>
    <t>OR</t>
  </si>
  <si>
    <t>RJ</t>
  </si>
  <si>
    <t>SK</t>
  </si>
  <si>
    <t>TN</t>
  </si>
  <si>
    <t>TG</t>
  </si>
  <si>
    <t>TR</t>
  </si>
  <si>
    <t>UK</t>
  </si>
  <si>
    <t>UP</t>
  </si>
  <si>
    <t>WB</t>
  </si>
  <si>
    <t>State-wise Turnover Report</t>
  </si>
  <si>
    <t>State Abbreviation</t>
  </si>
  <si>
    <t>Total Turnover of all companies in the state</t>
  </si>
  <si>
    <t>Number of companies</t>
  </si>
  <si>
    <t>Average turnover of the companies</t>
  </si>
  <si>
    <t>Average age of the companies</t>
  </si>
  <si>
    <t>Average age of the companies rounded up to 0 decimal</t>
  </si>
  <si>
    <t>State unique code (using "&amp;")</t>
  </si>
  <si>
    <t>State unique code (using TEXTJOIN)</t>
  </si>
  <si>
    <t>Overview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</si>
</sst>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yy"/>
    <numFmt numFmtId="165" formatCode="d/m/yyyy"/>
    <numFmt numFmtId="166" formatCode="M/d/yyyy"/>
    <numFmt numFmtId="167" formatCode="m/d/yyyy"/>
    <numFmt numFmtId="168" formatCode="[$₹]#,##0"/>
    <numFmt numFmtId="169" formatCode="0.0000"/>
  </numFmts>
  <fonts count="9">
    <font>
      <sz val="10.0"/>
      <color rgb="FF000000"/>
      <name val="Arial"/>
      <scheme val="minor"/>
    </font>
    <font>
      <b/>
      <sz val="10.0"/>
      <color theme="1"/>
      <name val="Noto Serif Georgian"/>
    </font>
    <font>
      <sz val="10.0"/>
      <color theme="1"/>
      <name val="Noto Serif Georgian"/>
    </font>
    <font>
      <b/>
      <sz val="16.0"/>
      <color theme="1"/>
      <name val="Noto Serif Georgian"/>
    </font>
    <font/>
    <font>
      <color theme="1"/>
      <name val="Noto Serif Georgian"/>
    </font>
    <font>
      <b/>
      <color theme="1"/>
      <name val="Noto Serif Georgian"/>
    </font>
    <font>
      <sz val="13.0"/>
      <color rgb="FF3A3A3A"/>
      <name val="Noto Serif Georgian"/>
    </font>
    <font>
      <sz val="13.0"/>
      <color rgb="FFFD1A55"/>
      <name val="Noto Serif Georgian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readingOrder="0"/>
    </xf>
    <xf borderId="1" fillId="2" fontId="1" numFmtId="0" xfId="0" applyBorder="1" applyFont="1"/>
    <xf borderId="1" fillId="2" fontId="1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readingOrder="0" shrinkToFit="0" wrapText="1"/>
    </xf>
    <xf borderId="0" fillId="0" fontId="2" numFmtId="0" xfId="0" applyFont="1"/>
    <xf borderId="0" fillId="0" fontId="2" numFmtId="164" xfId="0" applyAlignment="1" applyFont="1" applyNumberFormat="1">
      <alignment horizontal="left"/>
    </xf>
    <xf borderId="2" fillId="0" fontId="2" numFmtId="0" xfId="0" applyBorder="1" applyFont="1"/>
    <xf borderId="0" fillId="0" fontId="2" numFmtId="164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left" readingOrder="0"/>
    </xf>
    <xf borderId="2" fillId="0" fontId="2" numFmtId="49" xfId="0" applyBorder="1" applyFont="1" applyNumberFormat="1"/>
    <xf borderId="0" fillId="0" fontId="2" numFmtId="166" xfId="0" applyAlignment="1" applyFont="1" applyNumberFormat="1">
      <alignment horizontal="left"/>
    </xf>
    <xf borderId="0" fillId="0" fontId="2" numFmtId="166" xfId="0" applyAlignment="1" applyFont="1" applyNumberFormat="1">
      <alignment horizontal="left" readingOrder="0"/>
    </xf>
    <xf borderId="2" fillId="0" fontId="2" numFmtId="0" xfId="0" applyAlignment="1" applyBorder="1" applyFont="1">
      <alignment readingOrder="0"/>
    </xf>
    <xf borderId="2" fillId="0" fontId="2" numFmtId="49" xfId="0" applyAlignment="1" applyBorder="1" applyFont="1" applyNumberFormat="1">
      <alignment readingOrder="0"/>
    </xf>
    <xf borderId="0" fillId="0" fontId="2" numFmtId="167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3" fillId="2" fontId="3" numFmtId="0" xfId="0" applyAlignment="1" applyBorder="1" applyFont="1">
      <alignment horizontal="center" readingOrder="0"/>
    </xf>
    <xf borderId="4" fillId="0" fontId="4" numFmtId="0" xfId="0" applyBorder="1" applyFont="1"/>
    <xf borderId="1" fillId="0" fontId="5" numFmtId="0" xfId="0" applyAlignment="1" applyBorder="1" applyFont="1">
      <alignment readingOrder="0"/>
    </xf>
    <xf borderId="1" fillId="0" fontId="5" numFmtId="3" xfId="0" applyBorder="1" applyFont="1" applyNumberFormat="1"/>
    <xf borderId="1" fillId="0" fontId="2" numFmtId="0" xfId="0" applyAlignment="1" applyBorder="1" applyFont="1">
      <alignment readingOrder="0"/>
    </xf>
    <xf borderId="1" fillId="0" fontId="2" numFmtId="3" xfId="0" applyBorder="1" applyFont="1" applyNumberFormat="1"/>
    <xf borderId="1" fillId="0" fontId="2" numFmtId="4" xfId="0" applyBorder="1" applyFont="1" applyNumberFormat="1"/>
    <xf borderId="1" fillId="2" fontId="6" numFmtId="0" xfId="0" applyAlignment="1" applyBorder="1" applyFont="1">
      <alignment readingOrder="0"/>
    </xf>
    <xf borderId="0" fillId="0" fontId="5" numFmtId="0" xfId="0" applyFont="1"/>
    <xf borderId="1" fillId="0" fontId="5" numFmtId="0" xfId="0" applyBorder="1" applyFont="1"/>
    <xf borderId="1" fillId="0" fontId="5" numFmtId="0" xfId="0" applyBorder="1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5" fillId="0" fontId="4" numFmtId="0" xfId="0" applyBorder="1" applyFont="1"/>
    <xf borderId="6" fillId="3" fontId="1" numFmtId="0" xfId="0" applyAlignment="1" applyBorder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2" numFmtId="0" xfId="0" applyFont="1"/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7" fillId="0" fontId="2" numFmtId="0" xfId="0" applyAlignment="1" applyBorder="1" applyFont="1">
      <alignment readingOrder="0" vertical="bottom"/>
    </xf>
    <xf borderId="1" fillId="0" fontId="5" numFmtId="168" xfId="0" applyBorder="1" applyFont="1" applyNumberFormat="1"/>
    <xf borderId="1" fillId="0" fontId="2" numFmtId="0" xfId="0" applyBorder="1" applyFont="1"/>
    <xf borderId="1" fillId="0" fontId="5" numFmtId="1" xfId="0" applyAlignment="1" applyBorder="1" applyFont="1" applyNumberFormat="1">
      <alignment horizontal="right"/>
    </xf>
    <xf borderId="1" fillId="0" fontId="2" numFmtId="169" xfId="0" applyBorder="1" applyFont="1" applyNumberFormat="1"/>
    <xf borderId="7" fillId="0" fontId="1" numFmtId="0" xfId="0" applyAlignment="1" applyBorder="1" applyFont="1">
      <alignment vertical="bottom"/>
    </xf>
    <xf borderId="0" fillId="2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'Survey Report'!$A$5:$A$7</c:f>
            </c:strRef>
          </c:cat>
          <c:val>
            <c:numRef>
              <c:f>'Survey Report'!$B$5:$B$7</c:f>
              <c:numCache/>
            </c:numRef>
          </c:val>
        </c:ser>
        <c:axId val="1358064369"/>
        <c:axId val="832253512"/>
      </c:barChart>
      <c:catAx>
        <c:axId val="1358064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Company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253512"/>
      </c:catAx>
      <c:valAx>
        <c:axId val="83225351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Established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0643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9525</xdr:rowOff>
    </xdr:from>
    <xdr:ext cx="4791075" cy="2828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9.0"/>
    <col customWidth="1" min="3" max="3" width="21.0"/>
    <col customWidth="1" min="4" max="4" width="21.63"/>
    <col customWidth="1" min="5" max="5" width="12.88"/>
    <col customWidth="1" min="6" max="6" width="16.5"/>
    <col customWidth="1" min="7" max="9" width="16.13"/>
    <col customWidth="1" min="10" max="10" width="22.63"/>
    <col customWidth="1" min="13" max="13" width="21.13"/>
    <col customWidth="1" min="14" max="14" width="61.75"/>
    <col customWidth="1" min="15" max="15" width="26.75"/>
  </cols>
  <sheetData>
    <row r="1" ht="42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4" t="s">
        <v>14</v>
      </c>
      <c r="P1" s="6" t="s">
        <v>15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>
        <v>40910.0</v>
      </c>
      <c r="B2" s="7" t="s">
        <v>16</v>
      </c>
      <c r="C2" s="7" t="s">
        <v>17</v>
      </c>
      <c r="D2" s="7" t="s">
        <v>18</v>
      </c>
      <c r="E2" s="7">
        <v>12.0</v>
      </c>
      <c r="F2" s="9">
        <v>3.812E7</v>
      </c>
      <c r="G2" s="7" t="str">
        <f t="shared" ref="G2:G99" si="1">TEXT(A2,"dddd")</f>
        <v>Monday</v>
      </c>
      <c r="H2" s="7" t="str">
        <f t="shared" ref="H2:H99" si="2">text(A2,"MMMM")</f>
        <v>January</v>
      </c>
      <c r="I2" s="7" t="str">
        <f t="shared" ref="I2:I99" si="3">text(A2,"YYYY")</f>
        <v>2012</v>
      </c>
      <c r="J2" s="7">
        <f t="shared" ref="J2:J99" si="4">VALUE(F2)</f>
        <v>38120000</v>
      </c>
      <c r="K2" s="7" t="str">
        <f>IFERROR(__xludf.DUMMYFUNCTION("SPLIT(C2,""-"")"),"HQ")</f>
        <v>HQ</v>
      </c>
      <c r="L2" s="7" t="str">
        <f>IFERROR(__xludf.DUMMYFUNCTION("""COMPUTED_VALUE""")," Amaravati")</f>
        <v> Amaravati</v>
      </c>
      <c r="M2" s="7" t="str">
        <f t="shared" ref="M2:M99" si="5">trim(L2)</f>
        <v>Amaravati</v>
      </c>
      <c r="N2" s="10" t="str">
        <f t="shared" ref="N2:N99" si="6">B2&amp; "'s headquarter is in " &amp; M2</f>
        <v>Logan Funding Co's headquarter is in Amaravati</v>
      </c>
      <c r="O2" s="7" t="str">
        <f t="shared" ref="O2:O99" si="7">M2&amp; "is in "&amp;D2</f>
        <v>Amaravatiis in Andhra Pradesh</v>
      </c>
      <c r="P2" s="7" t="str">
        <f t="shared" ref="P2:P99" si="8">if(E2&lt;=5,"Startup","Established")</f>
        <v>Established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>
        <v>40248.0</v>
      </c>
      <c r="B3" s="7" t="s">
        <v>19</v>
      </c>
      <c r="C3" s="7" t="s">
        <v>20</v>
      </c>
      <c r="D3" s="7" t="s">
        <v>21</v>
      </c>
      <c r="E3" s="7">
        <v>14.0</v>
      </c>
      <c r="F3" s="9">
        <v>2.244E7</v>
      </c>
      <c r="G3" s="7" t="str">
        <f t="shared" si="1"/>
        <v>Thursday</v>
      </c>
      <c r="H3" s="7" t="str">
        <f t="shared" si="2"/>
        <v>March</v>
      </c>
      <c r="I3" s="7" t="str">
        <f t="shared" si="3"/>
        <v>2010</v>
      </c>
      <c r="J3" s="7">
        <f t="shared" si="4"/>
        <v>22440000</v>
      </c>
      <c r="K3" s="7" t="str">
        <f>IFERROR(__xludf.DUMMYFUNCTION("SPLIT(C3,""-"")"),"HQ")</f>
        <v>HQ</v>
      </c>
      <c r="L3" s="7" t="str">
        <f>IFERROR(__xludf.DUMMYFUNCTION("""COMPUTED_VALUE""")," Itanagar")</f>
        <v> Itanagar</v>
      </c>
      <c r="M3" s="7" t="str">
        <f t="shared" si="5"/>
        <v>Itanagar</v>
      </c>
      <c r="N3" s="10" t="str">
        <f t="shared" si="6"/>
        <v>Focus Financial's headquarter is in Itanagar</v>
      </c>
      <c r="O3" s="7" t="str">
        <f t="shared" si="7"/>
        <v>Itanagaris in Arunachal Pradesh</v>
      </c>
      <c r="P3" s="7" t="str">
        <f t="shared" si="8"/>
        <v>Established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11">
        <v>41694.0</v>
      </c>
      <c r="B4" s="7" t="s">
        <v>22</v>
      </c>
      <c r="C4" s="7" t="s">
        <v>23</v>
      </c>
      <c r="D4" s="7" t="s">
        <v>24</v>
      </c>
      <c r="E4" s="7">
        <v>10.0</v>
      </c>
      <c r="F4" s="9">
        <v>2.19E7</v>
      </c>
      <c r="G4" s="7" t="str">
        <f t="shared" si="1"/>
        <v>Monday</v>
      </c>
      <c r="H4" s="7" t="str">
        <f t="shared" si="2"/>
        <v>February</v>
      </c>
      <c r="I4" s="7" t="str">
        <f t="shared" si="3"/>
        <v>2014</v>
      </c>
      <c r="J4" s="7">
        <f t="shared" si="4"/>
        <v>21900000</v>
      </c>
      <c r="K4" s="7" t="str">
        <f>IFERROR(__xludf.DUMMYFUNCTION("SPLIT(C4,""-"")"),"HQ")</f>
        <v>HQ</v>
      </c>
      <c r="L4" s="7" t="str">
        <f>IFERROR(__xludf.DUMMYFUNCTION("""COMPUTED_VALUE""")," Dispur")</f>
        <v> Dispur</v>
      </c>
      <c r="M4" s="7" t="str">
        <f t="shared" si="5"/>
        <v>Dispur</v>
      </c>
      <c r="N4" s="10" t="str">
        <f t="shared" si="6"/>
        <v>Masters Of Finance's headquarter is in Dispur</v>
      </c>
      <c r="O4" s="7" t="str">
        <f t="shared" si="7"/>
        <v>Dispuris in Assam</v>
      </c>
      <c r="P4" s="7" t="str">
        <f t="shared" si="8"/>
        <v>Established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10">
        <v>43745.0</v>
      </c>
      <c r="B5" s="7" t="s">
        <v>25</v>
      </c>
      <c r="C5" s="7" t="s">
        <v>26</v>
      </c>
      <c r="D5" s="7" t="s">
        <v>27</v>
      </c>
      <c r="E5" s="7">
        <v>5.0</v>
      </c>
      <c r="F5" s="12" t="s">
        <v>28</v>
      </c>
      <c r="G5" s="7" t="str">
        <f t="shared" si="1"/>
        <v>Monday</v>
      </c>
      <c r="H5" s="7" t="str">
        <f t="shared" si="2"/>
        <v>October</v>
      </c>
      <c r="I5" s="7" t="str">
        <f t="shared" si="3"/>
        <v>2019</v>
      </c>
      <c r="J5" s="7">
        <f t="shared" si="4"/>
        <v>23680000</v>
      </c>
      <c r="K5" s="7" t="str">
        <f>IFERROR(__xludf.DUMMYFUNCTION("SPLIT(C5,""-"")"),"HQ")</f>
        <v>HQ</v>
      </c>
      <c r="L5" s="7" t="str">
        <f>IFERROR(__xludf.DUMMYFUNCTION("""COMPUTED_VALUE""")," Patna")</f>
        <v> Patna</v>
      </c>
      <c r="M5" s="7" t="str">
        <f t="shared" si="5"/>
        <v>Patna</v>
      </c>
      <c r="N5" s="10" t="str">
        <f t="shared" si="6"/>
        <v>Credit Flows's headquarter is in Patna</v>
      </c>
      <c r="O5" s="7" t="str">
        <f t="shared" si="7"/>
        <v>Patnais in Bihar</v>
      </c>
      <c r="P5" s="7" t="str">
        <f t="shared" si="8"/>
        <v>Startup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8">
        <v>40975.0</v>
      </c>
      <c r="B6" s="7" t="s">
        <v>29</v>
      </c>
      <c r="C6" s="7" t="s">
        <v>30</v>
      </c>
      <c r="D6" s="7" t="s">
        <v>31</v>
      </c>
      <c r="E6" s="7">
        <v>12.0</v>
      </c>
      <c r="F6" s="9">
        <v>2.952E7</v>
      </c>
      <c r="G6" s="7" t="str">
        <f t="shared" si="1"/>
        <v>Wednesday</v>
      </c>
      <c r="H6" s="7" t="str">
        <f t="shared" si="2"/>
        <v>March</v>
      </c>
      <c r="I6" s="7" t="str">
        <f t="shared" si="3"/>
        <v>2012</v>
      </c>
      <c r="J6" s="7">
        <f t="shared" si="4"/>
        <v>29520000</v>
      </c>
      <c r="K6" s="7" t="str">
        <f>IFERROR(__xludf.DUMMYFUNCTION("SPLIT(C6,""-"")"),"HQ")</f>
        <v>HQ</v>
      </c>
      <c r="L6" s="7" t="str">
        <f>IFERROR(__xludf.DUMMYFUNCTION("""COMPUTED_VALUE""")," Raipur")</f>
        <v> Raipur</v>
      </c>
      <c r="M6" s="7" t="str">
        <f t="shared" si="5"/>
        <v>Raipur</v>
      </c>
      <c r="N6" s="10" t="str">
        <f t="shared" si="6"/>
        <v>Flexicapital's headquarter is in Raipur</v>
      </c>
      <c r="O6" s="7" t="str">
        <f t="shared" si="7"/>
        <v>Raipuris in Chhattisgarh</v>
      </c>
      <c r="P6" s="7" t="str">
        <f t="shared" si="8"/>
        <v>Established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13" t="s">
        <v>32</v>
      </c>
      <c r="B7" s="7" t="s">
        <v>33</v>
      </c>
      <c r="C7" s="7" t="s">
        <v>34</v>
      </c>
      <c r="D7" s="7" t="s">
        <v>35</v>
      </c>
      <c r="E7" s="7">
        <v>11.0</v>
      </c>
      <c r="F7" s="12" t="s">
        <v>36</v>
      </c>
      <c r="G7" s="7" t="str">
        <f t="shared" si="1"/>
        <v>Friday</v>
      </c>
      <c r="H7" s="7" t="str">
        <f t="shared" si="2"/>
        <v>March</v>
      </c>
      <c r="I7" s="7" t="str">
        <f t="shared" si="3"/>
        <v>2013</v>
      </c>
      <c r="J7" s="7">
        <f t="shared" si="4"/>
        <v>23660000</v>
      </c>
      <c r="K7" s="7" t="str">
        <f>IFERROR(__xludf.DUMMYFUNCTION("SPLIT(C7,""-"")"),"HQ")</f>
        <v>HQ</v>
      </c>
      <c r="L7" s="7" t="str">
        <f>IFERROR(__xludf.DUMMYFUNCTION("""COMPUTED_VALUE""")," Panaji")</f>
        <v> Panaji</v>
      </c>
      <c r="M7" s="7" t="str">
        <f t="shared" si="5"/>
        <v>Panaji</v>
      </c>
      <c r="N7" s="10" t="str">
        <f t="shared" si="6"/>
        <v>Financial Connections's headquarter is in Panaji</v>
      </c>
      <c r="O7" s="7" t="str">
        <f t="shared" si="7"/>
        <v>Panajiis in Goa</v>
      </c>
      <c r="P7" s="7" t="str">
        <f t="shared" si="8"/>
        <v>Established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1">
        <v>41715.0</v>
      </c>
      <c r="B8" s="7" t="s">
        <v>37</v>
      </c>
      <c r="C8" s="7" t="s">
        <v>38</v>
      </c>
      <c r="D8" s="7" t="s">
        <v>39</v>
      </c>
      <c r="E8" s="7">
        <v>10.0</v>
      </c>
      <c r="F8" s="12" t="s">
        <v>40</v>
      </c>
      <c r="G8" s="7" t="str">
        <f t="shared" si="1"/>
        <v>Monday</v>
      </c>
      <c r="H8" s="7" t="str">
        <f t="shared" si="2"/>
        <v>March</v>
      </c>
      <c r="I8" s="7" t="str">
        <f t="shared" si="3"/>
        <v>2014</v>
      </c>
      <c r="J8" s="7">
        <f t="shared" si="4"/>
        <v>28560000</v>
      </c>
      <c r="K8" s="7" t="str">
        <f>IFERROR(__xludf.DUMMYFUNCTION("SPLIT(C8,""-"")"),"HQ")</f>
        <v>HQ</v>
      </c>
      <c r="L8" s="7" t="str">
        <f>IFERROR(__xludf.DUMMYFUNCTION("""COMPUTED_VALUE""")," Gandhinagar")</f>
        <v> Gandhinagar</v>
      </c>
      <c r="M8" s="7" t="str">
        <f t="shared" si="5"/>
        <v>Gandhinagar</v>
      </c>
      <c r="N8" s="10" t="str">
        <f t="shared" si="6"/>
        <v>Financial Adventures's headquarter is in Gandhinagar</v>
      </c>
      <c r="O8" s="7" t="str">
        <f t="shared" si="7"/>
        <v>Gandhinagaris in Gujarat</v>
      </c>
      <c r="P8" s="7" t="str">
        <f t="shared" si="8"/>
        <v>Established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1">
        <v>43969.0</v>
      </c>
      <c r="B9" s="7" t="s">
        <v>41</v>
      </c>
      <c r="C9" s="7" t="s">
        <v>42</v>
      </c>
      <c r="D9" s="7" t="s">
        <v>43</v>
      </c>
      <c r="E9" s="7">
        <v>4.0</v>
      </c>
      <c r="F9" s="9">
        <v>2.94E7</v>
      </c>
      <c r="G9" s="7" t="str">
        <f t="shared" si="1"/>
        <v>Monday</v>
      </c>
      <c r="H9" s="7" t="str">
        <f t="shared" si="2"/>
        <v>May</v>
      </c>
      <c r="I9" s="7" t="str">
        <f t="shared" si="3"/>
        <v>2020</v>
      </c>
      <c r="J9" s="7">
        <f t="shared" si="4"/>
        <v>29400000</v>
      </c>
      <c r="K9" s="7" t="str">
        <f>IFERROR(__xludf.DUMMYFUNCTION("SPLIT(C9,""-"")"),"HQ")</f>
        <v>HQ</v>
      </c>
      <c r="L9" s="7" t="str">
        <f>IFERROR(__xludf.DUMMYFUNCTION("""COMPUTED_VALUE""")," Chandigarh")</f>
        <v> Chandigarh</v>
      </c>
      <c r="M9" s="7" t="str">
        <f t="shared" si="5"/>
        <v>Chandigarh</v>
      </c>
      <c r="N9" s="10" t="str">
        <f t="shared" si="6"/>
        <v>Fierce Financial's headquarter is in Chandigarh</v>
      </c>
      <c r="O9" s="7" t="str">
        <f t="shared" si="7"/>
        <v>Chandigarhis in Haryana</v>
      </c>
      <c r="P9" s="7" t="str">
        <f t="shared" si="8"/>
        <v>Startup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14">
        <v>45084.0</v>
      </c>
      <c r="B10" s="7" t="s">
        <v>44</v>
      </c>
      <c r="C10" s="7" t="s">
        <v>45</v>
      </c>
      <c r="D10" s="7" t="s">
        <v>46</v>
      </c>
      <c r="E10" s="7">
        <v>1.0</v>
      </c>
      <c r="F10" s="9">
        <v>2.214E7</v>
      </c>
      <c r="G10" s="7" t="str">
        <f t="shared" si="1"/>
        <v>Wednesday</v>
      </c>
      <c r="H10" s="7" t="str">
        <f t="shared" si="2"/>
        <v>June</v>
      </c>
      <c r="I10" s="7" t="str">
        <f t="shared" si="3"/>
        <v>2023</v>
      </c>
      <c r="J10" s="7">
        <f t="shared" si="4"/>
        <v>22140000</v>
      </c>
      <c r="K10" s="7" t="str">
        <f>IFERROR(__xludf.DUMMYFUNCTION("SPLIT(C10,""-"")"),"HQ")</f>
        <v>HQ</v>
      </c>
      <c r="L10" s="7" t="str">
        <f>IFERROR(__xludf.DUMMYFUNCTION("""COMPUTED_VALUE""")," Shimla")</f>
        <v> Shimla</v>
      </c>
      <c r="M10" s="7" t="str">
        <f t="shared" si="5"/>
        <v>Shimla</v>
      </c>
      <c r="N10" s="10" t="str">
        <f t="shared" si="6"/>
        <v>Fodora Finance's headquarter is in Shimla</v>
      </c>
      <c r="O10" s="7" t="str">
        <f t="shared" si="7"/>
        <v>Shimlais in Himachal Pradesh</v>
      </c>
      <c r="P10" s="7" t="str">
        <f t="shared" si="8"/>
        <v>Startup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1">
        <v>40805.0</v>
      </c>
      <c r="B11" s="7" t="s">
        <v>47</v>
      </c>
      <c r="C11" s="7" t="s">
        <v>48</v>
      </c>
      <c r="D11" s="7" t="s">
        <v>49</v>
      </c>
      <c r="E11" s="7">
        <v>13.0</v>
      </c>
      <c r="F11" s="12" t="s">
        <v>50</v>
      </c>
      <c r="G11" s="7" t="str">
        <f t="shared" si="1"/>
        <v>Monday</v>
      </c>
      <c r="H11" s="7" t="str">
        <f t="shared" si="2"/>
        <v>September</v>
      </c>
      <c r="I11" s="7" t="str">
        <f t="shared" si="3"/>
        <v>2011</v>
      </c>
      <c r="J11" s="7">
        <f t="shared" si="4"/>
        <v>26240000</v>
      </c>
      <c r="K11" s="7" t="str">
        <f>IFERROR(__xludf.DUMMYFUNCTION("SPLIT(C11,""-"")"),"HQ")</f>
        <v>HQ</v>
      </c>
      <c r="L11" s="7" t="str">
        <f>IFERROR(__xludf.DUMMYFUNCTION("""COMPUTED_VALUE""")," Ranchi")</f>
        <v> Ranchi</v>
      </c>
      <c r="M11" s="7" t="str">
        <f t="shared" si="5"/>
        <v>Ranchi</v>
      </c>
      <c r="N11" s="10" t="str">
        <f t="shared" si="6"/>
        <v>Monetary Masters's headquarter is in Ranchi</v>
      </c>
      <c r="O11" s="7" t="str">
        <f t="shared" si="7"/>
        <v>Ranchiis in Jharkhand</v>
      </c>
      <c r="P11" s="7" t="str">
        <f t="shared" si="8"/>
        <v>Established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11">
        <v>40501.0</v>
      </c>
      <c r="B12" s="7" t="s">
        <v>51</v>
      </c>
      <c r="C12" s="7" t="s">
        <v>52</v>
      </c>
      <c r="D12" s="7" t="s">
        <v>53</v>
      </c>
      <c r="E12" s="7">
        <v>14.0</v>
      </c>
      <c r="F12" s="9">
        <v>3.886E7</v>
      </c>
      <c r="G12" s="7" t="str">
        <f t="shared" si="1"/>
        <v>Friday</v>
      </c>
      <c r="H12" s="7" t="str">
        <f t="shared" si="2"/>
        <v>November</v>
      </c>
      <c r="I12" s="7" t="str">
        <f t="shared" si="3"/>
        <v>2010</v>
      </c>
      <c r="J12" s="7">
        <f t="shared" si="4"/>
        <v>38860000</v>
      </c>
      <c r="K12" s="7" t="str">
        <f>IFERROR(__xludf.DUMMYFUNCTION("SPLIT(C12,""-"")"),"HQ")</f>
        <v>HQ</v>
      </c>
      <c r="L12" s="7" t="str">
        <f>IFERROR(__xludf.DUMMYFUNCTION("""COMPUTED_VALUE""")," Bangalore")</f>
        <v> Bangalore</v>
      </c>
      <c r="M12" s="7" t="str">
        <f t="shared" si="5"/>
        <v>Bangalore</v>
      </c>
      <c r="N12" s="10" t="str">
        <f t="shared" si="6"/>
        <v>Everest Digital Banking's headquarter is in Bangalore</v>
      </c>
      <c r="O12" s="7" t="str">
        <f t="shared" si="7"/>
        <v>Bangaloreis in Karnataka</v>
      </c>
      <c r="P12" s="7" t="str">
        <f t="shared" si="8"/>
        <v>Established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13" t="s">
        <v>54</v>
      </c>
      <c r="B13" s="7" t="s">
        <v>55</v>
      </c>
      <c r="C13" s="7" t="s">
        <v>56</v>
      </c>
      <c r="D13" s="7" t="s">
        <v>57</v>
      </c>
      <c r="E13" s="7">
        <v>15.0</v>
      </c>
      <c r="F13" s="9">
        <v>3.934E7</v>
      </c>
      <c r="G13" s="7" t="str">
        <f t="shared" si="1"/>
        <v>Tuesday</v>
      </c>
      <c r="H13" s="7" t="str">
        <f t="shared" si="2"/>
        <v>June</v>
      </c>
      <c r="I13" s="7" t="str">
        <f t="shared" si="3"/>
        <v>2009</v>
      </c>
      <c r="J13" s="7">
        <f t="shared" si="4"/>
        <v>39340000</v>
      </c>
      <c r="K13" s="7" t="str">
        <f>IFERROR(__xludf.DUMMYFUNCTION("SPLIT(C13,""-"")"),"HQ")</f>
        <v>HQ</v>
      </c>
      <c r="L13" s="7" t="str">
        <f>IFERROR(__xludf.DUMMYFUNCTION("""COMPUTED_VALUE""")," Thiruvananthapuram")</f>
        <v> Thiruvananthapuram</v>
      </c>
      <c r="M13" s="7" t="str">
        <f t="shared" si="5"/>
        <v>Thiruvananthapuram</v>
      </c>
      <c r="N13" s="10" t="str">
        <f t="shared" si="6"/>
        <v>Virtual Stocks's headquarter is in Thiruvananthapuram</v>
      </c>
      <c r="O13" s="7" t="str">
        <f t="shared" si="7"/>
        <v>Thiruvananthapuramis in Kerala</v>
      </c>
      <c r="P13" s="7" t="str">
        <f t="shared" si="8"/>
        <v>Established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11">
        <v>40653.0</v>
      </c>
      <c r="B14" s="7" t="s">
        <v>58</v>
      </c>
      <c r="C14" s="7" t="s">
        <v>59</v>
      </c>
      <c r="D14" s="7" t="s">
        <v>60</v>
      </c>
      <c r="E14" s="7">
        <v>13.0</v>
      </c>
      <c r="F14" s="9">
        <v>3.774E7</v>
      </c>
      <c r="G14" s="7" t="str">
        <f t="shared" si="1"/>
        <v>Wednesday</v>
      </c>
      <c r="H14" s="7" t="str">
        <f t="shared" si="2"/>
        <v>April</v>
      </c>
      <c r="I14" s="7" t="str">
        <f t="shared" si="3"/>
        <v>2011</v>
      </c>
      <c r="J14" s="7">
        <f t="shared" si="4"/>
        <v>37740000</v>
      </c>
      <c r="K14" s="7" t="str">
        <f>IFERROR(__xludf.DUMMYFUNCTION("SPLIT(C14,""-"")"),"HQ")</f>
        <v>HQ</v>
      </c>
      <c r="L14" s="7" t="str">
        <f>IFERROR(__xludf.DUMMYFUNCTION("""COMPUTED_VALUE""")," Bhopal")</f>
        <v> Bhopal</v>
      </c>
      <c r="M14" s="7" t="str">
        <f t="shared" si="5"/>
        <v>Bhopal</v>
      </c>
      <c r="N14" s="10" t="str">
        <f t="shared" si="6"/>
        <v>Golden Coin Group's headquarter is in Bhopal</v>
      </c>
      <c r="O14" s="7" t="str">
        <f t="shared" si="7"/>
        <v>Bhopalis in Madhya Pradesh</v>
      </c>
      <c r="P14" s="7" t="str">
        <f t="shared" si="8"/>
        <v>Established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13" t="s">
        <v>61</v>
      </c>
      <c r="B15" s="7" t="s">
        <v>62</v>
      </c>
      <c r="C15" s="7" t="s">
        <v>63</v>
      </c>
      <c r="D15" s="7" t="s">
        <v>64</v>
      </c>
      <c r="E15" s="7">
        <v>2.0</v>
      </c>
      <c r="F15" s="12" t="s">
        <v>65</v>
      </c>
      <c r="G15" s="7" t="str">
        <f t="shared" si="1"/>
        <v>Thursday</v>
      </c>
      <c r="H15" s="7" t="str">
        <f t="shared" si="2"/>
        <v>January</v>
      </c>
      <c r="I15" s="7" t="str">
        <f t="shared" si="3"/>
        <v>2022</v>
      </c>
      <c r="J15" s="7">
        <f t="shared" si="4"/>
        <v>32520000</v>
      </c>
      <c r="K15" s="7" t="str">
        <f>IFERROR(__xludf.DUMMYFUNCTION("SPLIT(C15,""-"")"),"HQ")</f>
        <v>HQ</v>
      </c>
      <c r="L15" s="7" t="str">
        <f>IFERROR(__xludf.DUMMYFUNCTION("""COMPUTED_VALUE""")," Mumbai")</f>
        <v> Mumbai</v>
      </c>
      <c r="M15" s="7" t="str">
        <f t="shared" si="5"/>
        <v>Mumbai</v>
      </c>
      <c r="N15" s="10" t="str">
        <f t="shared" si="6"/>
        <v>Weston Banking's headquarter is in Mumbai</v>
      </c>
      <c r="O15" s="7" t="str">
        <f t="shared" si="7"/>
        <v>Mumbaiis in Maharashtra</v>
      </c>
      <c r="P15" s="7" t="str">
        <f t="shared" si="8"/>
        <v>Startup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3" t="s">
        <v>66</v>
      </c>
      <c r="B16" s="7" t="s">
        <v>67</v>
      </c>
      <c r="C16" s="7" t="s">
        <v>68</v>
      </c>
      <c r="D16" s="7" t="s">
        <v>69</v>
      </c>
      <c r="E16" s="7">
        <v>4.0</v>
      </c>
      <c r="F16" s="9">
        <v>4.208E7</v>
      </c>
      <c r="G16" s="7" t="str">
        <f t="shared" si="1"/>
        <v>Wednesday</v>
      </c>
      <c r="H16" s="7" t="str">
        <f t="shared" si="2"/>
        <v>July</v>
      </c>
      <c r="I16" s="7" t="str">
        <f t="shared" si="3"/>
        <v>2020</v>
      </c>
      <c r="J16" s="7">
        <f t="shared" si="4"/>
        <v>42080000</v>
      </c>
      <c r="K16" s="7" t="str">
        <f>IFERROR(__xludf.DUMMYFUNCTION("SPLIT(C16,""-"")"),"HQ")</f>
        <v>HQ</v>
      </c>
      <c r="L16" s="7" t="str">
        <f>IFERROR(__xludf.DUMMYFUNCTION("""COMPUTED_VALUE""")," Imphal")</f>
        <v> Imphal</v>
      </c>
      <c r="M16" s="7" t="str">
        <f t="shared" si="5"/>
        <v>Imphal</v>
      </c>
      <c r="N16" s="10" t="str">
        <f t="shared" si="6"/>
        <v>Organic Wealth Systems's headquarter is in Imphal</v>
      </c>
      <c r="O16" s="7" t="str">
        <f t="shared" si="7"/>
        <v>Imphalis in Manipur</v>
      </c>
      <c r="P16" s="7" t="str">
        <f t="shared" si="8"/>
        <v>Startup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13" t="s">
        <v>70</v>
      </c>
      <c r="B17" s="7" t="s">
        <v>71</v>
      </c>
      <c r="C17" s="7" t="s">
        <v>72</v>
      </c>
      <c r="D17" s="7" t="s">
        <v>73</v>
      </c>
      <c r="E17" s="7">
        <v>4.0</v>
      </c>
      <c r="F17" s="9">
        <v>4.282E7</v>
      </c>
      <c r="G17" s="7" t="str">
        <f t="shared" si="1"/>
        <v>Monday</v>
      </c>
      <c r="H17" s="7" t="str">
        <f t="shared" si="2"/>
        <v>February</v>
      </c>
      <c r="I17" s="7" t="str">
        <f t="shared" si="3"/>
        <v>2020</v>
      </c>
      <c r="J17" s="7">
        <f t="shared" si="4"/>
        <v>42820000</v>
      </c>
      <c r="K17" s="7" t="str">
        <f>IFERROR(__xludf.DUMMYFUNCTION("SPLIT(C17,""-"")"),"HQ")</f>
        <v>HQ</v>
      </c>
      <c r="L17" s="7" t="str">
        <f>IFERROR(__xludf.DUMMYFUNCTION("""COMPUTED_VALUE""")," Shillong")</f>
        <v> Shillong</v>
      </c>
      <c r="M17" s="7" t="str">
        <f t="shared" si="5"/>
        <v>Shillong</v>
      </c>
      <c r="N17" s="10" t="str">
        <f t="shared" si="6"/>
        <v>Velocity Financial Services's headquarter is in Shillong</v>
      </c>
      <c r="O17" s="7" t="str">
        <f t="shared" si="7"/>
        <v>Shillongis in Meghalaya</v>
      </c>
      <c r="P17" s="7" t="str">
        <f t="shared" si="8"/>
        <v>Startup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1">
        <v>40168.0</v>
      </c>
      <c r="B18" s="7" t="s">
        <v>74</v>
      </c>
      <c r="C18" s="7" t="s">
        <v>75</v>
      </c>
      <c r="D18" s="7" t="s">
        <v>76</v>
      </c>
      <c r="E18" s="7">
        <v>15.0</v>
      </c>
      <c r="F18" s="9">
        <v>4.548E7</v>
      </c>
      <c r="G18" s="7" t="str">
        <f t="shared" si="1"/>
        <v>Monday</v>
      </c>
      <c r="H18" s="7" t="str">
        <f t="shared" si="2"/>
        <v>December</v>
      </c>
      <c r="I18" s="7" t="str">
        <f t="shared" si="3"/>
        <v>2009</v>
      </c>
      <c r="J18" s="7">
        <f t="shared" si="4"/>
        <v>45480000</v>
      </c>
      <c r="K18" s="7" t="str">
        <f>IFERROR(__xludf.DUMMYFUNCTION("SPLIT(C18,""-"")"),"HQ")</f>
        <v>HQ</v>
      </c>
      <c r="L18" s="7" t="str">
        <f>IFERROR(__xludf.DUMMYFUNCTION("""COMPUTED_VALUE""")," Aizawl")</f>
        <v> Aizawl</v>
      </c>
      <c r="M18" s="7" t="str">
        <f t="shared" si="5"/>
        <v>Aizawl</v>
      </c>
      <c r="N18" s="10" t="str">
        <f t="shared" si="6"/>
        <v>Your Wealth Story's headquarter is in Aizawl</v>
      </c>
      <c r="O18" s="7" t="str">
        <f t="shared" si="7"/>
        <v>Aizawlis in Mizoram</v>
      </c>
      <c r="P18" s="7" t="str">
        <f t="shared" si="8"/>
        <v>Established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13" t="s">
        <v>32</v>
      </c>
      <c r="B19" s="7" t="s">
        <v>77</v>
      </c>
      <c r="C19" s="7" t="s">
        <v>78</v>
      </c>
      <c r="D19" s="7" t="s">
        <v>79</v>
      </c>
      <c r="E19" s="7">
        <v>11.0</v>
      </c>
      <c r="F19" s="9">
        <v>4.714E7</v>
      </c>
      <c r="G19" s="7" t="str">
        <f t="shared" si="1"/>
        <v>Friday</v>
      </c>
      <c r="H19" s="7" t="str">
        <f t="shared" si="2"/>
        <v>March</v>
      </c>
      <c r="I19" s="7" t="str">
        <f t="shared" si="3"/>
        <v>2013</v>
      </c>
      <c r="J19" s="7">
        <f t="shared" si="4"/>
        <v>47140000</v>
      </c>
      <c r="K19" s="7" t="str">
        <f>IFERROR(__xludf.DUMMYFUNCTION("SPLIT(C19,""-"")"),"HQ")</f>
        <v>HQ</v>
      </c>
      <c r="L19" s="7" t="str">
        <f>IFERROR(__xludf.DUMMYFUNCTION("""COMPUTED_VALUE""")," Kohima")</f>
        <v> Kohima</v>
      </c>
      <c r="M19" s="7" t="str">
        <f t="shared" si="5"/>
        <v>Kohima</v>
      </c>
      <c r="N19" s="10" t="str">
        <f t="shared" si="6"/>
        <v>Banktik Financial Co's headquarter is in Kohima</v>
      </c>
      <c r="O19" s="7" t="str">
        <f t="shared" si="7"/>
        <v>Kohimais in Nagaland</v>
      </c>
      <c r="P19" s="7" t="str">
        <f t="shared" si="8"/>
        <v>Established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3" t="s">
        <v>80</v>
      </c>
      <c r="B20" s="7" t="s">
        <v>81</v>
      </c>
      <c r="C20" s="7" t="s">
        <v>82</v>
      </c>
      <c r="D20" s="7" t="s">
        <v>83</v>
      </c>
      <c r="E20" s="7">
        <v>1.0</v>
      </c>
      <c r="F20" s="9">
        <v>4.524E7</v>
      </c>
      <c r="G20" s="7" t="str">
        <f t="shared" si="1"/>
        <v>Monday</v>
      </c>
      <c r="H20" s="7" t="str">
        <f t="shared" si="2"/>
        <v>July</v>
      </c>
      <c r="I20" s="7" t="str">
        <f t="shared" si="3"/>
        <v>2023</v>
      </c>
      <c r="J20" s="7">
        <f t="shared" si="4"/>
        <v>45240000</v>
      </c>
      <c r="K20" s="7" t="str">
        <f>IFERROR(__xludf.DUMMYFUNCTION("SPLIT(C20,""-"")"),"HQ")</f>
        <v>HQ</v>
      </c>
      <c r="L20" s="7" t="str">
        <f>IFERROR(__xludf.DUMMYFUNCTION("""COMPUTED_VALUE""")," Bhubaneshwar")</f>
        <v> Bhubaneshwar</v>
      </c>
      <c r="M20" s="7" t="str">
        <f t="shared" si="5"/>
        <v>Bhubaneshwar</v>
      </c>
      <c r="N20" s="10" t="str">
        <f t="shared" si="6"/>
        <v>Ivy Financial Funds's headquarter is in Bhubaneshwar</v>
      </c>
      <c r="O20" s="7" t="str">
        <f t="shared" si="7"/>
        <v>Bhubaneshwaris in Odisha</v>
      </c>
      <c r="P20" s="7" t="str">
        <f t="shared" si="8"/>
        <v>Startup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1">
        <v>41781.0</v>
      </c>
      <c r="B21" s="7" t="s">
        <v>84</v>
      </c>
      <c r="C21" s="7" t="s">
        <v>42</v>
      </c>
      <c r="D21" s="7" t="s">
        <v>43</v>
      </c>
      <c r="E21" s="7">
        <v>10.0</v>
      </c>
      <c r="F21" s="9">
        <v>4.418E7</v>
      </c>
      <c r="G21" s="7" t="str">
        <f t="shared" si="1"/>
        <v>Thursday</v>
      </c>
      <c r="H21" s="7" t="str">
        <f t="shared" si="2"/>
        <v>May</v>
      </c>
      <c r="I21" s="7" t="str">
        <f t="shared" si="3"/>
        <v>2014</v>
      </c>
      <c r="J21" s="7">
        <f t="shared" si="4"/>
        <v>44180000</v>
      </c>
      <c r="K21" s="7" t="str">
        <f>IFERROR(__xludf.DUMMYFUNCTION("SPLIT(C21,""-"")"),"HQ")</f>
        <v>HQ</v>
      </c>
      <c r="L21" s="7" t="str">
        <f>IFERROR(__xludf.DUMMYFUNCTION("""COMPUTED_VALUE""")," Chandigarh")</f>
        <v> Chandigarh</v>
      </c>
      <c r="M21" s="7" t="str">
        <f t="shared" si="5"/>
        <v>Chandigarh</v>
      </c>
      <c r="N21" s="10" t="str">
        <f t="shared" si="6"/>
        <v>Cloudwise Finance Co's headquarter is in Chandigarh</v>
      </c>
      <c r="O21" s="7" t="str">
        <f t="shared" si="7"/>
        <v>Chandigarhis in Haryana</v>
      </c>
      <c r="P21" s="7" t="str">
        <f t="shared" si="8"/>
        <v>Established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13" t="s">
        <v>85</v>
      </c>
      <c r="B22" s="7" t="s">
        <v>86</v>
      </c>
      <c r="C22" s="7" t="s">
        <v>87</v>
      </c>
      <c r="D22" s="7" t="s">
        <v>88</v>
      </c>
      <c r="E22" s="7">
        <v>12.0</v>
      </c>
      <c r="F22" s="9">
        <v>3.744E7</v>
      </c>
      <c r="G22" s="7" t="str">
        <f t="shared" si="1"/>
        <v>Saturday</v>
      </c>
      <c r="H22" s="7" t="str">
        <f t="shared" si="2"/>
        <v>April</v>
      </c>
      <c r="I22" s="7" t="str">
        <f t="shared" si="3"/>
        <v>2012</v>
      </c>
      <c r="J22" s="7">
        <f t="shared" si="4"/>
        <v>37440000</v>
      </c>
      <c r="K22" s="7" t="str">
        <f>IFERROR(__xludf.DUMMYFUNCTION("SPLIT(C22,""-"")"),"HQ")</f>
        <v>HQ</v>
      </c>
      <c r="L22" s="7" t="str">
        <f>IFERROR(__xludf.DUMMYFUNCTION("""COMPUTED_VALUE""")," Jaipur")</f>
        <v> Jaipur</v>
      </c>
      <c r="M22" s="7" t="str">
        <f t="shared" si="5"/>
        <v>Jaipur</v>
      </c>
      <c r="N22" s="10" t="str">
        <f t="shared" si="6"/>
        <v>Brightfund's headquarter is in Jaipur</v>
      </c>
      <c r="O22" s="7" t="str">
        <f t="shared" si="7"/>
        <v>Jaipuris in Rajasthan</v>
      </c>
      <c r="P22" s="7" t="str">
        <f t="shared" si="8"/>
        <v>Established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13" t="s">
        <v>89</v>
      </c>
      <c r="B23" s="7" t="s">
        <v>90</v>
      </c>
      <c r="C23" s="7" t="s">
        <v>91</v>
      </c>
      <c r="D23" s="7" t="s">
        <v>92</v>
      </c>
      <c r="E23" s="7">
        <v>14.0</v>
      </c>
      <c r="F23" s="9">
        <v>3.418E7</v>
      </c>
      <c r="G23" s="7" t="str">
        <f t="shared" si="1"/>
        <v>Monday</v>
      </c>
      <c r="H23" s="7" t="str">
        <f t="shared" si="2"/>
        <v>August</v>
      </c>
      <c r="I23" s="7" t="str">
        <f t="shared" si="3"/>
        <v>2010</v>
      </c>
      <c r="J23" s="7">
        <f t="shared" si="4"/>
        <v>34180000</v>
      </c>
      <c r="K23" s="7" t="str">
        <f>IFERROR(__xludf.DUMMYFUNCTION("SPLIT(C23,""-"")"),"HQ")</f>
        <v>HQ</v>
      </c>
      <c r="L23" s="7" t="str">
        <f>IFERROR(__xludf.DUMMYFUNCTION("""COMPUTED_VALUE""")," Gangtok")</f>
        <v> Gangtok</v>
      </c>
      <c r="M23" s="7" t="str">
        <f t="shared" si="5"/>
        <v>Gangtok</v>
      </c>
      <c r="N23" s="10" t="str">
        <f t="shared" si="6"/>
        <v>Enkrypt Funding's headquarter is in Gangtok</v>
      </c>
      <c r="O23" s="7" t="str">
        <f t="shared" si="7"/>
        <v>Gangtokis in Sikkim</v>
      </c>
      <c r="P23" s="7" t="str">
        <f t="shared" si="8"/>
        <v>Established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11">
        <v>45253.0</v>
      </c>
      <c r="B24" s="7" t="s">
        <v>93</v>
      </c>
      <c r="C24" s="7" t="s">
        <v>94</v>
      </c>
      <c r="D24" s="7" t="s">
        <v>95</v>
      </c>
      <c r="E24" s="7">
        <v>1.0</v>
      </c>
      <c r="F24" s="9">
        <v>3.916E7</v>
      </c>
      <c r="G24" s="7" t="str">
        <f t="shared" si="1"/>
        <v>Thursday</v>
      </c>
      <c r="H24" s="7" t="str">
        <f t="shared" si="2"/>
        <v>November</v>
      </c>
      <c r="I24" s="7" t="str">
        <f t="shared" si="3"/>
        <v>2023</v>
      </c>
      <c r="J24" s="7">
        <f t="shared" si="4"/>
        <v>39160000</v>
      </c>
      <c r="K24" s="7" t="str">
        <f>IFERROR(__xludf.DUMMYFUNCTION("SPLIT(C24,""-"")"),"HQ")</f>
        <v>HQ</v>
      </c>
      <c r="L24" s="7" t="str">
        <f>IFERROR(__xludf.DUMMYFUNCTION("""COMPUTED_VALUE""")," Chennai")</f>
        <v> Chennai</v>
      </c>
      <c r="M24" s="7" t="str">
        <f t="shared" si="5"/>
        <v>Chennai</v>
      </c>
      <c r="N24" s="10" t="str">
        <f t="shared" si="6"/>
        <v>Creditwise's headquarter is in Chennai</v>
      </c>
      <c r="O24" s="7" t="str">
        <f t="shared" si="7"/>
        <v>Chennaiis in Tamil Nadu</v>
      </c>
      <c r="P24" s="7" t="str">
        <f t="shared" si="8"/>
        <v>Startup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13" t="s">
        <v>96</v>
      </c>
      <c r="B25" s="7" t="s">
        <v>97</v>
      </c>
      <c r="C25" s="7" t="s">
        <v>98</v>
      </c>
      <c r="D25" s="7" t="s">
        <v>99</v>
      </c>
      <c r="E25" s="7">
        <v>13.0</v>
      </c>
      <c r="F25" s="9">
        <v>3.432E7</v>
      </c>
      <c r="G25" s="7" t="str">
        <f t="shared" si="1"/>
        <v>Monday</v>
      </c>
      <c r="H25" s="7" t="str">
        <f t="shared" si="2"/>
        <v>May</v>
      </c>
      <c r="I25" s="7" t="str">
        <f t="shared" si="3"/>
        <v>2011</v>
      </c>
      <c r="J25" s="7">
        <f t="shared" si="4"/>
        <v>34320000</v>
      </c>
      <c r="K25" s="7" t="str">
        <f>IFERROR(__xludf.DUMMYFUNCTION("SPLIT(C25,""-"")"),"HQ")</f>
        <v>HQ</v>
      </c>
      <c r="L25" s="7" t="str">
        <f>IFERROR(__xludf.DUMMYFUNCTION("""COMPUTED_VALUE""")," Hyderabad")</f>
        <v> Hyderabad</v>
      </c>
      <c r="M25" s="7" t="str">
        <f t="shared" si="5"/>
        <v>Hyderabad</v>
      </c>
      <c r="N25" s="10" t="str">
        <f t="shared" si="6"/>
        <v>Blink Financial's headquarter is in Hyderabad</v>
      </c>
      <c r="O25" s="7" t="str">
        <f t="shared" si="7"/>
        <v>Hyderabadis in Telangana</v>
      </c>
      <c r="P25" s="7" t="str">
        <f t="shared" si="8"/>
        <v>Established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13" t="s">
        <v>100</v>
      </c>
      <c r="B26" s="7" t="s">
        <v>101</v>
      </c>
      <c r="C26" s="7" t="s">
        <v>102</v>
      </c>
      <c r="D26" s="7" t="s">
        <v>103</v>
      </c>
      <c r="E26" s="7">
        <v>6.0</v>
      </c>
      <c r="F26" s="12" t="s">
        <v>104</v>
      </c>
      <c r="G26" s="7" t="str">
        <f t="shared" si="1"/>
        <v>Saturday</v>
      </c>
      <c r="H26" s="7" t="str">
        <f t="shared" si="2"/>
        <v>August</v>
      </c>
      <c r="I26" s="7" t="str">
        <f t="shared" si="3"/>
        <v>2018</v>
      </c>
      <c r="J26" s="7">
        <f t="shared" si="4"/>
        <v>36680000</v>
      </c>
      <c r="K26" s="7" t="str">
        <f>IFERROR(__xludf.DUMMYFUNCTION("SPLIT(C26,""-"")"),"HQ")</f>
        <v>HQ</v>
      </c>
      <c r="L26" s="7" t="str">
        <f>IFERROR(__xludf.DUMMYFUNCTION("""COMPUTED_VALUE""")," Agartala")</f>
        <v> Agartala</v>
      </c>
      <c r="M26" s="7" t="str">
        <f t="shared" si="5"/>
        <v>Agartala</v>
      </c>
      <c r="N26" s="10" t="str">
        <f t="shared" si="6"/>
        <v>Diversify Financial's headquarter is in Agartala</v>
      </c>
      <c r="O26" s="7" t="str">
        <f t="shared" si="7"/>
        <v>Agartalais in Tripura</v>
      </c>
      <c r="P26" s="7" t="str">
        <f t="shared" si="8"/>
        <v>Established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13" t="s">
        <v>105</v>
      </c>
      <c r="B27" s="7" t="s">
        <v>106</v>
      </c>
      <c r="C27" s="7" t="s">
        <v>107</v>
      </c>
      <c r="D27" s="7" t="s">
        <v>108</v>
      </c>
      <c r="E27" s="7">
        <v>5.0</v>
      </c>
      <c r="F27" s="12" t="s">
        <v>109</v>
      </c>
      <c r="G27" s="7" t="str">
        <f t="shared" si="1"/>
        <v>Friday</v>
      </c>
      <c r="H27" s="7" t="str">
        <f t="shared" si="2"/>
        <v>September</v>
      </c>
      <c r="I27" s="7" t="str">
        <f t="shared" si="3"/>
        <v>2019</v>
      </c>
      <c r="J27" s="7">
        <f t="shared" si="4"/>
        <v>32780000</v>
      </c>
      <c r="K27" s="7" t="str">
        <f>IFERROR(__xludf.DUMMYFUNCTION("SPLIT(C27,""-"")"),"HQ")</f>
        <v>HQ</v>
      </c>
      <c r="L27" s="7" t="str">
        <f>IFERROR(__xludf.DUMMYFUNCTION("""COMPUTED_VALUE""")," Dehradun")</f>
        <v> Dehradun</v>
      </c>
      <c r="M27" s="7" t="str">
        <f t="shared" si="5"/>
        <v>Dehradun</v>
      </c>
      <c r="N27" s="10" t="str">
        <f t="shared" si="6"/>
        <v>Futurus Finanicial Co's headquarter is in Dehradun</v>
      </c>
      <c r="O27" s="7" t="str">
        <f t="shared" si="7"/>
        <v>Dehradunis in Uttarakhand</v>
      </c>
      <c r="P27" s="7" t="str">
        <f t="shared" si="8"/>
        <v>Startup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11">
        <v>44797.0</v>
      </c>
      <c r="B28" s="7" t="s">
        <v>110</v>
      </c>
      <c r="C28" s="7" t="s">
        <v>111</v>
      </c>
      <c r="D28" s="7" t="s">
        <v>112</v>
      </c>
      <c r="E28" s="7">
        <v>2.0</v>
      </c>
      <c r="F28" s="9">
        <v>3.374E7</v>
      </c>
      <c r="G28" s="7" t="str">
        <f t="shared" si="1"/>
        <v>Wednesday</v>
      </c>
      <c r="H28" s="7" t="str">
        <f t="shared" si="2"/>
        <v>August</v>
      </c>
      <c r="I28" s="7" t="str">
        <f t="shared" si="3"/>
        <v>2022</v>
      </c>
      <c r="J28" s="7">
        <f t="shared" si="4"/>
        <v>33740000</v>
      </c>
      <c r="K28" s="7" t="str">
        <f>IFERROR(__xludf.DUMMYFUNCTION("SPLIT(C28,""-"")"),"HQ")</f>
        <v>HQ</v>
      </c>
      <c r="L28" s="7" t="str">
        <f>IFERROR(__xludf.DUMMYFUNCTION("""COMPUTED_VALUE""")," Lucknow")</f>
        <v> Lucknow</v>
      </c>
      <c r="M28" s="7" t="str">
        <f t="shared" si="5"/>
        <v>Lucknow</v>
      </c>
      <c r="N28" s="10" t="str">
        <f t="shared" si="6"/>
        <v>Financial Insight Group's headquarter is in Lucknow</v>
      </c>
      <c r="O28" s="7" t="str">
        <f t="shared" si="7"/>
        <v>Lucknowis in Uttar Pradesh</v>
      </c>
      <c r="P28" s="7" t="str">
        <f t="shared" si="8"/>
        <v>Startup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13" t="s">
        <v>113</v>
      </c>
      <c r="B29" s="7" t="s">
        <v>114</v>
      </c>
      <c r="C29" s="7" t="s">
        <v>115</v>
      </c>
      <c r="D29" s="7" t="s">
        <v>116</v>
      </c>
      <c r="E29" s="7">
        <v>5.0</v>
      </c>
      <c r="F29" s="9">
        <v>3.978E7</v>
      </c>
      <c r="G29" s="7" t="str">
        <f t="shared" si="1"/>
        <v>Monday</v>
      </c>
      <c r="H29" s="7" t="str">
        <f t="shared" si="2"/>
        <v>June</v>
      </c>
      <c r="I29" s="7" t="str">
        <f t="shared" si="3"/>
        <v>2019</v>
      </c>
      <c r="J29" s="7">
        <f t="shared" si="4"/>
        <v>39780000</v>
      </c>
      <c r="K29" s="7" t="str">
        <f>IFERROR(__xludf.DUMMYFUNCTION("SPLIT(C29,""-"")"),"HQ")</f>
        <v>HQ</v>
      </c>
      <c r="L29" s="7" t="str">
        <f>IFERROR(__xludf.DUMMYFUNCTION("""COMPUTED_VALUE""")," Kolkata")</f>
        <v> Kolkata</v>
      </c>
      <c r="M29" s="7" t="str">
        <f t="shared" si="5"/>
        <v>Kolkata</v>
      </c>
      <c r="N29" s="10" t="str">
        <f t="shared" si="6"/>
        <v>Wealth Quarry Capital's headquarter is in Kolkata</v>
      </c>
      <c r="O29" s="7" t="str">
        <f t="shared" si="7"/>
        <v>Kolkatais in West Bengal</v>
      </c>
      <c r="P29" s="7" t="str">
        <f t="shared" si="8"/>
        <v>Startup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13" t="s">
        <v>117</v>
      </c>
      <c r="B30" s="7" t="s">
        <v>118</v>
      </c>
      <c r="C30" s="7" t="s">
        <v>17</v>
      </c>
      <c r="D30" s="7" t="s">
        <v>18</v>
      </c>
      <c r="E30" s="7">
        <v>4.0</v>
      </c>
      <c r="F30" s="9">
        <v>3.818E7</v>
      </c>
      <c r="G30" s="7" t="str">
        <f t="shared" si="1"/>
        <v>Thursday</v>
      </c>
      <c r="H30" s="7" t="str">
        <f t="shared" si="2"/>
        <v>November</v>
      </c>
      <c r="I30" s="7" t="str">
        <f t="shared" si="3"/>
        <v>2020</v>
      </c>
      <c r="J30" s="7">
        <f t="shared" si="4"/>
        <v>38180000</v>
      </c>
      <c r="K30" s="7" t="str">
        <f>IFERROR(__xludf.DUMMYFUNCTION("SPLIT(C30,""-"")"),"HQ")</f>
        <v>HQ</v>
      </c>
      <c r="L30" s="7" t="str">
        <f>IFERROR(__xludf.DUMMYFUNCTION("""COMPUTED_VALUE""")," Amaravati")</f>
        <v> Amaravati</v>
      </c>
      <c r="M30" s="7" t="str">
        <f t="shared" si="5"/>
        <v>Amaravati</v>
      </c>
      <c r="N30" s="10" t="str">
        <f t="shared" si="6"/>
        <v>Grow Your Money's headquarter is in Amaravati</v>
      </c>
      <c r="O30" s="7" t="str">
        <f t="shared" si="7"/>
        <v>Amaravatiis in Andhra Pradesh</v>
      </c>
      <c r="P30" s="7" t="str">
        <f t="shared" si="8"/>
        <v>Startup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1">
        <v>41662.0</v>
      </c>
      <c r="B31" s="7" t="s">
        <v>119</v>
      </c>
      <c r="C31" s="7" t="s">
        <v>63</v>
      </c>
      <c r="D31" s="7" t="s">
        <v>64</v>
      </c>
      <c r="E31" s="7">
        <v>10.0</v>
      </c>
      <c r="F31" s="9">
        <v>3.358E7</v>
      </c>
      <c r="G31" s="7" t="str">
        <f t="shared" si="1"/>
        <v>Thursday</v>
      </c>
      <c r="H31" s="7" t="str">
        <f t="shared" si="2"/>
        <v>January</v>
      </c>
      <c r="I31" s="7" t="str">
        <f t="shared" si="3"/>
        <v>2014</v>
      </c>
      <c r="J31" s="7">
        <f t="shared" si="4"/>
        <v>33580000</v>
      </c>
      <c r="K31" s="7" t="str">
        <f>IFERROR(__xludf.DUMMYFUNCTION("SPLIT(C31,""-"")"),"HQ")</f>
        <v>HQ</v>
      </c>
      <c r="L31" s="7" t="str">
        <f>IFERROR(__xludf.DUMMYFUNCTION("""COMPUTED_VALUE""")," Mumbai")</f>
        <v> Mumbai</v>
      </c>
      <c r="M31" s="7" t="str">
        <f t="shared" si="5"/>
        <v>Mumbai</v>
      </c>
      <c r="N31" s="10" t="str">
        <f t="shared" si="6"/>
        <v>Life Balance Financial's headquarter is in Mumbai</v>
      </c>
      <c r="O31" s="7" t="str">
        <f t="shared" si="7"/>
        <v>Mumbaiis in Maharashtra</v>
      </c>
      <c r="P31" s="7" t="str">
        <f t="shared" si="8"/>
        <v>Established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11">
        <v>42444.0</v>
      </c>
      <c r="B32" s="7" t="s">
        <v>120</v>
      </c>
      <c r="C32" s="7" t="s">
        <v>23</v>
      </c>
      <c r="D32" s="7" t="s">
        <v>24</v>
      </c>
      <c r="E32" s="7">
        <v>8.0</v>
      </c>
      <c r="F32" s="12" t="s">
        <v>121</v>
      </c>
      <c r="G32" s="7" t="str">
        <f t="shared" si="1"/>
        <v>Tuesday</v>
      </c>
      <c r="H32" s="7" t="str">
        <f t="shared" si="2"/>
        <v>March</v>
      </c>
      <c r="I32" s="7" t="str">
        <f t="shared" si="3"/>
        <v>2016</v>
      </c>
      <c r="J32" s="7">
        <f t="shared" si="4"/>
        <v>36400000</v>
      </c>
      <c r="K32" s="7" t="str">
        <f>IFERROR(__xludf.DUMMYFUNCTION("SPLIT(C32,""-"")"),"HQ")</f>
        <v>HQ</v>
      </c>
      <c r="L32" s="7" t="str">
        <f>IFERROR(__xludf.DUMMYFUNCTION("""COMPUTED_VALUE""")," Dispur")</f>
        <v> Dispur</v>
      </c>
      <c r="M32" s="7" t="str">
        <f t="shared" si="5"/>
        <v>Dispur</v>
      </c>
      <c r="N32" s="10" t="str">
        <f t="shared" si="6"/>
        <v>The Money Wagon's headquarter is in Dispur</v>
      </c>
      <c r="O32" s="7" t="str">
        <f t="shared" si="7"/>
        <v>Dispuris in Assam</v>
      </c>
      <c r="P32" s="7" t="str">
        <f t="shared" si="8"/>
        <v>Established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13" t="s">
        <v>122</v>
      </c>
      <c r="B33" s="7" t="s">
        <v>123</v>
      </c>
      <c r="C33" s="7" t="s">
        <v>26</v>
      </c>
      <c r="D33" s="7" t="s">
        <v>27</v>
      </c>
      <c r="E33" s="7">
        <v>2.0</v>
      </c>
      <c r="F33" s="9">
        <v>3.564E7</v>
      </c>
      <c r="G33" s="7" t="str">
        <f t="shared" si="1"/>
        <v>Saturday</v>
      </c>
      <c r="H33" s="7" t="str">
        <f t="shared" si="2"/>
        <v>November</v>
      </c>
      <c r="I33" s="7" t="str">
        <f t="shared" si="3"/>
        <v>2022</v>
      </c>
      <c r="J33" s="7">
        <f t="shared" si="4"/>
        <v>35640000</v>
      </c>
      <c r="K33" s="7" t="str">
        <f>IFERROR(__xludf.DUMMYFUNCTION("SPLIT(C33,""-"")"),"HQ")</f>
        <v>HQ</v>
      </c>
      <c r="L33" s="7" t="str">
        <f>IFERROR(__xludf.DUMMYFUNCTION("""COMPUTED_VALUE""")," Patna")</f>
        <v> Patna</v>
      </c>
      <c r="M33" s="7" t="str">
        <f t="shared" si="5"/>
        <v>Patna</v>
      </c>
      <c r="N33" s="10" t="str">
        <f t="shared" si="6"/>
        <v>Capital Wisdom Group's headquarter is in Patna</v>
      </c>
      <c r="O33" s="7" t="str">
        <f t="shared" si="7"/>
        <v>Patnais in Bihar</v>
      </c>
      <c r="P33" s="7" t="str">
        <f t="shared" si="8"/>
        <v>Startup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11">
        <v>42941.0</v>
      </c>
      <c r="B34" s="7" t="s">
        <v>124</v>
      </c>
      <c r="C34" s="7" t="s">
        <v>52</v>
      </c>
      <c r="D34" s="7" t="s">
        <v>53</v>
      </c>
      <c r="E34" s="7">
        <v>7.0</v>
      </c>
      <c r="F34" s="9">
        <v>3.82E7</v>
      </c>
      <c r="G34" s="7" t="str">
        <f t="shared" si="1"/>
        <v>Tuesday</v>
      </c>
      <c r="H34" s="7" t="str">
        <f t="shared" si="2"/>
        <v>July</v>
      </c>
      <c r="I34" s="7" t="str">
        <f t="shared" si="3"/>
        <v>2017</v>
      </c>
      <c r="J34" s="7">
        <f t="shared" si="4"/>
        <v>38200000</v>
      </c>
      <c r="K34" s="7" t="str">
        <f>IFERROR(__xludf.DUMMYFUNCTION("SPLIT(C34,""-"")"),"HQ")</f>
        <v>HQ</v>
      </c>
      <c r="L34" s="7" t="str">
        <f>IFERROR(__xludf.DUMMYFUNCTION("""COMPUTED_VALUE""")," Bangalore")</f>
        <v> Bangalore</v>
      </c>
      <c r="M34" s="7" t="str">
        <f t="shared" si="5"/>
        <v>Bangalore</v>
      </c>
      <c r="N34" s="10" t="str">
        <f t="shared" si="6"/>
        <v>Fiscal Freaks's headquarter is in Bangalore</v>
      </c>
      <c r="O34" s="7" t="str">
        <f t="shared" si="7"/>
        <v>Bangaloreis in Karnataka</v>
      </c>
      <c r="P34" s="7" t="str">
        <f t="shared" si="8"/>
        <v>Established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13" t="s">
        <v>125</v>
      </c>
      <c r="B35" s="7" t="s">
        <v>126</v>
      </c>
      <c r="C35" s="7" t="s">
        <v>34</v>
      </c>
      <c r="D35" s="7" t="s">
        <v>35</v>
      </c>
      <c r="E35" s="7">
        <v>2.0</v>
      </c>
      <c r="F35" s="9">
        <v>3.768E7</v>
      </c>
      <c r="G35" s="7" t="str">
        <f t="shared" si="1"/>
        <v>Saturday</v>
      </c>
      <c r="H35" s="7" t="str">
        <f t="shared" si="2"/>
        <v>July</v>
      </c>
      <c r="I35" s="7" t="str">
        <f t="shared" si="3"/>
        <v>2022</v>
      </c>
      <c r="J35" s="7">
        <f t="shared" si="4"/>
        <v>37680000</v>
      </c>
      <c r="K35" s="7" t="str">
        <f>IFERROR(__xludf.DUMMYFUNCTION("SPLIT(C35,""-"")"),"HQ")</f>
        <v>HQ</v>
      </c>
      <c r="L35" s="7" t="str">
        <f>IFERROR(__xludf.DUMMYFUNCTION("""COMPUTED_VALUE""")," Panaji")</f>
        <v> Panaji</v>
      </c>
      <c r="M35" s="7" t="str">
        <f t="shared" si="5"/>
        <v>Panaji</v>
      </c>
      <c r="N35" s="10" t="str">
        <f t="shared" si="6"/>
        <v>Fred Financial's headquarter is in Panaji</v>
      </c>
      <c r="O35" s="7" t="str">
        <f t="shared" si="7"/>
        <v>Panajiis in Goa</v>
      </c>
      <c r="P35" s="7" t="str">
        <f t="shared" si="8"/>
        <v>Startup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11">
        <v>40134.0</v>
      </c>
      <c r="B36" s="7" t="s">
        <v>127</v>
      </c>
      <c r="C36" s="7" t="s">
        <v>38</v>
      </c>
      <c r="D36" s="7" t="s">
        <v>39</v>
      </c>
      <c r="E36" s="7">
        <v>15.0</v>
      </c>
      <c r="F36" s="9">
        <v>3.782E7</v>
      </c>
      <c r="G36" s="7" t="str">
        <f t="shared" si="1"/>
        <v>Tuesday</v>
      </c>
      <c r="H36" s="7" t="str">
        <f t="shared" si="2"/>
        <v>November</v>
      </c>
      <c r="I36" s="7" t="str">
        <f t="shared" si="3"/>
        <v>2009</v>
      </c>
      <c r="J36" s="7">
        <f t="shared" si="4"/>
        <v>37820000</v>
      </c>
      <c r="K36" s="7" t="str">
        <f>IFERROR(__xludf.DUMMYFUNCTION("SPLIT(C36,""-"")"),"HQ")</f>
        <v>HQ</v>
      </c>
      <c r="L36" s="7" t="str">
        <f>IFERROR(__xludf.DUMMYFUNCTION("""COMPUTED_VALUE""")," Gandhinagar")</f>
        <v> Gandhinagar</v>
      </c>
      <c r="M36" s="7" t="str">
        <f t="shared" si="5"/>
        <v>Gandhinagar</v>
      </c>
      <c r="N36" s="10" t="str">
        <f t="shared" si="6"/>
        <v>Voltage Wealth Management's headquarter is in Gandhinagar</v>
      </c>
      <c r="O36" s="7" t="str">
        <f t="shared" si="7"/>
        <v>Gandhinagaris in Gujarat</v>
      </c>
      <c r="P36" s="7" t="str">
        <f t="shared" si="8"/>
        <v>Established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11">
        <v>39870.0</v>
      </c>
      <c r="B37" s="7" t="s">
        <v>128</v>
      </c>
      <c r="C37" s="7" t="s">
        <v>42</v>
      </c>
      <c r="D37" s="7" t="s">
        <v>43</v>
      </c>
      <c r="E37" s="7">
        <v>15.0</v>
      </c>
      <c r="F37" s="9">
        <v>8.29E7</v>
      </c>
      <c r="G37" s="7" t="str">
        <f t="shared" si="1"/>
        <v>Thursday</v>
      </c>
      <c r="H37" s="7" t="str">
        <f t="shared" si="2"/>
        <v>February</v>
      </c>
      <c r="I37" s="7" t="str">
        <f t="shared" si="3"/>
        <v>2009</v>
      </c>
      <c r="J37" s="7">
        <f t="shared" si="4"/>
        <v>82900000</v>
      </c>
      <c r="K37" s="7" t="str">
        <f>IFERROR(__xludf.DUMMYFUNCTION("SPLIT(C37,""-"")"),"HQ")</f>
        <v>HQ</v>
      </c>
      <c r="L37" s="7" t="str">
        <f>IFERROR(__xludf.DUMMYFUNCTION("""COMPUTED_VALUE""")," Chandigarh")</f>
        <v> Chandigarh</v>
      </c>
      <c r="M37" s="7" t="str">
        <f t="shared" si="5"/>
        <v>Chandigarh</v>
      </c>
      <c r="N37" s="10" t="str">
        <f t="shared" si="6"/>
        <v>Round Trip Wealth's headquarter is in Chandigarh</v>
      </c>
      <c r="O37" s="7" t="str">
        <f t="shared" si="7"/>
        <v>Chandigarhis in Haryana</v>
      </c>
      <c r="P37" s="7" t="str">
        <f t="shared" si="8"/>
        <v>Established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13" t="s">
        <v>129</v>
      </c>
      <c r="B38" s="7" t="s">
        <v>130</v>
      </c>
      <c r="C38" s="7" t="s">
        <v>45</v>
      </c>
      <c r="D38" s="7" t="s">
        <v>46</v>
      </c>
      <c r="E38" s="7">
        <v>12.0</v>
      </c>
      <c r="F38" s="9">
        <v>8.866E7</v>
      </c>
      <c r="G38" s="7" t="str">
        <f t="shared" si="1"/>
        <v>Saturday</v>
      </c>
      <c r="H38" s="7" t="str">
        <f t="shared" si="2"/>
        <v>August</v>
      </c>
      <c r="I38" s="7" t="str">
        <f t="shared" si="3"/>
        <v>2012</v>
      </c>
      <c r="J38" s="7">
        <f t="shared" si="4"/>
        <v>88660000</v>
      </c>
      <c r="K38" s="7" t="str">
        <f>IFERROR(__xludf.DUMMYFUNCTION("SPLIT(C38,""-"")"),"HQ")</f>
        <v>HQ</v>
      </c>
      <c r="L38" s="7" t="str">
        <f>IFERROR(__xludf.DUMMYFUNCTION("""COMPUTED_VALUE""")," Shimla")</f>
        <v> Shimla</v>
      </c>
      <c r="M38" s="7" t="str">
        <f t="shared" si="5"/>
        <v>Shimla</v>
      </c>
      <c r="N38" s="10" t="str">
        <f t="shared" si="6"/>
        <v>Wise Wealth Advisors's headquarter is in Shimla</v>
      </c>
      <c r="O38" s="7" t="str">
        <f t="shared" si="7"/>
        <v>Shimlais in Himachal Pradesh</v>
      </c>
      <c r="P38" s="7" t="str">
        <f t="shared" si="8"/>
        <v>Established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11">
        <v>42539.0</v>
      </c>
      <c r="B39" s="7" t="s">
        <v>131</v>
      </c>
      <c r="C39" s="7" t="s">
        <v>48</v>
      </c>
      <c r="D39" s="7" t="s">
        <v>49</v>
      </c>
      <c r="E39" s="7">
        <v>8.0</v>
      </c>
      <c r="F39" s="12" t="s">
        <v>132</v>
      </c>
      <c r="G39" s="7" t="str">
        <f t="shared" si="1"/>
        <v>Saturday</v>
      </c>
      <c r="H39" s="7" t="str">
        <f t="shared" si="2"/>
        <v>June</v>
      </c>
      <c r="I39" s="7" t="str">
        <f t="shared" si="3"/>
        <v>2016</v>
      </c>
      <c r="J39" s="7">
        <f t="shared" si="4"/>
        <v>86520000</v>
      </c>
      <c r="K39" s="7" t="str">
        <f>IFERROR(__xludf.DUMMYFUNCTION("SPLIT(C39,""-"")"),"HQ")</f>
        <v>HQ</v>
      </c>
      <c r="L39" s="7" t="str">
        <f>IFERROR(__xludf.DUMMYFUNCTION("""COMPUTED_VALUE""")," Ranchi")</f>
        <v> Ranchi</v>
      </c>
      <c r="M39" s="7" t="str">
        <f t="shared" si="5"/>
        <v>Ranchi</v>
      </c>
      <c r="N39" s="10" t="str">
        <f t="shared" si="6"/>
        <v>Royal Funds's headquarter is in Ranchi</v>
      </c>
      <c r="O39" s="7" t="str">
        <f t="shared" si="7"/>
        <v>Ranchiis in Jharkhand</v>
      </c>
      <c r="P39" s="7" t="str">
        <f t="shared" si="8"/>
        <v>Established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10">
        <v>40045.0</v>
      </c>
      <c r="B40" s="7" t="s">
        <v>133</v>
      </c>
      <c r="C40" s="7" t="s">
        <v>52</v>
      </c>
      <c r="D40" s="7" t="s">
        <v>53</v>
      </c>
      <c r="E40" s="7">
        <v>15.0</v>
      </c>
      <c r="F40" s="12" t="s">
        <v>134</v>
      </c>
      <c r="G40" s="7" t="str">
        <f t="shared" si="1"/>
        <v>Thursday</v>
      </c>
      <c r="H40" s="7" t="str">
        <f t="shared" si="2"/>
        <v>August</v>
      </c>
      <c r="I40" s="7" t="str">
        <f t="shared" si="3"/>
        <v>2009</v>
      </c>
      <c r="J40" s="7">
        <f t="shared" si="4"/>
        <v>83000000</v>
      </c>
      <c r="K40" s="7" t="str">
        <f>IFERROR(__xludf.DUMMYFUNCTION("SPLIT(C40,""-"")"),"HQ")</f>
        <v>HQ</v>
      </c>
      <c r="L40" s="7" t="str">
        <f>IFERROR(__xludf.DUMMYFUNCTION("""COMPUTED_VALUE""")," Bangalore")</f>
        <v> Bangalore</v>
      </c>
      <c r="M40" s="7" t="str">
        <f t="shared" si="5"/>
        <v>Bangalore</v>
      </c>
      <c r="N40" s="10" t="str">
        <f t="shared" si="6"/>
        <v>Secure Shares's headquarter is in Bangalore</v>
      </c>
      <c r="O40" s="7" t="str">
        <f t="shared" si="7"/>
        <v>Bangaloreis in Karnataka</v>
      </c>
      <c r="P40" s="7" t="str">
        <f t="shared" si="8"/>
        <v>Established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11">
        <v>40112.0</v>
      </c>
      <c r="B41" s="7" t="s">
        <v>135</v>
      </c>
      <c r="C41" s="7" t="s">
        <v>56</v>
      </c>
      <c r="D41" s="7" t="s">
        <v>57</v>
      </c>
      <c r="E41" s="7">
        <v>15.0</v>
      </c>
      <c r="F41" s="9">
        <v>8.29E7</v>
      </c>
      <c r="G41" s="7" t="str">
        <f t="shared" si="1"/>
        <v>Monday</v>
      </c>
      <c r="H41" s="7" t="str">
        <f t="shared" si="2"/>
        <v>October</v>
      </c>
      <c r="I41" s="7" t="str">
        <f t="shared" si="3"/>
        <v>2009</v>
      </c>
      <c r="J41" s="7">
        <f t="shared" si="4"/>
        <v>82900000</v>
      </c>
      <c r="K41" s="7" t="str">
        <f>IFERROR(__xludf.DUMMYFUNCTION("SPLIT(C41,""-"")"),"HQ")</f>
        <v>HQ</v>
      </c>
      <c r="L41" s="7" t="str">
        <f>IFERROR(__xludf.DUMMYFUNCTION("""COMPUTED_VALUE""")," Thiruvananthapuram")</f>
        <v> Thiruvananthapuram</v>
      </c>
      <c r="M41" s="7" t="str">
        <f t="shared" si="5"/>
        <v>Thiruvananthapuram</v>
      </c>
      <c r="N41" s="10" t="str">
        <f t="shared" si="6"/>
        <v>Royal Finance Group's headquarter is in Thiruvananthapuram</v>
      </c>
      <c r="O41" s="7" t="str">
        <f t="shared" si="7"/>
        <v>Thiruvananthapuramis in Kerala</v>
      </c>
      <c r="P41" s="7" t="str">
        <f t="shared" si="8"/>
        <v>Established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11">
        <v>40166.0</v>
      </c>
      <c r="B42" s="7" t="s">
        <v>136</v>
      </c>
      <c r="C42" s="7" t="s">
        <v>59</v>
      </c>
      <c r="D42" s="7" t="s">
        <v>60</v>
      </c>
      <c r="E42" s="7">
        <v>15.0</v>
      </c>
      <c r="F42" s="9">
        <v>8.912E7</v>
      </c>
      <c r="G42" s="7" t="str">
        <f t="shared" si="1"/>
        <v>Saturday</v>
      </c>
      <c r="H42" s="7" t="str">
        <f t="shared" si="2"/>
        <v>December</v>
      </c>
      <c r="I42" s="7" t="str">
        <f t="shared" si="3"/>
        <v>2009</v>
      </c>
      <c r="J42" s="7">
        <f t="shared" si="4"/>
        <v>89120000</v>
      </c>
      <c r="K42" s="7" t="str">
        <f>IFERROR(__xludf.DUMMYFUNCTION("SPLIT(C42,""-"")"),"HQ")</f>
        <v>HQ</v>
      </c>
      <c r="L42" s="7" t="str">
        <f>IFERROR(__xludf.DUMMYFUNCTION("""COMPUTED_VALUE""")," Bhopal")</f>
        <v> Bhopal</v>
      </c>
      <c r="M42" s="7" t="str">
        <f t="shared" si="5"/>
        <v>Bhopal</v>
      </c>
      <c r="N42" s="10" t="str">
        <f t="shared" si="6"/>
        <v>Crypted's headquarter is in Bhopal</v>
      </c>
      <c r="O42" s="7" t="str">
        <f t="shared" si="7"/>
        <v>Bhopalis in Madhya Pradesh</v>
      </c>
      <c r="P42" s="7" t="str">
        <f t="shared" si="8"/>
        <v>Established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11">
        <v>44953.0</v>
      </c>
      <c r="B43" s="7" t="s">
        <v>137</v>
      </c>
      <c r="C43" s="7" t="s">
        <v>63</v>
      </c>
      <c r="D43" s="7" t="s">
        <v>64</v>
      </c>
      <c r="E43" s="7">
        <v>1.0</v>
      </c>
      <c r="F43" s="15">
        <v>5.332E7</v>
      </c>
      <c r="G43" s="7" t="str">
        <f t="shared" si="1"/>
        <v>Friday</v>
      </c>
      <c r="H43" s="7" t="str">
        <f t="shared" si="2"/>
        <v>January</v>
      </c>
      <c r="I43" s="7" t="str">
        <f t="shared" si="3"/>
        <v>2023</v>
      </c>
      <c r="J43" s="7">
        <f t="shared" si="4"/>
        <v>53320000</v>
      </c>
      <c r="K43" s="7" t="str">
        <f>IFERROR(__xludf.DUMMYFUNCTION("SPLIT(C43,""-"")"),"HQ")</f>
        <v>HQ</v>
      </c>
      <c r="L43" s="7" t="str">
        <f>IFERROR(__xludf.DUMMYFUNCTION("""COMPUTED_VALUE""")," Mumbai")</f>
        <v> Mumbai</v>
      </c>
      <c r="M43" s="7" t="str">
        <f t="shared" si="5"/>
        <v>Mumbai</v>
      </c>
      <c r="N43" s="10" t="str">
        <f t="shared" si="6"/>
        <v>Abundant Wealth Allies's headquarter is in Mumbai</v>
      </c>
      <c r="O43" s="7" t="str">
        <f t="shared" si="7"/>
        <v>Mumbaiis in Maharashtra</v>
      </c>
      <c r="P43" s="7" t="str">
        <f t="shared" si="8"/>
        <v>Startup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11">
        <v>43189.0</v>
      </c>
      <c r="B44" s="7" t="s">
        <v>138</v>
      </c>
      <c r="C44" s="7" t="s">
        <v>68</v>
      </c>
      <c r="D44" s="7" t="s">
        <v>69</v>
      </c>
      <c r="E44" s="7">
        <v>6.0</v>
      </c>
      <c r="F44" s="9">
        <v>8.81E7</v>
      </c>
      <c r="G44" s="7" t="str">
        <f t="shared" si="1"/>
        <v>Friday</v>
      </c>
      <c r="H44" s="7" t="str">
        <f t="shared" si="2"/>
        <v>March</v>
      </c>
      <c r="I44" s="7" t="str">
        <f t="shared" si="3"/>
        <v>2018</v>
      </c>
      <c r="J44" s="7">
        <f t="shared" si="4"/>
        <v>88100000</v>
      </c>
      <c r="K44" s="7" t="str">
        <f>IFERROR(__xludf.DUMMYFUNCTION("SPLIT(C44,""-"")"),"HQ")</f>
        <v>HQ</v>
      </c>
      <c r="L44" s="7" t="str">
        <f>IFERROR(__xludf.DUMMYFUNCTION("""COMPUTED_VALUE""")," Imphal")</f>
        <v> Imphal</v>
      </c>
      <c r="M44" s="7" t="str">
        <f t="shared" si="5"/>
        <v>Imphal</v>
      </c>
      <c r="N44" s="10" t="str">
        <f t="shared" si="6"/>
        <v>Digital Finance's headquarter is in Imphal</v>
      </c>
      <c r="O44" s="7" t="str">
        <f t="shared" si="7"/>
        <v>Imphalis in Manipur</v>
      </c>
      <c r="P44" s="7" t="str">
        <f t="shared" si="8"/>
        <v>Established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13" t="s">
        <v>139</v>
      </c>
      <c r="B45" s="7" t="s">
        <v>140</v>
      </c>
      <c r="C45" s="7" t="s">
        <v>72</v>
      </c>
      <c r="D45" s="7" t="s">
        <v>73</v>
      </c>
      <c r="E45" s="7">
        <v>5.0</v>
      </c>
      <c r="F45" s="15">
        <v>5.592E7</v>
      </c>
      <c r="G45" s="7" t="str">
        <f t="shared" si="1"/>
        <v>Thursday</v>
      </c>
      <c r="H45" s="7" t="str">
        <f t="shared" si="2"/>
        <v>September</v>
      </c>
      <c r="I45" s="7" t="str">
        <f t="shared" si="3"/>
        <v>2019</v>
      </c>
      <c r="J45" s="7">
        <f t="shared" si="4"/>
        <v>55920000</v>
      </c>
      <c r="K45" s="7" t="str">
        <f>IFERROR(__xludf.DUMMYFUNCTION("SPLIT(C45,""-"")"),"HQ")</f>
        <v>HQ</v>
      </c>
      <c r="L45" s="7" t="str">
        <f>IFERROR(__xludf.DUMMYFUNCTION("""COMPUTED_VALUE""")," Shillong")</f>
        <v> Shillong</v>
      </c>
      <c r="M45" s="7" t="str">
        <f t="shared" si="5"/>
        <v>Shillong</v>
      </c>
      <c r="N45" s="10" t="str">
        <f t="shared" si="6"/>
        <v>Century Financial Group's headquarter is in Shillong</v>
      </c>
      <c r="O45" s="7" t="str">
        <f t="shared" si="7"/>
        <v>Shillongis in Meghalaya</v>
      </c>
      <c r="P45" s="7" t="str">
        <f t="shared" si="8"/>
        <v>Startup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13" t="s">
        <v>141</v>
      </c>
      <c r="B46" s="7" t="s">
        <v>142</v>
      </c>
      <c r="C46" s="7" t="s">
        <v>75</v>
      </c>
      <c r="D46" s="7" t="s">
        <v>76</v>
      </c>
      <c r="E46" s="7">
        <v>8.0</v>
      </c>
      <c r="F46" s="9">
        <v>8.65E7</v>
      </c>
      <c r="G46" s="7" t="str">
        <f t="shared" si="1"/>
        <v>Thursday</v>
      </c>
      <c r="H46" s="7" t="str">
        <f t="shared" si="2"/>
        <v>January</v>
      </c>
      <c r="I46" s="7" t="str">
        <f t="shared" si="3"/>
        <v>2016</v>
      </c>
      <c r="J46" s="7">
        <f t="shared" si="4"/>
        <v>86500000</v>
      </c>
      <c r="K46" s="7" t="str">
        <f>IFERROR(__xludf.DUMMYFUNCTION("SPLIT(C46,""-"")"),"HQ")</f>
        <v>HQ</v>
      </c>
      <c r="L46" s="7" t="str">
        <f>IFERROR(__xludf.DUMMYFUNCTION("""COMPUTED_VALUE""")," Aizawl")</f>
        <v> Aizawl</v>
      </c>
      <c r="M46" s="7" t="str">
        <f t="shared" si="5"/>
        <v>Aizawl</v>
      </c>
      <c r="N46" s="10" t="str">
        <f t="shared" si="6"/>
        <v>Investioglobal Banking Co's headquarter is in Aizawl</v>
      </c>
      <c r="O46" s="7" t="str">
        <f t="shared" si="7"/>
        <v>Aizawlis in Mizoram</v>
      </c>
      <c r="P46" s="7" t="str">
        <f t="shared" si="8"/>
        <v>Established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14">
        <v>43899.0</v>
      </c>
      <c r="B47" s="7" t="s">
        <v>143</v>
      </c>
      <c r="C47" s="7" t="s">
        <v>78</v>
      </c>
      <c r="D47" s="7" t="s">
        <v>79</v>
      </c>
      <c r="E47" s="7">
        <v>4.0</v>
      </c>
      <c r="F47" s="15">
        <v>4.784E7</v>
      </c>
      <c r="G47" s="7" t="str">
        <f t="shared" si="1"/>
        <v>Monday</v>
      </c>
      <c r="H47" s="7" t="str">
        <f t="shared" si="2"/>
        <v>March</v>
      </c>
      <c r="I47" s="7" t="str">
        <f t="shared" si="3"/>
        <v>2020</v>
      </c>
      <c r="J47" s="7">
        <f t="shared" si="4"/>
        <v>47840000</v>
      </c>
      <c r="K47" s="7" t="str">
        <f>IFERROR(__xludf.DUMMYFUNCTION("SPLIT(C47,""-"")"),"HQ")</f>
        <v>HQ</v>
      </c>
      <c r="L47" s="7" t="str">
        <f>IFERROR(__xludf.DUMMYFUNCTION("""COMPUTED_VALUE""")," Kohima")</f>
        <v> Kohima</v>
      </c>
      <c r="M47" s="7" t="str">
        <f t="shared" si="5"/>
        <v>Kohima</v>
      </c>
      <c r="N47" s="10" t="str">
        <f t="shared" si="6"/>
        <v>Corporatus Banking's headquarter is in Kohima</v>
      </c>
      <c r="O47" s="7" t="str">
        <f t="shared" si="7"/>
        <v>Kohimais in Nagaland</v>
      </c>
      <c r="P47" s="7" t="str">
        <f t="shared" si="8"/>
        <v>Startup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11">
        <v>42336.0</v>
      </c>
      <c r="B48" s="7" t="s">
        <v>144</v>
      </c>
      <c r="C48" s="7" t="s">
        <v>82</v>
      </c>
      <c r="D48" s="7" t="s">
        <v>83</v>
      </c>
      <c r="E48" s="7">
        <v>9.0</v>
      </c>
      <c r="F48" s="9">
        <v>8.476E7</v>
      </c>
      <c r="G48" s="7" t="str">
        <f t="shared" si="1"/>
        <v>Saturday</v>
      </c>
      <c r="H48" s="7" t="str">
        <f t="shared" si="2"/>
        <v>November</v>
      </c>
      <c r="I48" s="7" t="str">
        <f t="shared" si="3"/>
        <v>2015</v>
      </c>
      <c r="J48" s="7">
        <f t="shared" si="4"/>
        <v>84760000</v>
      </c>
      <c r="K48" s="7" t="str">
        <f>IFERROR(__xludf.DUMMYFUNCTION("SPLIT(C48,""-"")"),"HQ")</f>
        <v>HQ</v>
      </c>
      <c r="L48" s="7" t="str">
        <f>IFERROR(__xludf.DUMMYFUNCTION("""COMPUTED_VALUE""")," Bhubaneshwar")</f>
        <v> Bhubaneshwar</v>
      </c>
      <c r="M48" s="7" t="str">
        <f t="shared" si="5"/>
        <v>Bhubaneshwar</v>
      </c>
      <c r="N48" s="10" t="str">
        <f t="shared" si="6"/>
        <v>Rapidtransfer's headquarter is in Bhubaneshwar</v>
      </c>
      <c r="O48" s="7" t="str">
        <f t="shared" si="7"/>
        <v>Bhubaneshwaris in Odisha</v>
      </c>
      <c r="P48" s="7" t="str">
        <f t="shared" si="8"/>
        <v>Established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14">
        <v>42706.0</v>
      </c>
      <c r="B49" s="7" t="s">
        <v>145</v>
      </c>
      <c r="C49" s="7" t="s">
        <v>42</v>
      </c>
      <c r="D49" s="7" t="s">
        <v>43</v>
      </c>
      <c r="E49" s="7">
        <v>8.0</v>
      </c>
      <c r="F49" s="12" t="s">
        <v>146</v>
      </c>
      <c r="G49" s="7" t="str">
        <f t="shared" si="1"/>
        <v>Friday</v>
      </c>
      <c r="H49" s="7" t="str">
        <f t="shared" si="2"/>
        <v>December</v>
      </c>
      <c r="I49" s="7" t="str">
        <f t="shared" si="3"/>
        <v>2016</v>
      </c>
      <c r="J49" s="7">
        <f t="shared" si="4"/>
        <v>81830000</v>
      </c>
      <c r="K49" s="7" t="str">
        <f>IFERROR(__xludf.DUMMYFUNCTION("SPLIT(C49,""-"")"),"HQ")</f>
        <v>HQ</v>
      </c>
      <c r="L49" s="7" t="str">
        <f>IFERROR(__xludf.DUMMYFUNCTION("""COMPUTED_VALUE""")," Chandigarh")</f>
        <v> Chandigarh</v>
      </c>
      <c r="M49" s="7" t="str">
        <f t="shared" si="5"/>
        <v>Chandigarh</v>
      </c>
      <c r="N49" s="10" t="str">
        <f t="shared" si="6"/>
        <v>Champion Wealth Professionals's headquarter is in Chandigarh</v>
      </c>
      <c r="O49" s="7" t="str">
        <f t="shared" si="7"/>
        <v>Chandigarhis in Haryana</v>
      </c>
      <c r="P49" s="7" t="str">
        <f t="shared" si="8"/>
        <v>Established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13" t="s">
        <v>147</v>
      </c>
      <c r="B50" s="7" t="s">
        <v>148</v>
      </c>
      <c r="C50" s="7" t="s">
        <v>87</v>
      </c>
      <c r="D50" s="7" t="s">
        <v>88</v>
      </c>
      <c r="E50" s="7">
        <v>3.0</v>
      </c>
      <c r="F50" s="15">
        <v>4.028E7</v>
      </c>
      <c r="G50" s="7" t="str">
        <f t="shared" si="1"/>
        <v>Thursday</v>
      </c>
      <c r="H50" s="7" t="str">
        <f t="shared" si="2"/>
        <v>March</v>
      </c>
      <c r="I50" s="7" t="str">
        <f t="shared" si="3"/>
        <v>2021</v>
      </c>
      <c r="J50" s="7">
        <f t="shared" si="4"/>
        <v>40280000</v>
      </c>
      <c r="K50" s="7" t="str">
        <f>IFERROR(__xludf.DUMMYFUNCTION("SPLIT(C50,""-"")"),"HQ")</f>
        <v>HQ</v>
      </c>
      <c r="L50" s="7" t="str">
        <f>IFERROR(__xludf.DUMMYFUNCTION("""COMPUTED_VALUE""")," Jaipur")</f>
        <v> Jaipur</v>
      </c>
      <c r="M50" s="7" t="str">
        <f t="shared" si="5"/>
        <v>Jaipur</v>
      </c>
      <c r="N50" s="10" t="str">
        <f t="shared" si="6"/>
        <v>Wesley&amp;Jones Financial Co's headquarter is in Jaipur</v>
      </c>
      <c r="O50" s="7" t="str">
        <f t="shared" si="7"/>
        <v>Jaipuris in Rajasthan</v>
      </c>
      <c r="P50" s="7" t="str">
        <f t="shared" si="8"/>
        <v>Startup</v>
      </c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13" t="s">
        <v>149</v>
      </c>
      <c r="B51" s="7" t="s">
        <v>150</v>
      </c>
      <c r="C51" s="7" t="s">
        <v>91</v>
      </c>
      <c r="D51" s="7" t="s">
        <v>92</v>
      </c>
      <c r="E51" s="7">
        <v>7.0</v>
      </c>
      <c r="F51" s="9">
        <v>8.47E7</v>
      </c>
      <c r="G51" s="7" t="str">
        <f t="shared" si="1"/>
        <v>Tuesday</v>
      </c>
      <c r="H51" s="7" t="str">
        <f t="shared" si="2"/>
        <v>June</v>
      </c>
      <c r="I51" s="7" t="str">
        <f t="shared" si="3"/>
        <v>2017</v>
      </c>
      <c r="J51" s="7">
        <f t="shared" si="4"/>
        <v>84700000</v>
      </c>
      <c r="K51" s="7" t="str">
        <f>IFERROR(__xludf.DUMMYFUNCTION("SPLIT(C51,""-"")"),"HQ")</f>
        <v>HQ</v>
      </c>
      <c r="L51" s="7" t="str">
        <f>IFERROR(__xludf.DUMMYFUNCTION("""COMPUTED_VALUE""")," Gangtok")</f>
        <v> Gangtok</v>
      </c>
      <c r="M51" s="7" t="str">
        <f t="shared" si="5"/>
        <v>Gangtok</v>
      </c>
      <c r="N51" s="10" t="str">
        <f t="shared" si="6"/>
        <v>Full Fledged Financial's headquarter is in Gangtok</v>
      </c>
      <c r="O51" s="7" t="str">
        <f t="shared" si="7"/>
        <v>Gangtokis in Sikkim</v>
      </c>
      <c r="P51" s="7" t="str">
        <f t="shared" si="8"/>
        <v>Established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13" t="s">
        <v>151</v>
      </c>
      <c r="B52" s="7" t="s">
        <v>152</v>
      </c>
      <c r="C52" s="7" t="s">
        <v>94</v>
      </c>
      <c r="D52" s="7" t="s">
        <v>95</v>
      </c>
      <c r="E52" s="7">
        <v>2.0</v>
      </c>
      <c r="F52" s="15">
        <v>3.107E7</v>
      </c>
      <c r="G52" s="7" t="str">
        <f t="shared" si="1"/>
        <v>Thursday</v>
      </c>
      <c r="H52" s="7" t="str">
        <f t="shared" si="2"/>
        <v>September</v>
      </c>
      <c r="I52" s="7" t="str">
        <f t="shared" si="3"/>
        <v>2022</v>
      </c>
      <c r="J52" s="7">
        <f t="shared" si="4"/>
        <v>31070000</v>
      </c>
      <c r="K52" s="7" t="str">
        <f>IFERROR(__xludf.DUMMYFUNCTION("SPLIT(C52,""-"")"),"HQ")</f>
        <v>HQ</v>
      </c>
      <c r="L52" s="7" t="str">
        <f>IFERROR(__xludf.DUMMYFUNCTION("""COMPUTED_VALUE""")," Chennai")</f>
        <v> Chennai</v>
      </c>
      <c r="M52" s="7" t="str">
        <f t="shared" si="5"/>
        <v>Chennai</v>
      </c>
      <c r="N52" s="10" t="str">
        <f t="shared" si="6"/>
        <v>The Money Guru's headquarter is in Chennai</v>
      </c>
      <c r="O52" s="7" t="str">
        <f t="shared" si="7"/>
        <v>Chennaiis in Tamil Nadu</v>
      </c>
      <c r="P52" s="7" t="str">
        <f t="shared" si="8"/>
        <v>Startup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13" t="s">
        <v>153</v>
      </c>
      <c r="B53" s="7" t="s">
        <v>154</v>
      </c>
      <c r="C53" s="7" t="s">
        <v>98</v>
      </c>
      <c r="D53" s="7" t="s">
        <v>99</v>
      </c>
      <c r="E53" s="7">
        <v>10.0</v>
      </c>
      <c r="F53" s="9">
        <v>8.312E7</v>
      </c>
      <c r="G53" s="7" t="str">
        <f t="shared" si="1"/>
        <v>Wednesday</v>
      </c>
      <c r="H53" s="7" t="str">
        <f t="shared" si="2"/>
        <v>December</v>
      </c>
      <c r="I53" s="7" t="str">
        <f t="shared" si="3"/>
        <v>2014</v>
      </c>
      <c r="J53" s="7">
        <f t="shared" si="4"/>
        <v>83120000</v>
      </c>
      <c r="K53" s="7" t="str">
        <f>IFERROR(__xludf.DUMMYFUNCTION("SPLIT(C53,""-"")"),"HQ")</f>
        <v>HQ</v>
      </c>
      <c r="L53" s="7" t="str">
        <f>IFERROR(__xludf.DUMMYFUNCTION("""COMPUTED_VALUE""")," Hyderabad")</f>
        <v> Hyderabad</v>
      </c>
      <c r="M53" s="7" t="str">
        <f t="shared" si="5"/>
        <v>Hyderabad</v>
      </c>
      <c r="N53" s="10" t="str">
        <f t="shared" si="6"/>
        <v>Black Fox Financial's headquarter is in Hyderabad</v>
      </c>
      <c r="O53" s="7" t="str">
        <f t="shared" si="7"/>
        <v>Hyderabadis in Telangana</v>
      </c>
      <c r="P53" s="7" t="str">
        <f t="shared" si="8"/>
        <v>Established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11">
        <v>45275.0</v>
      </c>
      <c r="B54" s="7" t="s">
        <v>155</v>
      </c>
      <c r="C54" s="7" t="s">
        <v>52</v>
      </c>
      <c r="D54" s="7" t="s">
        <v>53</v>
      </c>
      <c r="E54" s="7">
        <v>1.0</v>
      </c>
      <c r="F54" s="16" t="s">
        <v>156</v>
      </c>
      <c r="G54" s="7" t="str">
        <f t="shared" si="1"/>
        <v>Friday</v>
      </c>
      <c r="H54" s="7" t="str">
        <f t="shared" si="2"/>
        <v>December</v>
      </c>
      <c r="I54" s="7" t="str">
        <f t="shared" si="3"/>
        <v>2023</v>
      </c>
      <c r="J54" s="7">
        <f t="shared" si="4"/>
        <v>22430000</v>
      </c>
      <c r="K54" s="7" t="str">
        <f>IFERROR(__xludf.DUMMYFUNCTION("SPLIT(C54,""-"")"),"HQ")</f>
        <v>HQ</v>
      </c>
      <c r="L54" s="7" t="str">
        <f>IFERROR(__xludf.DUMMYFUNCTION("""COMPUTED_VALUE""")," Bangalore")</f>
        <v> Bangalore</v>
      </c>
      <c r="M54" s="7" t="str">
        <f t="shared" si="5"/>
        <v>Bangalore</v>
      </c>
      <c r="N54" s="10" t="str">
        <f t="shared" si="6"/>
        <v>Financially Fit Bootcamp's headquarter is in Bangalore</v>
      </c>
      <c r="O54" s="7" t="str">
        <f t="shared" si="7"/>
        <v>Bangaloreis in Karnataka</v>
      </c>
      <c r="P54" s="7" t="str">
        <f t="shared" si="8"/>
        <v>Startup</v>
      </c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11">
        <v>41292.0</v>
      </c>
      <c r="B55" s="7" t="s">
        <v>157</v>
      </c>
      <c r="C55" s="7" t="s">
        <v>107</v>
      </c>
      <c r="D55" s="7" t="s">
        <v>108</v>
      </c>
      <c r="E55" s="7">
        <v>11.0</v>
      </c>
      <c r="F55" s="12" t="s">
        <v>158</v>
      </c>
      <c r="G55" s="7" t="str">
        <f t="shared" si="1"/>
        <v>Friday</v>
      </c>
      <c r="H55" s="7" t="str">
        <f t="shared" si="2"/>
        <v>January</v>
      </c>
      <c r="I55" s="7" t="str">
        <f t="shared" si="3"/>
        <v>2013</v>
      </c>
      <c r="J55" s="7">
        <f t="shared" si="4"/>
        <v>84670000</v>
      </c>
      <c r="K55" s="7" t="str">
        <f>IFERROR(__xludf.DUMMYFUNCTION("SPLIT(C55,""-"")"),"HQ")</f>
        <v>HQ</v>
      </c>
      <c r="L55" s="7" t="str">
        <f>IFERROR(__xludf.DUMMYFUNCTION("""COMPUTED_VALUE""")," Dehradun")</f>
        <v> Dehradun</v>
      </c>
      <c r="M55" s="7" t="str">
        <f t="shared" si="5"/>
        <v>Dehradun</v>
      </c>
      <c r="N55" s="10" t="str">
        <f t="shared" si="6"/>
        <v>Life Goals Financial's headquarter is in Dehradun</v>
      </c>
      <c r="O55" s="7" t="str">
        <f t="shared" si="7"/>
        <v>Dehradunis in Uttarakhand</v>
      </c>
      <c r="P55" s="7" t="str">
        <f t="shared" si="8"/>
        <v>Established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11">
        <v>44641.0</v>
      </c>
      <c r="B56" s="7" t="s">
        <v>159</v>
      </c>
      <c r="C56" s="7" t="s">
        <v>111</v>
      </c>
      <c r="D56" s="7" t="s">
        <v>112</v>
      </c>
      <c r="E56" s="7">
        <v>2.0</v>
      </c>
      <c r="F56" s="16" t="s">
        <v>160</v>
      </c>
      <c r="G56" s="7" t="str">
        <f t="shared" si="1"/>
        <v>Monday</v>
      </c>
      <c r="H56" s="7" t="str">
        <f t="shared" si="2"/>
        <v>March</v>
      </c>
      <c r="I56" s="7" t="str">
        <f t="shared" si="3"/>
        <v>2022</v>
      </c>
      <c r="J56" s="7">
        <f t="shared" si="4"/>
        <v>53870000</v>
      </c>
      <c r="K56" s="7" t="str">
        <f>IFERROR(__xludf.DUMMYFUNCTION("SPLIT(C56,""-"")"),"HQ")</f>
        <v>HQ</v>
      </c>
      <c r="L56" s="7" t="str">
        <f>IFERROR(__xludf.DUMMYFUNCTION("""COMPUTED_VALUE""")," Lucknow")</f>
        <v> Lucknow</v>
      </c>
      <c r="M56" s="7" t="str">
        <f t="shared" si="5"/>
        <v>Lucknow</v>
      </c>
      <c r="N56" s="10" t="str">
        <f t="shared" si="6"/>
        <v>Online Financial Trust's headquarter is in Lucknow</v>
      </c>
      <c r="O56" s="7" t="str">
        <f t="shared" si="7"/>
        <v>Lucknowis in Uttar Pradesh</v>
      </c>
      <c r="P56" s="7" t="str">
        <f t="shared" si="8"/>
        <v>Startup</v>
      </c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11">
        <v>41418.0</v>
      </c>
      <c r="B57" s="7" t="s">
        <v>161</v>
      </c>
      <c r="C57" s="7" t="s">
        <v>115</v>
      </c>
      <c r="D57" s="7" t="s">
        <v>116</v>
      </c>
      <c r="E57" s="7">
        <v>11.0</v>
      </c>
      <c r="F57" s="12" t="s">
        <v>162</v>
      </c>
      <c r="G57" s="7" t="str">
        <f t="shared" si="1"/>
        <v>Friday</v>
      </c>
      <c r="H57" s="7" t="str">
        <f t="shared" si="2"/>
        <v>May</v>
      </c>
      <c r="I57" s="7" t="str">
        <f t="shared" si="3"/>
        <v>2013</v>
      </c>
      <c r="J57" s="7">
        <f t="shared" si="4"/>
        <v>81260000</v>
      </c>
      <c r="K57" s="7" t="str">
        <f>IFERROR(__xludf.DUMMYFUNCTION("SPLIT(C57,""-"")"),"HQ")</f>
        <v>HQ</v>
      </c>
      <c r="L57" s="7" t="str">
        <f>IFERROR(__xludf.DUMMYFUNCTION("""COMPUTED_VALUE""")," Kolkata")</f>
        <v> Kolkata</v>
      </c>
      <c r="M57" s="7" t="str">
        <f t="shared" si="5"/>
        <v>Kolkata</v>
      </c>
      <c r="N57" s="10" t="str">
        <f t="shared" si="6"/>
        <v>Fundwise Banking Co's headquarter is in Kolkata</v>
      </c>
      <c r="O57" s="7" t="str">
        <f t="shared" si="7"/>
        <v>Kolkatais in West Bengal</v>
      </c>
      <c r="P57" s="7" t="str">
        <f t="shared" si="8"/>
        <v>Established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11">
        <v>44769.0</v>
      </c>
      <c r="B58" s="7" t="s">
        <v>163</v>
      </c>
      <c r="C58" s="7" t="s">
        <v>17</v>
      </c>
      <c r="D58" s="7" t="s">
        <v>18</v>
      </c>
      <c r="E58" s="7">
        <v>2.0</v>
      </c>
      <c r="F58" s="9">
        <v>3.104E7</v>
      </c>
      <c r="G58" s="7" t="str">
        <f t="shared" si="1"/>
        <v>Wednesday</v>
      </c>
      <c r="H58" s="7" t="str">
        <f t="shared" si="2"/>
        <v>July</v>
      </c>
      <c r="I58" s="7" t="str">
        <f t="shared" si="3"/>
        <v>2022</v>
      </c>
      <c r="J58" s="7">
        <f t="shared" si="4"/>
        <v>31040000</v>
      </c>
      <c r="K58" s="7" t="str">
        <f>IFERROR(__xludf.DUMMYFUNCTION("SPLIT(C58,""-"")"),"HQ")</f>
        <v>HQ</v>
      </c>
      <c r="L58" s="7" t="str">
        <f>IFERROR(__xludf.DUMMYFUNCTION("""COMPUTED_VALUE""")," Amaravati")</f>
        <v> Amaravati</v>
      </c>
      <c r="M58" s="7" t="str">
        <f t="shared" si="5"/>
        <v>Amaravati</v>
      </c>
      <c r="N58" s="10" t="str">
        <f t="shared" si="6"/>
        <v>Wealth Controllers's headquarter is in Amaravati</v>
      </c>
      <c r="O58" s="7" t="str">
        <f t="shared" si="7"/>
        <v>Amaravatiis in Andhra Pradesh</v>
      </c>
      <c r="P58" s="7" t="str">
        <f t="shared" si="8"/>
        <v>Startup</v>
      </c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14">
        <v>43960.0</v>
      </c>
      <c r="B59" s="7" t="s">
        <v>164</v>
      </c>
      <c r="C59" s="7" t="s">
        <v>20</v>
      </c>
      <c r="D59" s="7" t="s">
        <v>21</v>
      </c>
      <c r="E59" s="7">
        <v>4.0</v>
      </c>
      <c r="F59" s="9">
        <v>3.141E7</v>
      </c>
      <c r="G59" s="7" t="str">
        <f t="shared" si="1"/>
        <v>Saturday</v>
      </c>
      <c r="H59" s="7" t="str">
        <f t="shared" si="2"/>
        <v>May</v>
      </c>
      <c r="I59" s="7" t="str">
        <f t="shared" si="3"/>
        <v>2020</v>
      </c>
      <c r="J59" s="7">
        <f t="shared" si="4"/>
        <v>31410000</v>
      </c>
      <c r="K59" s="7" t="str">
        <f>IFERROR(__xludf.DUMMYFUNCTION("SPLIT(C59,""-"")"),"HQ")</f>
        <v>HQ</v>
      </c>
      <c r="L59" s="7" t="str">
        <f>IFERROR(__xludf.DUMMYFUNCTION("""COMPUTED_VALUE""")," Itanagar")</f>
        <v> Itanagar</v>
      </c>
      <c r="M59" s="7" t="str">
        <f t="shared" si="5"/>
        <v>Itanagar</v>
      </c>
      <c r="N59" s="10" t="str">
        <f t="shared" si="6"/>
        <v>Swift Finance's headquarter is in Itanagar</v>
      </c>
      <c r="O59" s="7" t="str">
        <f t="shared" si="7"/>
        <v>Itanagaris in Arunachal Pradesh</v>
      </c>
      <c r="P59" s="7" t="str">
        <f t="shared" si="8"/>
        <v>Startup</v>
      </c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13" t="s">
        <v>165</v>
      </c>
      <c r="B60" s="7" t="s">
        <v>166</v>
      </c>
      <c r="C60" s="7" t="s">
        <v>63</v>
      </c>
      <c r="D60" s="7" t="s">
        <v>64</v>
      </c>
      <c r="E60" s="7">
        <v>1.0</v>
      </c>
      <c r="F60" s="9">
        <v>3.274E7</v>
      </c>
      <c r="G60" s="7" t="str">
        <f t="shared" si="1"/>
        <v>Saturday</v>
      </c>
      <c r="H60" s="7" t="str">
        <f t="shared" si="2"/>
        <v>November</v>
      </c>
      <c r="I60" s="7" t="str">
        <f t="shared" si="3"/>
        <v>2023</v>
      </c>
      <c r="J60" s="7">
        <f t="shared" si="4"/>
        <v>32740000</v>
      </c>
      <c r="K60" s="7" t="str">
        <f>IFERROR(__xludf.DUMMYFUNCTION("SPLIT(C60,""-"")"),"HQ")</f>
        <v>HQ</v>
      </c>
      <c r="L60" s="7" t="str">
        <f>IFERROR(__xludf.DUMMYFUNCTION("""COMPUTED_VALUE""")," Mumbai")</f>
        <v> Mumbai</v>
      </c>
      <c r="M60" s="7" t="str">
        <f t="shared" si="5"/>
        <v>Mumbai</v>
      </c>
      <c r="N60" s="10" t="str">
        <f t="shared" si="6"/>
        <v>Money Mentors's headquarter is in Mumbai</v>
      </c>
      <c r="O60" s="7" t="str">
        <f t="shared" si="7"/>
        <v>Mumbaiis in Maharashtra</v>
      </c>
      <c r="P60" s="7" t="str">
        <f t="shared" si="8"/>
        <v>Startup</v>
      </c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11">
        <v>39864.0</v>
      </c>
      <c r="B61" s="7" t="s">
        <v>167</v>
      </c>
      <c r="C61" s="7" t="s">
        <v>26</v>
      </c>
      <c r="D61" s="7" t="s">
        <v>27</v>
      </c>
      <c r="E61" s="7">
        <v>15.0</v>
      </c>
      <c r="F61" s="9">
        <v>3.357E7</v>
      </c>
      <c r="G61" s="7" t="str">
        <f t="shared" si="1"/>
        <v>Friday</v>
      </c>
      <c r="H61" s="7" t="str">
        <f t="shared" si="2"/>
        <v>February</v>
      </c>
      <c r="I61" s="7" t="str">
        <f t="shared" si="3"/>
        <v>2009</v>
      </c>
      <c r="J61" s="7">
        <f t="shared" si="4"/>
        <v>33570000</v>
      </c>
      <c r="K61" s="7" t="str">
        <f>IFERROR(__xludf.DUMMYFUNCTION("SPLIT(C61,""-"")"),"HQ")</f>
        <v>HQ</v>
      </c>
      <c r="L61" s="7" t="str">
        <f>IFERROR(__xludf.DUMMYFUNCTION("""COMPUTED_VALUE""")," Patna")</f>
        <v> Patna</v>
      </c>
      <c r="M61" s="7" t="str">
        <f t="shared" si="5"/>
        <v>Patna</v>
      </c>
      <c r="N61" s="10" t="str">
        <f t="shared" si="6"/>
        <v>Night Owl Financial's headquarter is in Patna</v>
      </c>
      <c r="O61" s="7" t="str">
        <f t="shared" si="7"/>
        <v>Patnais in Bihar</v>
      </c>
      <c r="P61" s="7" t="str">
        <f t="shared" si="8"/>
        <v>Established</v>
      </c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13" t="s">
        <v>168</v>
      </c>
      <c r="B62" s="7" t="s">
        <v>169</v>
      </c>
      <c r="C62" s="7" t="s">
        <v>30</v>
      </c>
      <c r="D62" s="7" t="s">
        <v>31</v>
      </c>
      <c r="E62" s="7">
        <v>11.0</v>
      </c>
      <c r="F62" s="9">
        <v>3.262E7</v>
      </c>
      <c r="G62" s="7" t="str">
        <f t="shared" si="1"/>
        <v>Thursday</v>
      </c>
      <c r="H62" s="7" t="str">
        <f t="shared" si="2"/>
        <v>April</v>
      </c>
      <c r="I62" s="7" t="str">
        <f t="shared" si="3"/>
        <v>2013</v>
      </c>
      <c r="J62" s="7">
        <f t="shared" si="4"/>
        <v>32620000</v>
      </c>
      <c r="K62" s="7" t="str">
        <f>IFERROR(__xludf.DUMMYFUNCTION("SPLIT(C62,""-"")"),"HQ")</f>
        <v>HQ</v>
      </c>
      <c r="L62" s="7" t="str">
        <f>IFERROR(__xludf.DUMMYFUNCTION("""COMPUTED_VALUE""")," Raipur")</f>
        <v> Raipur</v>
      </c>
      <c r="M62" s="7" t="str">
        <f t="shared" si="5"/>
        <v>Raipur</v>
      </c>
      <c r="N62" s="10" t="str">
        <f t="shared" si="6"/>
        <v>Smartly Financial Co's headquarter is in Raipur</v>
      </c>
      <c r="O62" s="7" t="str">
        <f t="shared" si="7"/>
        <v>Raipuris in Chhattisgarh</v>
      </c>
      <c r="P62" s="7" t="str">
        <f t="shared" si="8"/>
        <v>Established</v>
      </c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13" t="s">
        <v>170</v>
      </c>
      <c r="B63" s="7" t="s">
        <v>171</v>
      </c>
      <c r="C63" s="7" t="s">
        <v>34</v>
      </c>
      <c r="D63" s="7" t="s">
        <v>35</v>
      </c>
      <c r="E63" s="7">
        <v>12.0</v>
      </c>
      <c r="F63" s="9">
        <v>3.209E7</v>
      </c>
      <c r="G63" s="7" t="str">
        <f t="shared" si="1"/>
        <v>Thursday</v>
      </c>
      <c r="H63" s="7" t="str">
        <f t="shared" si="2"/>
        <v>December</v>
      </c>
      <c r="I63" s="7" t="str">
        <f t="shared" si="3"/>
        <v>2012</v>
      </c>
      <c r="J63" s="7">
        <f t="shared" si="4"/>
        <v>32090000</v>
      </c>
      <c r="K63" s="7" t="str">
        <f>IFERROR(__xludf.DUMMYFUNCTION("SPLIT(C63,""-"")"),"HQ")</f>
        <v>HQ</v>
      </c>
      <c r="L63" s="7" t="str">
        <f>IFERROR(__xludf.DUMMYFUNCTION("""COMPUTED_VALUE""")," Panaji")</f>
        <v> Panaji</v>
      </c>
      <c r="M63" s="7" t="str">
        <f t="shared" si="5"/>
        <v>Panaji</v>
      </c>
      <c r="N63" s="10" t="str">
        <f t="shared" si="6"/>
        <v>Family Funds's headquarter is in Panaji</v>
      </c>
      <c r="O63" s="7" t="str">
        <f t="shared" si="7"/>
        <v>Panajiis in Goa</v>
      </c>
      <c r="P63" s="7" t="str">
        <f t="shared" si="8"/>
        <v>Established</v>
      </c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11">
        <v>40045.0</v>
      </c>
      <c r="B64" s="7" t="s">
        <v>172</v>
      </c>
      <c r="C64" s="7" t="s">
        <v>52</v>
      </c>
      <c r="D64" s="7" t="s">
        <v>53</v>
      </c>
      <c r="E64" s="7">
        <v>15.0</v>
      </c>
      <c r="F64" s="9">
        <v>3.372E7</v>
      </c>
      <c r="G64" s="7" t="str">
        <f t="shared" si="1"/>
        <v>Thursday</v>
      </c>
      <c r="H64" s="7" t="str">
        <f t="shared" si="2"/>
        <v>August</v>
      </c>
      <c r="I64" s="7" t="str">
        <f t="shared" si="3"/>
        <v>2009</v>
      </c>
      <c r="J64" s="7">
        <f t="shared" si="4"/>
        <v>33720000</v>
      </c>
      <c r="K64" s="7" t="str">
        <f>IFERROR(__xludf.DUMMYFUNCTION("SPLIT(C64,""-"")"),"HQ")</f>
        <v>HQ</v>
      </c>
      <c r="L64" s="7" t="str">
        <f>IFERROR(__xludf.DUMMYFUNCTION("""COMPUTED_VALUE""")," Bangalore")</f>
        <v> Bangalore</v>
      </c>
      <c r="M64" s="7" t="str">
        <f t="shared" si="5"/>
        <v>Bangalore</v>
      </c>
      <c r="N64" s="10" t="str">
        <f t="shared" si="6"/>
        <v>Budget Boosters's headquarter is in Bangalore</v>
      </c>
      <c r="O64" s="7" t="str">
        <f t="shared" si="7"/>
        <v>Bangaloreis in Karnataka</v>
      </c>
      <c r="P64" s="7" t="str">
        <f t="shared" si="8"/>
        <v>Established</v>
      </c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11">
        <v>44497.0</v>
      </c>
      <c r="B65" s="7" t="s">
        <v>173</v>
      </c>
      <c r="C65" s="7" t="s">
        <v>42</v>
      </c>
      <c r="D65" s="7" t="s">
        <v>43</v>
      </c>
      <c r="E65" s="7">
        <v>3.0</v>
      </c>
      <c r="F65" s="9">
        <v>3.209E7</v>
      </c>
      <c r="G65" s="7" t="str">
        <f t="shared" si="1"/>
        <v>Thursday</v>
      </c>
      <c r="H65" s="7" t="str">
        <f t="shared" si="2"/>
        <v>October</v>
      </c>
      <c r="I65" s="7" t="str">
        <f t="shared" si="3"/>
        <v>2021</v>
      </c>
      <c r="J65" s="7">
        <f t="shared" si="4"/>
        <v>32090000</v>
      </c>
      <c r="K65" s="7" t="str">
        <f>IFERROR(__xludf.DUMMYFUNCTION("SPLIT(C65,""-"")"),"HQ")</f>
        <v>HQ</v>
      </c>
      <c r="L65" s="7" t="str">
        <f>IFERROR(__xludf.DUMMYFUNCTION("""COMPUTED_VALUE""")," Chandigarh")</f>
        <v> Chandigarh</v>
      </c>
      <c r="M65" s="7" t="str">
        <f t="shared" si="5"/>
        <v>Chandigarh</v>
      </c>
      <c r="N65" s="10" t="str">
        <f t="shared" si="6"/>
        <v>Moon Financial Freedom's headquarter is in Chandigarh</v>
      </c>
      <c r="O65" s="7" t="str">
        <f t="shared" si="7"/>
        <v>Chandigarhis in Haryana</v>
      </c>
      <c r="P65" s="7" t="str">
        <f t="shared" si="8"/>
        <v>Startup</v>
      </c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13" t="s">
        <v>174</v>
      </c>
      <c r="B66" s="7" t="s">
        <v>175</v>
      </c>
      <c r="C66" s="7" t="s">
        <v>45</v>
      </c>
      <c r="D66" s="7" t="s">
        <v>46</v>
      </c>
      <c r="E66" s="7">
        <v>5.0</v>
      </c>
      <c r="F66" s="9">
        <v>3.458E7</v>
      </c>
      <c r="G66" s="7" t="str">
        <f t="shared" si="1"/>
        <v>Tuesday</v>
      </c>
      <c r="H66" s="7" t="str">
        <f t="shared" si="2"/>
        <v>March</v>
      </c>
      <c r="I66" s="7" t="str">
        <f t="shared" si="3"/>
        <v>2019</v>
      </c>
      <c r="J66" s="7">
        <f t="shared" si="4"/>
        <v>34580000</v>
      </c>
      <c r="K66" s="7" t="str">
        <f>IFERROR(__xludf.DUMMYFUNCTION("SPLIT(C66,""-"")"),"HQ")</f>
        <v>HQ</v>
      </c>
      <c r="L66" s="7" t="str">
        <f>IFERROR(__xludf.DUMMYFUNCTION("""COMPUTED_VALUE""")," Shimla")</f>
        <v> Shimla</v>
      </c>
      <c r="M66" s="7" t="str">
        <f t="shared" si="5"/>
        <v>Shimla</v>
      </c>
      <c r="N66" s="10" t="str">
        <f t="shared" si="6"/>
        <v>Future Finance's headquarter is in Shimla</v>
      </c>
      <c r="O66" s="7" t="str">
        <f t="shared" si="7"/>
        <v>Shimlais in Himachal Pradesh</v>
      </c>
      <c r="P66" s="7" t="str">
        <f t="shared" si="8"/>
        <v>Startup</v>
      </c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13" t="s">
        <v>176</v>
      </c>
      <c r="B67" s="7" t="s">
        <v>177</v>
      </c>
      <c r="C67" s="7" t="s">
        <v>48</v>
      </c>
      <c r="D67" s="7" t="s">
        <v>49</v>
      </c>
      <c r="E67" s="7">
        <v>12.0</v>
      </c>
      <c r="F67" s="9">
        <v>3.216E7</v>
      </c>
      <c r="G67" s="7" t="str">
        <f t="shared" si="1"/>
        <v>Friday</v>
      </c>
      <c r="H67" s="7" t="str">
        <f t="shared" si="2"/>
        <v>June</v>
      </c>
      <c r="I67" s="7" t="str">
        <f t="shared" si="3"/>
        <v>2012</v>
      </c>
      <c r="J67" s="7">
        <f t="shared" si="4"/>
        <v>32160000</v>
      </c>
      <c r="K67" s="7" t="str">
        <f>IFERROR(__xludf.DUMMYFUNCTION("SPLIT(C67,""-"")"),"HQ")</f>
        <v>HQ</v>
      </c>
      <c r="L67" s="7" t="str">
        <f>IFERROR(__xludf.DUMMYFUNCTION("""COMPUTED_VALUE""")," Ranchi")</f>
        <v> Ranchi</v>
      </c>
      <c r="M67" s="7" t="str">
        <f t="shared" si="5"/>
        <v>Ranchi</v>
      </c>
      <c r="N67" s="10" t="str">
        <f t="shared" si="6"/>
        <v>Innovative Investments's headquarter is in Ranchi</v>
      </c>
      <c r="O67" s="7" t="str">
        <f t="shared" si="7"/>
        <v>Ranchiis in Jharkhand</v>
      </c>
      <c r="P67" s="7" t="str">
        <f t="shared" si="8"/>
        <v>Established</v>
      </c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14">
        <v>42828.0</v>
      </c>
      <c r="B68" s="7" t="s">
        <v>178</v>
      </c>
      <c r="C68" s="7" t="s">
        <v>52</v>
      </c>
      <c r="D68" s="7" t="s">
        <v>53</v>
      </c>
      <c r="E68" s="7">
        <v>7.0</v>
      </c>
      <c r="F68" s="9">
        <v>5.334E7</v>
      </c>
      <c r="G68" s="7" t="str">
        <f t="shared" si="1"/>
        <v>Monday</v>
      </c>
      <c r="H68" s="7" t="str">
        <f t="shared" si="2"/>
        <v>April</v>
      </c>
      <c r="I68" s="7" t="str">
        <f t="shared" si="3"/>
        <v>2017</v>
      </c>
      <c r="J68" s="7">
        <f t="shared" si="4"/>
        <v>53340000</v>
      </c>
      <c r="K68" s="7" t="str">
        <f>IFERROR(__xludf.DUMMYFUNCTION("SPLIT(C68,""-"")"),"HQ")</f>
        <v>HQ</v>
      </c>
      <c r="L68" s="7" t="str">
        <f>IFERROR(__xludf.DUMMYFUNCTION("""COMPUTED_VALUE""")," Bangalore")</f>
        <v> Bangalore</v>
      </c>
      <c r="M68" s="7" t="str">
        <f t="shared" si="5"/>
        <v>Bangalore</v>
      </c>
      <c r="N68" s="10" t="str">
        <f t="shared" si="6"/>
        <v>Budgeeter's headquarter is in Bangalore</v>
      </c>
      <c r="O68" s="7" t="str">
        <f t="shared" si="7"/>
        <v>Bangaloreis in Karnataka</v>
      </c>
      <c r="P68" s="7" t="str">
        <f t="shared" si="8"/>
        <v>Established</v>
      </c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14">
        <v>40487.0</v>
      </c>
      <c r="B69" s="7" t="s">
        <v>179</v>
      </c>
      <c r="C69" s="7" t="s">
        <v>56</v>
      </c>
      <c r="D69" s="7" t="s">
        <v>57</v>
      </c>
      <c r="E69" s="7">
        <v>14.0</v>
      </c>
      <c r="F69" s="9">
        <v>5.139E7</v>
      </c>
      <c r="G69" s="7" t="str">
        <f t="shared" si="1"/>
        <v>Friday</v>
      </c>
      <c r="H69" s="7" t="str">
        <f t="shared" si="2"/>
        <v>November</v>
      </c>
      <c r="I69" s="7" t="str">
        <f t="shared" si="3"/>
        <v>2010</v>
      </c>
      <c r="J69" s="7">
        <f t="shared" si="4"/>
        <v>51390000</v>
      </c>
      <c r="K69" s="7" t="str">
        <f>IFERROR(__xludf.DUMMYFUNCTION("SPLIT(C69,""-"")"),"HQ")</f>
        <v>HQ</v>
      </c>
      <c r="L69" s="7" t="str">
        <f>IFERROR(__xludf.DUMMYFUNCTION("""COMPUTED_VALUE""")," Thiruvananthapuram")</f>
        <v> Thiruvananthapuram</v>
      </c>
      <c r="M69" s="7" t="str">
        <f t="shared" si="5"/>
        <v>Thiruvananthapuram</v>
      </c>
      <c r="N69" s="10" t="str">
        <f t="shared" si="6"/>
        <v>The Commerce Cops's headquarter is in Thiruvananthapuram</v>
      </c>
      <c r="O69" s="7" t="str">
        <f t="shared" si="7"/>
        <v>Thiruvananthapuramis in Kerala</v>
      </c>
      <c r="P69" s="7" t="str">
        <f t="shared" si="8"/>
        <v>Established</v>
      </c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11">
        <v>43298.0</v>
      </c>
      <c r="B70" s="7" t="s">
        <v>180</v>
      </c>
      <c r="C70" s="7" t="s">
        <v>59</v>
      </c>
      <c r="D70" s="7" t="s">
        <v>60</v>
      </c>
      <c r="E70" s="7">
        <v>6.0</v>
      </c>
      <c r="F70" s="12" t="s">
        <v>181</v>
      </c>
      <c r="G70" s="7" t="str">
        <f t="shared" si="1"/>
        <v>Tuesday</v>
      </c>
      <c r="H70" s="7" t="str">
        <f t="shared" si="2"/>
        <v>July</v>
      </c>
      <c r="I70" s="7" t="str">
        <f t="shared" si="3"/>
        <v>2018</v>
      </c>
      <c r="J70" s="7">
        <f t="shared" si="4"/>
        <v>51870000</v>
      </c>
      <c r="K70" s="7" t="str">
        <f>IFERROR(__xludf.DUMMYFUNCTION("SPLIT(C70,""-"")"),"HQ")</f>
        <v>HQ</v>
      </c>
      <c r="L70" s="7" t="str">
        <f>IFERROR(__xludf.DUMMYFUNCTION("""COMPUTED_VALUE""")," Bhopal")</f>
        <v> Bhopal</v>
      </c>
      <c r="M70" s="7" t="str">
        <f t="shared" si="5"/>
        <v>Bhopal</v>
      </c>
      <c r="N70" s="10" t="str">
        <f t="shared" si="6"/>
        <v>Positive Wealth Team's headquarter is in Bhopal</v>
      </c>
      <c r="O70" s="7" t="str">
        <f t="shared" si="7"/>
        <v>Bhopalis in Madhya Pradesh</v>
      </c>
      <c r="P70" s="7" t="str">
        <f t="shared" si="8"/>
        <v>Established</v>
      </c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11">
        <v>44410.0</v>
      </c>
      <c r="B71" s="7" t="s">
        <v>182</v>
      </c>
      <c r="C71" s="7" t="s">
        <v>63</v>
      </c>
      <c r="D71" s="7" t="s">
        <v>64</v>
      </c>
      <c r="E71" s="7">
        <v>3.0</v>
      </c>
      <c r="F71" s="9">
        <v>5.489E7</v>
      </c>
      <c r="G71" s="7" t="str">
        <f t="shared" si="1"/>
        <v>Monday</v>
      </c>
      <c r="H71" s="7" t="str">
        <f t="shared" si="2"/>
        <v>August</v>
      </c>
      <c r="I71" s="7" t="str">
        <f t="shared" si="3"/>
        <v>2021</v>
      </c>
      <c r="J71" s="7">
        <f t="shared" si="4"/>
        <v>54890000</v>
      </c>
      <c r="K71" s="7" t="str">
        <f>IFERROR(__xludf.DUMMYFUNCTION("SPLIT(C71,""-"")"),"HQ")</f>
        <v>HQ</v>
      </c>
      <c r="L71" s="7" t="str">
        <f>IFERROR(__xludf.DUMMYFUNCTION("""COMPUTED_VALUE""")," Mumbai")</f>
        <v> Mumbai</v>
      </c>
      <c r="M71" s="7" t="str">
        <f t="shared" si="5"/>
        <v>Mumbai</v>
      </c>
      <c r="N71" s="10" t="str">
        <f t="shared" si="6"/>
        <v>Budget Advisor's headquarter is in Mumbai</v>
      </c>
      <c r="O71" s="7" t="str">
        <f t="shared" si="7"/>
        <v>Mumbaiis in Maharashtra</v>
      </c>
      <c r="P71" s="7" t="str">
        <f t="shared" si="8"/>
        <v>Startup</v>
      </c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13" t="s">
        <v>183</v>
      </c>
      <c r="B72" s="7" t="s">
        <v>184</v>
      </c>
      <c r="C72" s="7" t="s">
        <v>68</v>
      </c>
      <c r="D72" s="7" t="s">
        <v>69</v>
      </c>
      <c r="E72" s="7">
        <v>3.0</v>
      </c>
      <c r="F72" s="9">
        <v>5.409E7</v>
      </c>
      <c r="G72" s="7" t="str">
        <f t="shared" si="1"/>
        <v>Wednesday</v>
      </c>
      <c r="H72" s="7" t="str">
        <f t="shared" si="2"/>
        <v>August</v>
      </c>
      <c r="I72" s="7" t="str">
        <f t="shared" si="3"/>
        <v>2021</v>
      </c>
      <c r="J72" s="7">
        <f t="shared" si="4"/>
        <v>54090000</v>
      </c>
      <c r="K72" s="7" t="str">
        <f>IFERROR(__xludf.DUMMYFUNCTION("SPLIT(C72,""-"")"),"HQ")</f>
        <v>HQ</v>
      </c>
      <c r="L72" s="7" t="str">
        <f>IFERROR(__xludf.DUMMYFUNCTION("""COMPUTED_VALUE""")," Imphal")</f>
        <v> Imphal</v>
      </c>
      <c r="M72" s="7" t="str">
        <f t="shared" si="5"/>
        <v>Imphal</v>
      </c>
      <c r="N72" s="10" t="str">
        <f t="shared" si="6"/>
        <v>Income Hacking's headquarter is in Imphal</v>
      </c>
      <c r="O72" s="7" t="str">
        <f t="shared" si="7"/>
        <v>Imphalis in Manipur</v>
      </c>
      <c r="P72" s="7" t="str">
        <f t="shared" si="8"/>
        <v>Startup</v>
      </c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17">
        <v>40879.0</v>
      </c>
      <c r="B73" s="7" t="s">
        <v>185</v>
      </c>
      <c r="C73" s="7" t="s">
        <v>72</v>
      </c>
      <c r="D73" s="7" t="s">
        <v>73</v>
      </c>
      <c r="E73" s="7">
        <v>13.0</v>
      </c>
      <c r="F73" s="9">
        <v>5.179E7</v>
      </c>
      <c r="G73" s="7" t="str">
        <f t="shared" si="1"/>
        <v>Friday</v>
      </c>
      <c r="H73" s="7" t="str">
        <f t="shared" si="2"/>
        <v>December</v>
      </c>
      <c r="I73" s="7" t="str">
        <f t="shared" si="3"/>
        <v>2011</v>
      </c>
      <c r="J73" s="7">
        <f t="shared" si="4"/>
        <v>51790000</v>
      </c>
      <c r="K73" s="7" t="str">
        <f>IFERROR(__xludf.DUMMYFUNCTION("SPLIT(C73,""-"")"),"HQ")</f>
        <v>HQ</v>
      </c>
      <c r="L73" s="7" t="str">
        <f>IFERROR(__xludf.DUMMYFUNCTION("""COMPUTED_VALUE""")," Shillong")</f>
        <v> Shillong</v>
      </c>
      <c r="M73" s="7" t="str">
        <f t="shared" si="5"/>
        <v>Shillong</v>
      </c>
      <c r="N73" s="10" t="str">
        <f t="shared" si="6"/>
        <v>Securitas Funds's headquarter is in Shillong</v>
      </c>
      <c r="O73" s="7" t="str">
        <f t="shared" si="7"/>
        <v>Shillongis in Meghalaya</v>
      </c>
      <c r="P73" s="7" t="str">
        <f t="shared" si="8"/>
        <v>Established</v>
      </c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13" t="s">
        <v>186</v>
      </c>
      <c r="B74" s="7" t="s">
        <v>187</v>
      </c>
      <c r="C74" s="7" t="s">
        <v>75</v>
      </c>
      <c r="D74" s="7" t="s">
        <v>76</v>
      </c>
      <c r="E74" s="7">
        <v>3.0</v>
      </c>
      <c r="F74" s="9">
        <v>5.32E7</v>
      </c>
      <c r="G74" s="7" t="str">
        <f t="shared" si="1"/>
        <v>Saturday</v>
      </c>
      <c r="H74" s="7" t="str">
        <f t="shared" si="2"/>
        <v>December</v>
      </c>
      <c r="I74" s="7" t="str">
        <f t="shared" si="3"/>
        <v>2021</v>
      </c>
      <c r="J74" s="7">
        <f t="shared" si="4"/>
        <v>53200000</v>
      </c>
      <c r="K74" s="7" t="str">
        <f>IFERROR(__xludf.DUMMYFUNCTION("SPLIT(C74,""-"")"),"HQ")</f>
        <v>HQ</v>
      </c>
      <c r="L74" s="7" t="str">
        <f>IFERROR(__xludf.DUMMYFUNCTION("""COMPUTED_VALUE""")," Aizawl")</f>
        <v> Aizawl</v>
      </c>
      <c r="M74" s="7" t="str">
        <f t="shared" si="5"/>
        <v>Aizawl</v>
      </c>
      <c r="N74" s="10" t="str">
        <f t="shared" si="6"/>
        <v>Charles Thomas Funding's headquarter is in Aizawl</v>
      </c>
      <c r="O74" s="7" t="str">
        <f t="shared" si="7"/>
        <v>Aizawlis in Mizoram</v>
      </c>
      <c r="P74" s="7" t="str">
        <f t="shared" si="8"/>
        <v>Startup</v>
      </c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11">
        <v>41437.0</v>
      </c>
      <c r="B75" s="7" t="s">
        <v>188</v>
      </c>
      <c r="C75" s="7" t="s">
        <v>78</v>
      </c>
      <c r="D75" s="7" t="s">
        <v>79</v>
      </c>
      <c r="E75" s="7">
        <v>11.0</v>
      </c>
      <c r="F75" s="9">
        <v>5.282E7</v>
      </c>
      <c r="G75" s="7" t="str">
        <f t="shared" si="1"/>
        <v>Wednesday</v>
      </c>
      <c r="H75" s="7" t="str">
        <f t="shared" si="2"/>
        <v>June</v>
      </c>
      <c r="I75" s="7" t="str">
        <f t="shared" si="3"/>
        <v>2013</v>
      </c>
      <c r="J75" s="7">
        <f t="shared" si="4"/>
        <v>52820000</v>
      </c>
      <c r="K75" s="7" t="str">
        <f>IFERROR(__xludf.DUMMYFUNCTION("SPLIT(C75,""-"")"),"HQ")</f>
        <v>HQ</v>
      </c>
      <c r="L75" s="7" t="str">
        <f>IFERROR(__xludf.DUMMYFUNCTION("""COMPUTED_VALUE""")," Kohima")</f>
        <v> Kohima</v>
      </c>
      <c r="M75" s="7" t="str">
        <f t="shared" si="5"/>
        <v>Kohima</v>
      </c>
      <c r="N75" s="10" t="str">
        <f t="shared" si="6"/>
        <v>Accufunds Financial Co's headquarter is in Kohima</v>
      </c>
      <c r="O75" s="7" t="str">
        <f t="shared" si="7"/>
        <v>Kohimais in Nagaland</v>
      </c>
      <c r="P75" s="7" t="str">
        <f t="shared" si="8"/>
        <v>Established</v>
      </c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11">
        <v>43693.0</v>
      </c>
      <c r="B76" s="7" t="s">
        <v>189</v>
      </c>
      <c r="C76" s="7" t="s">
        <v>63</v>
      </c>
      <c r="D76" s="7" t="s">
        <v>64</v>
      </c>
      <c r="E76" s="7">
        <v>5.0</v>
      </c>
      <c r="F76" s="9">
        <v>5.41E7</v>
      </c>
      <c r="G76" s="7" t="str">
        <f t="shared" si="1"/>
        <v>Friday</v>
      </c>
      <c r="H76" s="7" t="str">
        <f t="shared" si="2"/>
        <v>August</v>
      </c>
      <c r="I76" s="7" t="str">
        <f t="shared" si="3"/>
        <v>2019</v>
      </c>
      <c r="J76" s="7">
        <f t="shared" si="4"/>
        <v>54100000</v>
      </c>
      <c r="K76" s="7" t="str">
        <f>IFERROR(__xludf.DUMMYFUNCTION("SPLIT(C76,""-"")"),"HQ")</f>
        <v>HQ</v>
      </c>
      <c r="L76" s="7" t="str">
        <f>IFERROR(__xludf.DUMMYFUNCTION("""COMPUTED_VALUE""")," Mumbai")</f>
        <v> Mumbai</v>
      </c>
      <c r="M76" s="7" t="str">
        <f t="shared" si="5"/>
        <v>Mumbai</v>
      </c>
      <c r="N76" s="10" t="str">
        <f t="shared" si="6"/>
        <v>Levi Management's headquarter is in Mumbai</v>
      </c>
      <c r="O76" s="7" t="str">
        <f t="shared" si="7"/>
        <v>Mumbaiis in Maharashtra</v>
      </c>
      <c r="P76" s="7" t="str">
        <f t="shared" si="8"/>
        <v>Startup</v>
      </c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13" t="s">
        <v>190</v>
      </c>
      <c r="B77" s="7" t="s">
        <v>191</v>
      </c>
      <c r="C77" s="7" t="s">
        <v>42</v>
      </c>
      <c r="D77" s="7" t="s">
        <v>43</v>
      </c>
      <c r="E77" s="7">
        <v>9.0</v>
      </c>
      <c r="F77" s="12" t="s">
        <v>192</v>
      </c>
      <c r="G77" s="7" t="str">
        <f t="shared" si="1"/>
        <v>Thursday</v>
      </c>
      <c r="H77" s="7" t="str">
        <f t="shared" si="2"/>
        <v>September</v>
      </c>
      <c r="I77" s="7" t="str">
        <f t="shared" si="3"/>
        <v>2015</v>
      </c>
      <c r="J77" s="7">
        <f t="shared" si="4"/>
        <v>53840000</v>
      </c>
      <c r="K77" s="7" t="str">
        <f>IFERROR(__xludf.DUMMYFUNCTION("SPLIT(C77,""-"")"),"HQ")</f>
        <v>HQ</v>
      </c>
      <c r="L77" s="7" t="str">
        <f>IFERROR(__xludf.DUMMYFUNCTION("""COMPUTED_VALUE""")," Chandigarh")</f>
        <v> Chandigarh</v>
      </c>
      <c r="M77" s="7" t="str">
        <f t="shared" si="5"/>
        <v>Chandigarh</v>
      </c>
      <c r="N77" s="10" t="str">
        <f t="shared" si="6"/>
        <v>Outbreak Financial Advisers's headquarter is in Chandigarh</v>
      </c>
      <c r="O77" s="7" t="str">
        <f t="shared" si="7"/>
        <v>Chandigarhis in Haryana</v>
      </c>
      <c r="P77" s="7" t="str">
        <f t="shared" si="8"/>
        <v>Established</v>
      </c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11">
        <v>40892.0</v>
      </c>
      <c r="B78" s="7" t="s">
        <v>193</v>
      </c>
      <c r="C78" s="7" t="s">
        <v>87</v>
      </c>
      <c r="D78" s="7" t="s">
        <v>88</v>
      </c>
      <c r="E78" s="7">
        <v>13.0</v>
      </c>
      <c r="F78" s="12" t="s">
        <v>194</v>
      </c>
      <c r="G78" s="7" t="str">
        <f t="shared" si="1"/>
        <v>Thursday</v>
      </c>
      <c r="H78" s="7" t="str">
        <f t="shared" si="2"/>
        <v>December</v>
      </c>
      <c r="I78" s="7" t="str">
        <f t="shared" si="3"/>
        <v>2011</v>
      </c>
      <c r="J78" s="7">
        <f t="shared" si="4"/>
        <v>53910000</v>
      </c>
      <c r="K78" s="7" t="str">
        <f>IFERROR(__xludf.DUMMYFUNCTION("SPLIT(C78,""-"")"),"HQ")</f>
        <v>HQ</v>
      </c>
      <c r="L78" s="7" t="str">
        <f>IFERROR(__xludf.DUMMYFUNCTION("""COMPUTED_VALUE""")," Jaipur")</f>
        <v> Jaipur</v>
      </c>
      <c r="M78" s="7" t="str">
        <f t="shared" si="5"/>
        <v>Jaipur</v>
      </c>
      <c r="N78" s="10" t="str">
        <f t="shared" si="6"/>
        <v>Legendary Wealth's headquarter is in Jaipur</v>
      </c>
      <c r="O78" s="7" t="str">
        <f t="shared" si="7"/>
        <v>Jaipuris in Rajasthan</v>
      </c>
      <c r="P78" s="7" t="str">
        <f t="shared" si="8"/>
        <v>Established</v>
      </c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11">
        <v>39834.0</v>
      </c>
      <c r="B79" s="7" t="s">
        <v>195</v>
      </c>
      <c r="C79" s="7" t="s">
        <v>52</v>
      </c>
      <c r="D79" s="7" t="s">
        <v>53</v>
      </c>
      <c r="E79" s="7">
        <v>15.0</v>
      </c>
      <c r="F79" s="12" t="s">
        <v>196</v>
      </c>
      <c r="G79" s="7" t="str">
        <f t="shared" si="1"/>
        <v>Wednesday</v>
      </c>
      <c r="H79" s="7" t="str">
        <f t="shared" si="2"/>
        <v>January</v>
      </c>
      <c r="I79" s="7" t="str">
        <f t="shared" si="3"/>
        <v>2009</v>
      </c>
      <c r="J79" s="7">
        <f t="shared" si="4"/>
        <v>51840000</v>
      </c>
      <c r="K79" s="7" t="str">
        <f>IFERROR(__xludf.DUMMYFUNCTION("SPLIT(C79,""-"")"),"HQ")</f>
        <v>HQ</v>
      </c>
      <c r="L79" s="7" t="str">
        <f>IFERROR(__xludf.DUMMYFUNCTION("""COMPUTED_VALUE""")," Bangalore")</f>
        <v> Bangalore</v>
      </c>
      <c r="M79" s="7" t="str">
        <f t="shared" si="5"/>
        <v>Bangalore</v>
      </c>
      <c r="N79" s="10" t="str">
        <f t="shared" si="6"/>
        <v>Capital Flow Group's headquarter is in Bangalore</v>
      </c>
      <c r="O79" s="7" t="str">
        <f t="shared" si="7"/>
        <v>Bangaloreis in Karnataka</v>
      </c>
      <c r="P79" s="7" t="str">
        <f t="shared" si="8"/>
        <v>Established</v>
      </c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11">
        <v>44282.0</v>
      </c>
      <c r="B80" s="7" t="s">
        <v>197</v>
      </c>
      <c r="C80" s="7" t="s">
        <v>94</v>
      </c>
      <c r="D80" s="7" t="s">
        <v>95</v>
      </c>
      <c r="E80" s="7">
        <v>3.0</v>
      </c>
      <c r="F80" s="12" t="s">
        <v>198</v>
      </c>
      <c r="G80" s="7" t="str">
        <f t="shared" si="1"/>
        <v>Saturday</v>
      </c>
      <c r="H80" s="7" t="str">
        <f t="shared" si="2"/>
        <v>March</v>
      </c>
      <c r="I80" s="7" t="str">
        <f t="shared" si="3"/>
        <v>2021</v>
      </c>
      <c r="J80" s="7">
        <f t="shared" si="4"/>
        <v>54760000</v>
      </c>
      <c r="K80" s="7" t="str">
        <f>IFERROR(__xludf.DUMMYFUNCTION("SPLIT(C80,""-"")"),"HQ")</f>
        <v>HQ</v>
      </c>
      <c r="L80" s="7" t="str">
        <f>IFERROR(__xludf.DUMMYFUNCTION("""COMPUTED_VALUE""")," Chennai")</f>
        <v> Chennai</v>
      </c>
      <c r="M80" s="7" t="str">
        <f t="shared" si="5"/>
        <v>Chennai</v>
      </c>
      <c r="N80" s="10" t="str">
        <f t="shared" si="6"/>
        <v>Kapital Investors's headquarter is in Chennai</v>
      </c>
      <c r="O80" s="7" t="str">
        <f t="shared" si="7"/>
        <v>Chennaiis in Tamil Nadu</v>
      </c>
      <c r="P80" s="7" t="str">
        <f t="shared" si="8"/>
        <v>Startup</v>
      </c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11">
        <v>43607.0</v>
      </c>
      <c r="B81" s="7" t="s">
        <v>199</v>
      </c>
      <c r="C81" s="7" t="s">
        <v>98</v>
      </c>
      <c r="D81" s="7" t="s">
        <v>99</v>
      </c>
      <c r="E81" s="7">
        <v>5.0</v>
      </c>
      <c r="F81" s="9">
        <v>5.183E7</v>
      </c>
      <c r="G81" s="7" t="str">
        <f t="shared" si="1"/>
        <v>Wednesday</v>
      </c>
      <c r="H81" s="7" t="str">
        <f t="shared" si="2"/>
        <v>May</v>
      </c>
      <c r="I81" s="7" t="str">
        <f t="shared" si="3"/>
        <v>2019</v>
      </c>
      <c r="J81" s="7">
        <f t="shared" si="4"/>
        <v>51830000</v>
      </c>
      <c r="K81" s="7" t="str">
        <f>IFERROR(__xludf.DUMMYFUNCTION("SPLIT(C81,""-"")"),"HQ")</f>
        <v>HQ</v>
      </c>
      <c r="L81" s="7" t="str">
        <f>IFERROR(__xludf.DUMMYFUNCTION("""COMPUTED_VALUE""")," Hyderabad")</f>
        <v> Hyderabad</v>
      </c>
      <c r="M81" s="7" t="str">
        <f t="shared" si="5"/>
        <v>Hyderabad</v>
      </c>
      <c r="N81" s="10" t="str">
        <f t="shared" si="6"/>
        <v>Borderless Banking's headquarter is in Hyderabad</v>
      </c>
      <c r="O81" s="7" t="str">
        <f t="shared" si="7"/>
        <v>Hyderabadis in Telangana</v>
      </c>
      <c r="P81" s="7" t="str">
        <f t="shared" si="8"/>
        <v>Startup</v>
      </c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13" t="s">
        <v>200</v>
      </c>
      <c r="B82" s="7" t="s">
        <v>201</v>
      </c>
      <c r="C82" s="7" t="s">
        <v>102</v>
      </c>
      <c r="D82" s="7" t="s">
        <v>103</v>
      </c>
      <c r="E82" s="7">
        <v>7.0</v>
      </c>
      <c r="F82" s="9">
        <v>5.428E7</v>
      </c>
      <c r="G82" s="7" t="str">
        <f t="shared" si="1"/>
        <v>Saturday</v>
      </c>
      <c r="H82" s="7" t="str">
        <f t="shared" si="2"/>
        <v>October</v>
      </c>
      <c r="I82" s="7" t="str">
        <f t="shared" si="3"/>
        <v>2017</v>
      </c>
      <c r="J82" s="7">
        <f t="shared" si="4"/>
        <v>54280000</v>
      </c>
      <c r="K82" s="7" t="str">
        <f>IFERROR(__xludf.DUMMYFUNCTION("SPLIT(C82,""-"")"),"HQ")</f>
        <v>HQ</v>
      </c>
      <c r="L82" s="7" t="str">
        <f>IFERROR(__xludf.DUMMYFUNCTION("""COMPUTED_VALUE""")," Agartala")</f>
        <v> Agartala</v>
      </c>
      <c r="M82" s="7" t="str">
        <f t="shared" si="5"/>
        <v>Agartala</v>
      </c>
      <c r="N82" s="10" t="str">
        <f t="shared" si="6"/>
        <v>Flexifunds's headquarter is in Agartala</v>
      </c>
      <c r="O82" s="7" t="str">
        <f t="shared" si="7"/>
        <v>Agartalais in Tripura</v>
      </c>
      <c r="P82" s="7" t="str">
        <f t="shared" si="8"/>
        <v>Established</v>
      </c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11">
        <v>41165.0</v>
      </c>
      <c r="B83" s="7" t="s">
        <v>202</v>
      </c>
      <c r="C83" s="7" t="s">
        <v>107</v>
      </c>
      <c r="D83" s="7" t="s">
        <v>108</v>
      </c>
      <c r="E83" s="7">
        <v>12.0</v>
      </c>
      <c r="F83" s="9">
        <v>5.47E7</v>
      </c>
      <c r="G83" s="7" t="str">
        <f t="shared" si="1"/>
        <v>Thursday</v>
      </c>
      <c r="H83" s="7" t="str">
        <f t="shared" si="2"/>
        <v>September</v>
      </c>
      <c r="I83" s="7" t="str">
        <f t="shared" si="3"/>
        <v>2012</v>
      </c>
      <c r="J83" s="7">
        <f t="shared" si="4"/>
        <v>54700000</v>
      </c>
      <c r="K83" s="7" t="str">
        <f>IFERROR(__xludf.DUMMYFUNCTION("SPLIT(C83,""-"")"),"HQ")</f>
        <v>HQ</v>
      </c>
      <c r="L83" s="7" t="str">
        <f>IFERROR(__xludf.DUMMYFUNCTION("""COMPUTED_VALUE""")," Dehradun")</f>
        <v> Dehradun</v>
      </c>
      <c r="M83" s="7" t="str">
        <f t="shared" si="5"/>
        <v>Dehradun</v>
      </c>
      <c r="N83" s="10" t="str">
        <f t="shared" si="6"/>
        <v>First Financial Co's headquarter is in Dehradun</v>
      </c>
      <c r="O83" s="7" t="str">
        <f t="shared" si="7"/>
        <v>Dehradunis in Uttarakhand</v>
      </c>
      <c r="P83" s="7" t="str">
        <f t="shared" si="8"/>
        <v>Established</v>
      </c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11">
        <v>45246.0</v>
      </c>
      <c r="B84" s="7" t="s">
        <v>203</v>
      </c>
      <c r="C84" s="7" t="s">
        <v>111</v>
      </c>
      <c r="D84" s="7" t="s">
        <v>112</v>
      </c>
      <c r="E84" s="7">
        <v>1.0</v>
      </c>
      <c r="F84" s="9">
        <v>5.107E7</v>
      </c>
      <c r="G84" s="7" t="str">
        <f t="shared" si="1"/>
        <v>Thursday</v>
      </c>
      <c r="H84" s="7" t="str">
        <f t="shared" si="2"/>
        <v>November</v>
      </c>
      <c r="I84" s="7" t="str">
        <f t="shared" si="3"/>
        <v>2023</v>
      </c>
      <c r="J84" s="7">
        <f t="shared" si="4"/>
        <v>51070000</v>
      </c>
      <c r="K84" s="7" t="str">
        <f>IFERROR(__xludf.DUMMYFUNCTION("SPLIT(C84,""-"")"),"HQ")</f>
        <v>HQ</v>
      </c>
      <c r="L84" s="7" t="str">
        <f>IFERROR(__xludf.DUMMYFUNCTION("""COMPUTED_VALUE""")," Lucknow")</f>
        <v> Lucknow</v>
      </c>
      <c r="M84" s="7" t="str">
        <f t="shared" si="5"/>
        <v>Lucknow</v>
      </c>
      <c r="N84" s="10" t="str">
        <f t="shared" si="6"/>
        <v>Wealth Express's headquarter is in Lucknow</v>
      </c>
      <c r="O84" s="7" t="str">
        <f t="shared" si="7"/>
        <v>Lucknowis in Uttar Pradesh</v>
      </c>
      <c r="P84" s="7" t="str">
        <f t="shared" si="8"/>
        <v>Startup</v>
      </c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17">
        <v>41946.0</v>
      </c>
      <c r="B85" s="7" t="s">
        <v>204</v>
      </c>
      <c r="C85" s="7" t="s">
        <v>115</v>
      </c>
      <c r="D85" s="7" t="s">
        <v>116</v>
      </c>
      <c r="E85" s="7">
        <v>10.0</v>
      </c>
      <c r="F85" s="9">
        <v>5.312E7</v>
      </c>
      <c r="G85" s="7" t="str">
        <f t="shared" si="1"/>
        <v>Monday</v>
      </c>
      <c r="H85" s="7" t="str">
        <f t="shared" si="2"/>
        <v>November</v>
      </c>
      <c r="I85" s="7" t="str">
        <f t="shared" si="3"/>
        <v>2014</v>
      </c>
      <c r="J85" s="7">
        <f t="shared" si="4"/>
        <v>53120000</v>
      </c>
      <c r="K85" s="7" t="str">
        <f>IFERROR(__xludf.DUMMYFUNCTION("SPLIT(C85,""-"")"),"HQ")</f>
        <v>HQ</v>
      </c>
      <c r="L85" s="7" t="str">
        <f>IFERROR(__xludf.DUMMYFUNCTION("""COMPUTED_VALUE""")," Kolkata")</f>
        <v> Kolkata</v>
      </c>
      <c r="M85" s="7" t="str">
        <f t="shared" si="5"/>
        <v>Kolkata</v>
      </c>
      <c r="N85" s="10" t="str">
        <f t="shared" si="6"/>
        <v>Fund Guardian's headquarter is in Kolkata</v>
      </c>
      <c r="O85" s="7" t="str">
        <f t="shared" si="7"/>
        <v>Kolkatais in West Bengal</v>
      </c>
      <c r="P85" s="7" t="str">
        <f t="shared" si="8"/>
        <v>Established</v>
      </c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11">
        <v>43207.0</v>
      </c>
      <c r="B86" s="7" t="s">
        <v>205</v>
      </c>
      <c r="C86" s="7" t="s">
        <v>17</v>
      </c>
      <c r="D86" s="7" t="s">
        <v>18</v>
      </c>
      <c r="E86" s="7">
        <v>6.0</v>
      </c>
      <c r="F86" s="12" t="s">
        <v>206</v>
      </c>
      <c r="G86" s="7" t="str">
        <f t="shared" si="1"/>
        <v>Tuesday</v>
      </c>
      <c r="H86" s="7" t="str">
        <f t="shared" si="2"/>
        <v>April</v>
      </c>
      <c r="I86" s="7" t="str">
        <f t="shared" si="3"/>
        <v>2018</v>
      </c>
      <c r="J86" s="7">
        <f t="shared" si="4"/>
        <v>54430000</v>
      </c>
      <c r="K86" s="7" t="str">
        <f>IFERROR(__xludf.DUMMYFUNCTION("SPLIT(C86,""-"")"),"HQ")</f>
        <v>HQ</v>
      </c>
      <c r="L86" s="7" t="str">
        <f>IFERROR(__xludf.DUMMYFUNCTION("""COMPUTED_VALUE""")," Amaravati")</f>
        <v> Amaravati</v>
      </c>
      <c r="M86" s="7" t="str">
        <f t="shared" si="5"/>
        <v>Amaravati</v>
      </c>
      <c r="N86" s="10" t="str">
        <f t="shared" si="6"/>
        <v>Full Wealth Group's headquarter is in Amaravati</v>
      </c>
      <c r="O86" s="7" t="str">
        <f t="shared" si="7"/>
        <v>Amaravatiis in Andhra Pradesh</v>
      </c>
      <c r="P86" s="7" t="str">
        <f t="shared" si="8"/>
        <v>Established</v>
      </c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11">
        <v>41436.0</v>
      </c>
      <c r="B87" s="7" t="s">
        <v>207</v>
      </c>
      <c r="C87" s="7" t="s">
        <v>20</v>
      </c>
      <c r="D87" s="7" t="s">
        <v>21</v>
      </c>
      <c r="E87" s="7">
        <v>11.0</v>
      </c>
      <c r="F87" s="9">
        <v>5.467E7</v>
      </c>
      <c r="G87" s="7" t="str">
        <f t="shared" si="1"/>
        <v>Tuesday</v>
      </c>
      <c r="H87" s="7" t="str">
        <f t="shared" si="2"/>
        <v>June</v>
      </c>
      <c r="I87" s="7" t="str">
        <f t="shared" si="3"/>
        <v>2013</v>
      </c>
      <c r="J87" s="7">
        <f t="shared" si="4"/>
        <v>54670000</v>
      </c>
      <c r="K87" s="7" t="str">
        <f>IFERROR(__xludf.DUMMYFUNCTION("SPLIT(C87,""-"")"),"HQ")</f>
        <v>HQ</v>
      </c>
      <c r="L87" s="7" t="str">
        <f>IFERROR(__xludf.DUMMYFUNCTION("""COMPUTED_VALUE""")," Itanagar")</f>
        <v> Itanagar</v>
      </c>
      <c r="M87" s="7" t="str">
        <f t="shared" si="5"/>
        <v>Itanagar</v>
      </c>
      <c r="N87" s="10" t="str">
        <f t="shared" si="6"/>
        <v>Sun Global Banking's headquarter is in Itanagar</v>
      </c>
      <c r="O87" s="7" t="str">
        <f t="shared" si="7"/>
        <v>Itanagaris in Arunachal Pradesh</v>
      </c>
      <c r="P87" s="7" t="str">
        <f t="shared" si="8"/>
        <v>Established</v>
      </c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13" t="s">
        <v>208</v>
      </c>
      <c r="B88" s="7" t="s">
        <v>209</v>
      </c>
      <c r="C88" s="7" t="s">
        <v>23</v>
      </c>
      <c r="D88" s="7" t="s">
        <v>24</v>
      </c>
      <c r="E88" s="7">
        <v>14.0</v>
      </c>
      <c r="F88" s="9">
        <v>5.387E7</v>
      </c>
      <c r="G88" s="7" t="str">
        <f t="shared" si="1"/>
        <v>Wednesday</v>
      </c>
      <c r="H88" s="7" t="str">
        <f t="shared" si="2"/>
        <v>December</v>
      </c>
      <c r="I88" s="7" t="str">
        <f t="shared" si="3"/>
        <v>2010</v>
      </c>
      <c r="J88" s="7">
        <f t="shared" si="4"/>
        <v>53870000</v>
      </c>
      <c r="K88" s="7" t="str">
        <f>IFERROR(__xludf.DUMMYFUNCTION("SPLIT(C88,""-"")"),"HQ")</f>
        <v>HQ</v>
      </c>
      <c r="L88" s="7" t="str">
        <f>IFERROR(__xludf.DUMMYFUNCTION("""COMPUTED_VALUE""")," Dispur")</f>
        <v> Dispur</v>
      </c>
      <c r="M88" s="7" t="str">
        <f t="shared" si="5"/>
        <v>Dispur</v>
      </c>
      <c r="N88" s="10" t="str">
        <f t="shared" si="6"/>
        <v>Mutufund's headquarter is in Dispur</v>
      </c>
      <c r="O88" s="7" t="str">
        <f t="shared" si="7"/>
        <v>Dispuris in Assam</v>
      </c>
      <c r="P88" s="7" t="str">
        <f t="shared" si="8"/>
        <v>Established</v>
      </c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11">
        <v>43384.0</v>
      </c>
      <c r="B89" s="7" t="s">
        <v>210</v>
      </c>
      <c r="C89" s="7" t="s">
        <v>26</v>
      </c>
      <c r="D89" s="7" t="s">
        <v>27</v>
      </c>
      <c r="E89" s="7">
        <v>6.0</v>
      </c>
      <c r="F89" s="9">
        <v>5.126E7</v>
      </c>
      <c r="G89" s="7" t="str">
        <f t="shared" si="1"/>
        <v>Thursday</v>
      </c>
      <c r="H89" s="7" t="str">
        <f t="shared" si="2"/>
        <v>October</v>
      </c>
      <c r="I89" s="7" t="str">
        <f t="shared" si="3"/>
        <v>2018</v>
      </c>
      <c r="J89" s="7">
        <f t="shared" si="4"/>
        <v>51260000</v>
      </c>
      <c r="K89" s="7" t="str">
        <f>IFERROR(__xludf.DUMMYFUNCTION("SPLIT(C89,""-"")"),"HQ")</f>
        <v>HQ</v>
      </c>
      <c r="L89" s="7" t="str">
        <f>IFERROR(__xludf.DUMMYFUNCTION("""COMPUTED_VALUE""")," Patna")</f>
        <v> Patna</v>
      </c>
      <c r="M89" s="7" t="str">
        <f t="shared" si="5"/>
        <v>Patna</v>
      </c>
      <c r="N89" s="10" t="str">
        <f t="shared" si="6"/>
        <v>Smithstone Financial Co's headquarter is in Patna</v>
      </c>
      <c r="O89" s="7" t="str">
        <f t="shared" si="7"/>
        <v>Patnais in Bihar</v>
      </c>
      <c r="P89" s="7" t="str">
        <f t="shared" si="8"/>
        <v>Established</v>
      </c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11">
        <v>43085.0</v>
      </c>
      <c r="B90" s="7" t="s">
        <v>211</v>
      </c>
      <c r="C90" s="7" t="s">
        <v>30</v>
      </c>
      <c r="D90" s="7" t="s">
        <v>31</v>
      </c>
      <c r="E90" s="7">
        <v>7.0</v>
      </c>
      <c r="F90" s="9">
        <v>5.104E7</v>
      </c>
      <c r="G90" s="7" t="str">
        <f t="shared" si="1"/>
        <v>Saturday</v>
      </c>
      <c r="H90" s="7" t="str">
        <f t="shared" si="2"/>
        <v>December</v>
      </c>
      <c r="I90" s="7" t="str">
        <f t="shared" si="3"/>
        <v>2017</v>
      </c>
      <c r="J90" s="7">
        <f t="shared" si="4"/>
        <v>51040000</v>
      </c>
      <c r="K90" s="7" t="str">
        <f>IFERROR(__xludf.DUMMYFUNCTION("SPLIT(C90,""-"")"),"HQ")</f>
        <v>HQ</v>
      </c>
      <c r="L90" s="7" t="str">
        <f>IFERROR(__xludf.DUMMYFUNCTION("""COMPUTED_VALUE""")," Raipur")</f>
        <v> Raipur</v>
      </c>
      <c r="M90" s="7" t="str">
        <f t="shared" si="5"/>
        <v>Raipur</v>
      </c>
      <c r="N90" s="10" t="str">
        <f t="shared" si="6"/>
        <v>High Volume Financial's headquarter is in Raipur</v>
      </c>
      <c r="O90" s="7" t="str">
        <f t="shared" si="7"/>
        <v>Raipuris in Chhattisgarh</v>
      </c>
      <c r="P90" s="7" t="str">
        <f t="shared" si="8"/>
        <v>Established</v>
      </c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11">
        <v>41652.0</v>
      </c>
      <c r="B91" s="7" t="s">
        <v>212</v>
      </c>
      <c r="C91" s="7" t="s">
        <v>52</v>
      </c>
      <c r="D91" s="7" t="s">
        <v>53</v>
      </c>
      <c r="E91" s="7">
        <v>10.0</v>
      </c>
      <c r="F91" s="9">
        <v>5.141E7</v>
      </c>
      <c r="G91" s="7" t="str">
        <f t="shared" si="1"/>
        <v>Monday</v>
      </c>
      <c r="H91" s="7" t="str">
        <f t="shared" si="2"/>
        <v>January</v>
      </c>
      <c r="I91" s="7" t="str">
        <f t="shared" si="3"/>
        <v>2014</v>
      </c>
      <c r="J91" s="7">
        <f t="shared" si="4"/>
        <v>51410000</v>
      </c>
      <c r="K91" s="7" t="str">
        <f>IFERROR(__xludf.DUMMYFUNCTION("SPLIT(C91,""-"")"),"HQ")</f>
        <v>HQ</v>
      </c>
      <c r="L91" s="7" t="str">
        <f>IFERROR(__xludf.DUMMYFUNCTION("""COMPUTED_VALUE""")," Bangalore")</f>
        <v> Bangalore</v>
      </c>
      <c r="M91" s="7" t="str">
        <f t="shared" si="5"/>
        <v>Bangalore</v>
      </c>
      <c r="N91" s="10" t="str">
        <f t="shared" si="6"/>
        <v>Budget Financial's headquarter is in Bangalore</v>
      </c>
      <c r="O91" s="7" t="str">
        <f t="shared" si="7"/>
        <v>Bangaloreis in Karnataka</v>
      </c>
      <c r="P91" s="7" t="str">
        <f t="shared" si="8"/>
        <v>Established</v>
      </c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11">
        <v>44274.0</v>
      </c>
      <c r="B92" s="7" t="s">
        <v>213</v>
      </c>
      <c r="C92" s="7" t="s">
        <v>38</v>
      </c>
      <c r="D92" s="7" t="s">
        <v>39</v>
      </c>
      <c r="E92" s="7">
        <v>3.0</v>
      </c>
      <c r="F92" s="9">
        <v>5.274E7</v>
      </c>
      <c r="G92" s="7" t="str">
        <f t="shared" si="1"/>
        <v>Friday</v>
      </c>
      <c r="H92" s="7" t="str">
        <f t="shared" si="2"/>
        <v>March</v>
      </c>
      <c r="I92" s="7" t="str">
        <f t="shared" si="3"/>
        <v>2021</v>
      </c>
      <c r="J92" s="7">
        <f t="shared" si="4"/>
        <v>52740000</v>
      </c>
      <c r="K92" s="7" t="str">
        <f>IFERROR(__xludf.DUMMYFUNCTION("SPLIT(C92,""-"")"),"HQ")</f>
        <v>HQ</v>
      </c>
      <c r="L92" s="7" t="str">
        <f>IFERROR(__xludf.DUMMYFUNCTION("""COMPUTED_VALUE""")," Gandhinagar")</f>
        <v> Gandhinagar</v>
      </c>
      <c r="M92" s="7" t="str">
        <f t="shared" si="5"/>
        <v>Gandhinagar</v>
      </c>
      <c r="N92" s="10" t="str">
        <f t="shared" si="6"/>
        <v>Vanus Banking Co's headquarter is in Gandhinagar</v>
      </c>
      <c r="O92" s="7" t="str">
        <f t="shared" si="7"/>
        <v>Gandhinagaris in Gujarat</v>
      </c>
      <c r="P92" s="7" t="str">
        <f t="shared" si="8"/>
        <v>Startup</v>
      </c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11">
        <v>45071.0</v>
      </c>
      <c r="B93" s="7" t="s">
        <v>214</v>
      </c>
      <c r="C93" s="7" t="s">
        <v>63</v>
      </c>
      <c r="D93" s="7" t="s">
        <v>64</v>
      </c>
      <c r="E93" s="7">
        <v>1.0</v>
      </c>
      <c r="F93" s="9">
        <v>3.357E7</v>
      </c>
      <c r="G93" s="7" t="str">
        <f t="shared" si="1"/>
        <v>Thursday</v>
      </c>
      <c r="H93" s="7" t="str">
        <f t="shared" si="2"/>
        <v>May</v>
      </c>
      <c r="I93" s="7" t="str">
        <f t="shared" si="3"/>
        <v>2023</v>
      </c>
      <c r="J93" s="7">
        <f t="shared" si="4"/>
        <v>33570000</v>
      </c>
      <c r="K93" s="7" t="str">
        <f>IFERROR(__xludf.DUMMYFUNCTION("SPLIT(C93,""-"")"),"HQ")</f>
        <v>HQ</v>
      </c>
      <c r="L93" s="7" t="str">
        <f>IFERROR(__xludf.DUMMYFUNCTION("""COMPUTED_VALUE""")," Mumbai")</f>
        <v> Mumbai</v>
      </c>
      <c r="M93" s="7" t="str">
        <f t="shared" si="5"/>
        <v>Mumbai</v>
      </c>
      <c r="N93" s="10" t="str">
        <f t="shared" si="6"/>
        <v>Brownstone Banking Co's headquarter is in Mumbai</v>
      </c>
      <c r="O93" s="7" t="str">
        <f t="shared" si="7"/>
        <v>Mumbaiis in Maharashtra</v>
      </c>
      <c r="P93" s="7" t="str">
        <f t="shared" si="8"/>
        <v>Startup</v>
      </c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11">
        <v>44057.0</v>
      </c>
      <c r="B94" s="7" t="s">
        <v>215</v>
      </c>
      <c r="C94" s="7" t="s">
        <v>45</v>
      </c>
      <c r="D94" s="7" t="s">
        <v>46</v>
      </c>
      <c r="E94" s="7">
        <v>4.0</v>
      </c>
      <c r="F94" s="9">
        <v>3.262E7</v>
      </c>
      <c r="G94" s="7" t="str">
        <f t="shared" si="1"/>
        <v>Friday</v>
      </c>
      <c r="H94" s="7" t="str">
        <f t="shared" si="2"/>
        <v>August</v>
      </c>
      <c r="I94" s="7" t="str">
        <f t="shared" si="3"/>
        <v>2020</v>
      </c>
      <c r="J94" s="7">
        <f t="shared" si="4"/>
        <v>32620000</v>
      </c>
      <c r="K94" s="7" t="str">
        <f>IFERROR(__xludf.DUMMYFUNCTION("SPLIT(C94,""-"")"),"HQ")</f>
        <v>HQ</v>
      </c>
      <c r="L94" s="7" t="str">
        <f>IFERROR(__xludf.DUMMYFUNCTION("""COMPUTED_VALUE""")," Shimla")</f>
        <v> Shimla</v>
      </c>
      <c r="M94" s="7" t="str">
        <f t="shared" si="5"/>
        <v>Shimla</v>
      </c>
      <c r="N94" s="10" t="str">
        <f t="shared" si="6"/>
        <v>Power Wealth's headquarter is in Shimla</v>
      </c>
      <c r="O94" s="7" t="str">
        <f t="shared" si="7"/>
        <v>Shimlais in Himachal Pradesh</v>
      </c>
      <c r="P94" s="7" t="str">
        <f t="shared" si="8"/>
        <v>Startup</v>
      </c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11">
        <v>42990.0</v>
      </c>
      <c r="B95" s="7" t="s">
        <v>216</v>
      </c>
      <c r="C95" s="7" t="s">
        <v>48</v>
      </c>
      <c r="D95" s="7" t="s">
        <v>49</v>
      </c>
      <c r="E95" s="7">
        <v>7.0</v>
      </c>
      <c r="F95" s="9">
        <v>3.209E7</v>
      </c>
      <c r="G95" s="7" t="str">
        <f t="shared" si="1"/>
        <v>Tuesday</v>
      </c>
      <c r="H95" s="7" t="str">
        <f t="shared" si="2"/>
        <v>September</v>
      </c>
      <c r="I95" s="7" t="str">
        <f t="shared" si="3"/>
        <v>2017</v>
      </c>
      <c r="J95" s="7">
        <f t="shared" si="4"/>
        <v>32090000</v>
      </c>
      <c r="K95" s="7" t="str">
        <f>IFERROR(__xludf.DUMMYFUNCTION("SPLIT(C95,""-"")"),"HQ")</f>
        <v>HQ</v>
      </c>
      <c r="L95" s="7" t="str">
        <f>IFERROR(__xludf.DUMMYFUNCTION("""COMPUTED_VALUE""")," Ranchi")</f>
        <v> Ranchi</v>
      </c>
      <c r="M95" s="7" t="str">
        <f t="shared" si="5"/>
        <v>Ranchi</v>
      </c>
      <c r="N95" s="10" t="str">
        <f t="shared" si="6"/>
        <v>Prevalent Wealth Management's headquarter is in Ranchi</v>
      </c>
      <c r="O95" s="7" t="str">
        <f t="shared" si="7"/>
        <v>Ranchiis in Jharkhand</v>
      </c>
      <c r="P95" s="7" t="str">
        <f t="shared" si="8"/>
        <v>Established</v>
      </c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11">
        <v>40502.0</v>
      </c>
      <c r="B96" s="7" t="s">
        <v>217</v>
      </c>
      <c r="C96" s="7" t="s">
        <v>52</v>
      </c>
      <c r="D96" s="7" t="s">
        <v>53</v>
      </c>
      <c r="E96" s="7">
        <v>14.0</v>
      </c>
      <c r="F96" s="9">
        <v>3.372E7</v>
      </c>
      <c r="G96" s="7" t="str">
        <f t="shared" si="1"/>
        <v>Saturday</v>
      </c>
      <c r="H96" s="7" t="str">
        <f t="shared" si="2"/>
        <v>November</v>
      </c>
      <c r="I96" s="7" t="str">
        <f t="shared" si="3"/>
        <v>2010</v>
      </c>
      <c r="J96" s="7">
        <f t="shared" si="4"/>
        <v>33720000</v>
      </c>
      <c r="K96" s="7" t="str">
        <f>IFERROR(__xludf.DUMMYFUNCTION("SPLIT(C96,""-"")"),"HQ")</f>
        <v>HQ</v>
      </c>
      <c r="L96" s="7" t="str">
        <f>IFERROR(__xludf.DUMMYFUNCTION("""COMPUTED_VALUE""")," Bangalore")</f>
        <v> Bangalore</v>
      </c>
      <c r="M96" s="7" t="str">
        <f t="shared" si="5"/>
        <v>Bangalore</v>
      </c>
      <c r="N96" s="10" t="str">
        <f t="shared" si="6"/>
        <v>Square Radius Financial's headquarter is in Bangalore</v>
      </c>
      <c r="O96" s="7" t="str">
        <f t="shared" si="7"/>
        <v>Bangaloreis in Karnataka</v>
      </c>
      <c r="P96" s="7" t="str">
        <f t="shared" si="8"/>
        <v>Established</v>
      </c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11">
        <v>43146.0</v>
      </c>
      <c r="B97" s="7" t="s">
        <v>218</v>
      </c>
      <c r="C97" s="7" t="s">
        <v>56</v>
      </c>
      <c r="D97" s="7" t="s">
        <v>57</v>
      </c>
      <c r="E97" s="7">
        <v>6.0</v>
      </c>
      <c r="F97" s="12" t="s">
        <v>219</v>
      </c>
      <c r="G97" s="7" t="str">
        <f t="shared" si="1"/>
        <v>Thursday</v>
      </c>
      <c r="H97" s="7" t="str">
        <f t="shared" si="2"/>
        <v>February</v>
      </c>
      <c r="I97" s="7" t="str">
        <f t="shared" si="3"/>
        <v>2018</v>
      </c>
      <c r="J97" s="7">
        <f t="shared" si="4"/>
        <v>32090000</v>
      </c>
      <c r="K97" s="7" t="str">
        <f>IFERROR(__xludf.DUMMYFUNCTION("SPLIT(C97,""-"")"),"HQ")</f>
        <v>HQ</v>
      </c>
      <c r="L97" s="7" t="str">
        <f>IFERROR(__xludf.DUMMYFUNCTION("""COMPUTED_VALUE""")," Thiruvananthapuram")</f>
        <v> Thiruvananthapuram</v>
      </c>
      <c r="M97" s="7" t="str">
        <f t="shared" si="5"/>
        <v>Thiruvananthapuram</v>
      </c>
      <c r="N97" s="10" t="str">
        <f t="shared" si="6"/>
        <v>Building Bank's headquarter is in Thiruvananthapuram</v>
      </c>
      <c r="O97" s="7" t="str">
        <f t="shared" si="7"/>
        <v>Thiruvananthapuramis in Kerala</v>
      </c>
      <c r="P97" s="7" t="str">
        <f t="shared" si="8"/>
        <v>Established</v>
      </c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14">
        <v>39820.0</v>
      </c>
      <c r="B98" s="7" t="s">
        <v>220</v>
      </c>
      <c r="C98" s="7" t="s">
        <v>52</v>
      </c>
      <c r="D98" s="7" t="s">
        <v>53</v>
      </c>
      <c r="E98" s="7">
        <v>15.0</v>
      </c>
      <c r="F98" s="9">
        <v>3.458E7</v>
      </c>
      <c r="G98" s="7" t="str">
        <f t="shared" si="1"/>
        <v>Wednesday</v>
      </c>
      <c r="H98" s="7" t="str">
        <f t="shared" si="2"/>
        <v>January</v>
      </c>
      <c r="I98" s="7" t="str">
        <f t="shared" si="3"/>
        <v>2009</v>
      </c>
      <c r="J98" s="7">
        <f t="shared" si="4"/>
        <v>34580000</v>
      </c>
      <c r="K98" s="7" t="str">
        <f>IFERROR(__xludf.DUMMYFUNCTION("SPLIT(C98,""-"")"),"HQ")</f>
        <v>HQ</v>
      </c>
      <c r="L98" s="7" t="str">
        <f>IFERROR(__xludf.DUMMYFUNCTION("""COMPUTED_VALUE""")," Bangalore")</f>
        <v> Bangalore</v>
      </c>
      <c r="M98" s="7" t="str">
        <f t="shared" si="5"/>
        <v>Bangalore</v>
      </c>
      <c r="N98" s="10" t="str">
        <f t="shared" si="6"/>
        <v>Dolphin Wealth Management's headquarter is in Bangalore</v>
      </c>
      <c r="O98" s="7" t="str">
        <f t="shared" si="7"/>
        <v>Bangaloreis in Karnataka</v>
      </c>
      <c r="P98" s="7" t="str">
        <f t="shared" si="8"/>
        <v>Established</v>
      </c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13" t="s">
        <v>221</v>
      </c>
      <c r="B99" s="7" t="s">
        <v>222</v>
      </c>
      <c r="C99" s="7" t="s">
        <v>63</v>
      </c>
      <c r="D99" s="7" t="s">
        <v>64</v>
      </c>
      <c r="E99" s="7">
        <v>9.0</v>
      </c>
      <c r="F99" s="9">
        <v>3.216E7</v>
      </c>
      <c r="G99" s="7" t="str">
        <f t="shared" si="1"/>
        <v>Friday</v>
      </c>
      <c r="H99" s="7" t="str">
        <f t="shared" si="2"/>
        <v>February</v>
      </c>
      <c r="I99" s="7" t="str">
        <f t="shared" si="3"/>
        <v>2015</v>
      </c>
      <c r="J99" s="7">
        <f t="shared" si="4"/>
        <v>32160000</v>
      </c>
      <c r="K99" s="7" t="str">
        <f>IFERROR(__xludf.DUMMYFUNCTION("SPLIT(C99,""-"")"),"HQ")</f>
        <v>HQ</v>
      </c>
      <c r="L99" s="7" t="str">
        <f>IFERROR(__xludf.DUMMYFUNCTION("""COMPUTED_VALUE""")," Mumbai")</f>
        <v> Mumbai</v>
      </c>
      <c r="M99" s="7" t="str">
        <f t="shared" si="5"/>
        <v>Mumbai</v>
      </c>
      <c r="N99" s="10" t="str">
        <f t="shared" si="6"/>
        <v>Balance Financial's headquarter is in Mumbai</v>
      </c>
      <c r="O99" s="7" t="str">
        <f t="shared" si="7"/>
        <v>Mumbaiis in Maharashtra</v>
      </c>
      <c r="P99" s="7" t="str">
        <f t="shared" si="8"/>
        <v>Established</v>
      </c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18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8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18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18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18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19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18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18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18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18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18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18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18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18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18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18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18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18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18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18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18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18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18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18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18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18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18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18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18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18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18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18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18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18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18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18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18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18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18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18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18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18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18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18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18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18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18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18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18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18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18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18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18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18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18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18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18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18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18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18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18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18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18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18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18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18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18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18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18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18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18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18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18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18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18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18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18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18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18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18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18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18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18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18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18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18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18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18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18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18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18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18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18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18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18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18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18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18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18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18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18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18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18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18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18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18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18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18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18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18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18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18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18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18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18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18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18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18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18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18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18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18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18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18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18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18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18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18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18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18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18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18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18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18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18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18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18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18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18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18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18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18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18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18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18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18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18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18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18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18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18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18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18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18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18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18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18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18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18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18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18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18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18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18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18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18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18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18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18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18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18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18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18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18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18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18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18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18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18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18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18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18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18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18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18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18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18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18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18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18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18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18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18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18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18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18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18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18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18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18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18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18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18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18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18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18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18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18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18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18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18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18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18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18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18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18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18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18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18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18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18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18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18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18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18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18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18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18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18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18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18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18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18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18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18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18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18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18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18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18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18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18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18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18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18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18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18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18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18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18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18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18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18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18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18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18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18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18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18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18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18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18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18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18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18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18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18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18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18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18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18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18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18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18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18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18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18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18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18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18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18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18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18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18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18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18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18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18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18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18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18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18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18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18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18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18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18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18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18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18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18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18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18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18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18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18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18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18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18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18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18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18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18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18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18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18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18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18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18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18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18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18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18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18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18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18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18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18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18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18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18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18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18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18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18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18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18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18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18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18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18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18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18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18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18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18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18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18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18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18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18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18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18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18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18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18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18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18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18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18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18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18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18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18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18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18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18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18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18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18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18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18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18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18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18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18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18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18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18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18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18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18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18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18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18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18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18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18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18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18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18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18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18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18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18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18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18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18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18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18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18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18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18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18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18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18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18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18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18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18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18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18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18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18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18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18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18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18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18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18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18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18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18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18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18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18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18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18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18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18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18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18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18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18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18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18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18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18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18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18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18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18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18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18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18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18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18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18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18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18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18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18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18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18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18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18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18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18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18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18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18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18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18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18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18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18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18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18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18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18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18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18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18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18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18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18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18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18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18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18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18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18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18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18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18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18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18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18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18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18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18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18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18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18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18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18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18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18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18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18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18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18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18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18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18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18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18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18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18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18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18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18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18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18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18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18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18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18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18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18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18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18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18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18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18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18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18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18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18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18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18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18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18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18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18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18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18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18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18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18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18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18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18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18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18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18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18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18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18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18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18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18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18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18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18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18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18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18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18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18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18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18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18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18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18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18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18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18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18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18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18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18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18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18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18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18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18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18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18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18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18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18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18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18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18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18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18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18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18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18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18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18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18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18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18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18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18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18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18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18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18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18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18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18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18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18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18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18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18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18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18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18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18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18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18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18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18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18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18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18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18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18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18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18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18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18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18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18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18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18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18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18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18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18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18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18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18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18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18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18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18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18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18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18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18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18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18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18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18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18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18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18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18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18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18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18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18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18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18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18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18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18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18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18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18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18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18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18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18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18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18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18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18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18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18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18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18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18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18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18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18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18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18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18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18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18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18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18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18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18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18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18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18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18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18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18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18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18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18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18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18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18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18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18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18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18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18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18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18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18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18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18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18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18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18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18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18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18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18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18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18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18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18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18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18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18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18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18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18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18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18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18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18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18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18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18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18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18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18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18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18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18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18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18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18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18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18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18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18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18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18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18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18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18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18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18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18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18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18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18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18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18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18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18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18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18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18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18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18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18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18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18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18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18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18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18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18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18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18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18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18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18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18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18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18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18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18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18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18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18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18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18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18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18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18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18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18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18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18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18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18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18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18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18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18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18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18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18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18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18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18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18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18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18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18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18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18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18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18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18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18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18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18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18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18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18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18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18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18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18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18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18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18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18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18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18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18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18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18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18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18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18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18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18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18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18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18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18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18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18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18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18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18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18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18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18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18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18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18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18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18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18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18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18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18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18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18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18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18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18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18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18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18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18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18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18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18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18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18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18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18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18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18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18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18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18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18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18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18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18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18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18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18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18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18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18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18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18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18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18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18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18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18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18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18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18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18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18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18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18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18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18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18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18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18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18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18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18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18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18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18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18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18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18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18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18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18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18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18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18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18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18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18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18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18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18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18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18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18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18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18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18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18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18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18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18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18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18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18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18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18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18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18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18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18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18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18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18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18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18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18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18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18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18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18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18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18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18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18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18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18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18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18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18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18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18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18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18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18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18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18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18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18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18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18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18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18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18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18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18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18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18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18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18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18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18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18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18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18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18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18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18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18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18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18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18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18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18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18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18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18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18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18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18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18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18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18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18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18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18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18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18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18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18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18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18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18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18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18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18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18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18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18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18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18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18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18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18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18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18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18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18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18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18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18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18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18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18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18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18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18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18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18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18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18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18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18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18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18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18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18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18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18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18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18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18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18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18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18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18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18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18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18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18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18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18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18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18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18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18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18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18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18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18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18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18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18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18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18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18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18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18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18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18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18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18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18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18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18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18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18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18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18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18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18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18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18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18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18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18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18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18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18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18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18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18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18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18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18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18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18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18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18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18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18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18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18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18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18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18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18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18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18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18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18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18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18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18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18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18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18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18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18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18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18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18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18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18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18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18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18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18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18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18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18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18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18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18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18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18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18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18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18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18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18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18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18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18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18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18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18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18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18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18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18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18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18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18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18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18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18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18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18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18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18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18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18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18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18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18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18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18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18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18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18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18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18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18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18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18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18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18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18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18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18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18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18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18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18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18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18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18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18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18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18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18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18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18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18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18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18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18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18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18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18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18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18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18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18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18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18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18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18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18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18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18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18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18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18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18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18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18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18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18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18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18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18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18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18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18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18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18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18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18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18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18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18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18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18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18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18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18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18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18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18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18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18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18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18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18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18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18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18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18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18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18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18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18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18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18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18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18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18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18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18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18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18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18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18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18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18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18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18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18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18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18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18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18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18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18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18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18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18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18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18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18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18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18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18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18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18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18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18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18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18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18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18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18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18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18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18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18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18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18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18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18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18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18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18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18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18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18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18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18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18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18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18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18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18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18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18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18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18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18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18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18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18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18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18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18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18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18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18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18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18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18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18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18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18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18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18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18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18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18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18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18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18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18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18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18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18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18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18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18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18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18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18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18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18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18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18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18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18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18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18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18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18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18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18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18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18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18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18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18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18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18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18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18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18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18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18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18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18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18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18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18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18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18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18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18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18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18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18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18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18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18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18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18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18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18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18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18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18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18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18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18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18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18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18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18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18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18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18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18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18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18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18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18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18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18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18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18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18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18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18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18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18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18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18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18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18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18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18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18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18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18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18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18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18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18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18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18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18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18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18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18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18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18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18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18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18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18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18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18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18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18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18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18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18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18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18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18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18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18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18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18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18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18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18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18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18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18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18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18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18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18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18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18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18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18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18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18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18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18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18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18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18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18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18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18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18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18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18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18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18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18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18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18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18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18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18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18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18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18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18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18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18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18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18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18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18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18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18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18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18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18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18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18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18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18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18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18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18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18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18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18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18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18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18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18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18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18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18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18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18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18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18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18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18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18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18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18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18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18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18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18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18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18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18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18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18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18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18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18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18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18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18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18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18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18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18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18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18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18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18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18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18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18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18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18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18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18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18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18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18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18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18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18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18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18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18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18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18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18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18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18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18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18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18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18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18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18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18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18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18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18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18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18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18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18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18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18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18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18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18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18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18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18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18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18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18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18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18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18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18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18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18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18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18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18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18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18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18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18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18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18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18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18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18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18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18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18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18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18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18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18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18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18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18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18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18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18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18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18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18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18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18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18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18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18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18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18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18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18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18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18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18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18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18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18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18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18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18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18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18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18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18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18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18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18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18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18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18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18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18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18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18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18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18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18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18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18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18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18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18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18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18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18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18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18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18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18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18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18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18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18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18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18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18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18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18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18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18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18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18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18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18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18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18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18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18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18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18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18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18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18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18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18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18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18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18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18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18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18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18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18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18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18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18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18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18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18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18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18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18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18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18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18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18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18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18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18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18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18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18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18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18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18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18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18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18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18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18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18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18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18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18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18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18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18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18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18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18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18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18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18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18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18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18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18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18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18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18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18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18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18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18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18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18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18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18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18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25"/>
    <col customWidth="1" min="2" max="2" width="20.75"/>
  </cols>
  <sheetData>
    <row r="1">
      <c r="A1" s="20" t="s">
        <v>223</v>
      </c>
      <c r="B1" s="21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 t="s">
        <v>15</v>
      </c>
      <c r="B2" s="2" t="s">
        <v>224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2" t="s">
        <v>225</v>
      </c>
      <c r="B3" s="23">
        <f>SUMIFS('Company Report'!$J$2:$J$99,'Company Report'!$P$2:$P$99,$B$2)</f>
        <v>1454300000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24" t="s">
        <v>226</v>
      </c>
      <c r="B4" s="25">
        <f>COUNTIFS('Company Report'!$P$2:$P$99,$B$2)</f>
        <v>36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4" t="s">
        <v>227</v>
      </c>
      <c r="B5" s="26">
        <f>AVERAGEIFS('Company Report'!$J$2:$J$99,'Company Report'!$P$2:$P$99,$B$2)</f>
        <v>40397222.22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4" t="s">
        <v>228</v>
      </c>
      <c r="B6" s="26">
        <f>MINIFS('Company Report'!$J$2:$J$99,'Company Report'!$P$2:$P$99,$B$2)</f>
        <v>22140000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4" t="s">
        <v>229</v>
      </c>
      <c r="B7" s="26">
        <f>MAXIFS('Company Report'!$J$2:$J$99,'Company Report'!$P$2:$P$99,$B$2)</f>
        <v>55920000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mergeCells count="1">
    <mergeCell ref="A1:B1"/>
  </mergeCells>
  <dataValidations>
    <dataValidation type="list" allowBlank="1" showErrorMessage="1" sqref="B2">
      <formula1>"Startup,Established"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  <col customWidth="1" min="2" max="2" width="15.75"/>
    <col customWidth="1" min="3" max="3" width="26.0"/>
    <col customWidth="1" min="4" max="4" width="16.25"/>
  </cols>
  <sheetData>
    <row r="1">
      <c r="A1" s="27" t="s">
        <v>230</v>
      </c>
      <c r="B1" s="27" t="s">
        <v>231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>
      <c r="A2" s="29" t="s">
        <v>18</v>
      </c>
      <c r="B2" s="29" t="s">
        <v>232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>
      <c r="A3" s="29" t="s">
        <v>21</v>
      </c>
      <c r="B3" s="30" t="s">
        <v>233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>
      <c r="A4" s="29" t="s">
        <v>24</v>
      </c>
      <c r="B4" s="29" t="s">
        <v>234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>
      <c r="A5" s="29" t="s">
        <v>27</v>
      </c>
      <c r="B5" s="29" t="s">
        <v>235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</row>
    <row r="6">
      <c r="A6" s="29" t="s">
        <v>31</v>
      </c>
      <c r="B6" s="29" t="s">
        <v>236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>
      <c r="A7" s="29" t="s">
        <v>35</v>
      </c>
      <c r="B7" s="30" t="s">
        <v>237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</row>
    <row r="8">
      <c r="A8" s="29" t="s">
        <v>39</v>
      </c>
      <c r="B8" s="29" t="s">
        <v>238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</row>
    <row r="9">
      <c r="A9" s="29" t="s">
        <v>43</v>
      </c>
      <c r="B9" s="29" t="s">
        <v>239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>
      <c r="A10" s="29" t="s">
        <v>46</v>
      </c>
      <c r="B10" s="29" t="s">
        <v>240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>
      <c r="A11" s="29" t="s">
        <v>49</v>
      </c>
      <c r="B11" s="29" t="s">
        <v>241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>
      <c r="A12" s="29" t="s">
        <v>53</v>
      </c>
      <c r="B12" s="29" t="s">
        <v>242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>
      <c r="A13" s="29" t="s">
        <v>57</v>
      </c>
      <c r="B13" s="29" t="s">
        <v>243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</row>
    <row r="14">
      <c r="A14" s="29" t="s">
        <v>60</v>
      </c>
      <c r="B14" s="29" t="s">
        <v>244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>
      <c r="A15" s="29" t="s">
        <v>64</v>
      </c>
      <c r="B15" s="29" t="s">
        <v>245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</row>
    <row r="16">
      <c r="A16" s="29" t="s">
        <v>69</v>
      </c>
      <c r="B16" s="30" t="s">
        <v>246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</row>
    <row r="17">
      <c r="A17" s="29" t="s">
        <v>73</v>
      </c>
      <c r="B17" s="30" t="s">
        <v>247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</row>
    <row r="18">
      <c r="A18" s="29" t="s">
        <v>76</v>
      </c>
      <c r="B18" s="30" t="s">
        <v>248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</row>
    <row r="19">
      <c r="A19" s="29" t="s">
        <v>79</v>
      </c>
      <c r="B19" s="30" t="s">
        <v>249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</row>
    <row r="20">
      <c r="A20" s="29" t="s">
        <v>83</v>
      </c>
      <c r="B20" s="29" t="s">
        <v>250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>
      <c r="A21" s="29" t="s">
        <v>88</v>
      </c>
      <c r="B21" s="29" t="s">
        <v>251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</row>
    <row r="22">
      <c r="A22" s="29" t="s">
        <v>92</v>
      </c>
      <c r="B22" s="30" t="s">
        <v>252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</row>
    <row r="23">
      <c r="A23" s="29" t="s">
        <v>95</v>
      </c>
      <c r="B23" s="29" t="s">
        <v>253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</row>
    <row r="24">
      <c r="A24" s="29" t="s">
        <v>99</v>
      </c>
      <c r="B24" s="29" t="s">
        <v>254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>
      <c r="A25" s="29" t="s">
        <v>103</v>
      </c>
      <c r="B25" s="30" t="s">
        <v>255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>
      <c r="A26" s="29" t="s">
        <v>108</v>
      </c>
      <c r="B26" s="29" t="s">
        <v>256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>
      <c r="A27" s="29" t="s">
        <v>112</v>
      </c>
      <c r="B27" s="29" t="s">
        <v>257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>
      <c r="A28" s="29" t="s">
        <v>116</v>
      </c>
      <c r="B28" s="29" t="s">
        <v>258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>
      <c r="A29" s="28"/>
      <c r="B29" s="28"/>
      <c r="C29" s="28"/>
      <c r="D29" s="28"/>
      <c r="E29" s="3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>
      <c r="A30" s="28"/>
      <c r="B30" s="28"/>
      <c r="C30" s="28"/>
      <c r="D30" s="28"/>
      <c r="E30" s="3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>
      <c r="A31" s="28"/>
      <c r="B31" s="28"/>
      <c r="C31" s="28"/>
      <c r="D31" s="28"/>
      <c r="E31" s="32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7.0"/>
    <col customWidth="1" min="2" max="2" width="25.13"/>
  </cols>
  <sheetData>
    <row r="1">
      <c r="A1" s="20" t="s">
        <v>259</v>
      </c>
      <c r="B1" s="33"/>
      <c r="C1" s="34"/>
      <c r="D1" s="35"/>
      <c r="E1" s="35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 t="s">
        <v>3</v>
      </c>
      <c r="B2" s="2" t="s">
        <v>18</v>
      </c>
      <c r="C2" s="36"/>
      <c r="D2" s="3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7" t="s">
        <v>260</v>
      </c>
      <c r="B3" s="24" t="str">
        <f>VLOOKUP(B2,'State Abbreviation'!A2:B28,2,"False")</f>
        <v>AP</v>
      </c>
      <c r="C3" s="7"/>
      <c r="D3" s="3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9" t="s">
        <v>261</v>
      </c>
      <c r="B4" s="40">
        <f>SUMIFS('Company Report'!$J$2:$J$99,'Company Report'!$D$2:$D$99,$B$2)</f>
        <v>161770000</v>
      </c>
      <c r="C4" s="7"/>
      <c r="D4" s="3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9" t="s">
        <v>262</v>
      </c>
      <c r="B5" s="41">
        <f>COUNTIFS('Company Report'!$D$2:$D$99,$B$2)</f>
        <v>4</v>
      </c>
      <c r="C5" s="7"/>
      <c r="D5" s="3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9" t="s">
        <v>263</v>
      </c>
      <c r="B6" s="42">
        <f>AVERAGEIFS('Company Report'!$J$2:$J$99,'Company Report'!$D$2:$D$99,$B$2)</f>
        <v>40442500</v>
      </c>
      <c r="C6" s="7"/>
      <c r="D6" s="3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9" t="s">
        <v>264</v>
      </c>
      <c r="B7" s="43">
        <f>AVERAGEIFS('Company Report'!$E$2:$E$99,'Company Report'!$D$2:$D$99,$B$2)</f>
        <v>6</v>
      </c>
      <c r="C7" s="7"/>
      <c r="D7" s="3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9" t="s">
        <v>265</v>
      </c>
      <c r="B8" s="41">
        <f>roundup(B7)</f>
        <v>6</v>
      </c>
      <c r="C8" s="7"/>
      <c r="D8" s="3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4" t="s">
        <v>266</v>
      </c>
      <c r="B9" s="41" t="str">
        <f>B3&amp;"_" &amp;B8&amp;"_"&amp;B6</f>
        <v>AP_6_40442500</v>
      </c>
      <c r="C9" s="7"/>
      <c r="D9" s="3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4" t="s">
        <v>267</v>
      </c>
      <c r="B10" s="41" t="str">
        <f>TEXTJOIN("_",,B3,B8,B6)</f>
        <v>AP_6_40442500</v>
      </c>
      <c r="C10" s="7"/>
      <c r="D10" s="3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5" t="s">
        <v>268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A13" s="38" t="str">
        <f>B2&amp;" has "&amp;B5&amp;" companies. "&amp; "Average turnover of the companies which are headquartered in this state is "&amp;B6</f>
        <v>Andhra Pradesh has 4 companies. Average turnover of the companies which are headquartered in this state is 40442500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mergeCells count="2">
    <mergeCell ref="A1:B1"/>
    <mergeCell ref="A13:D13"/>
  </mergeCells>
  <dataValidations>
    <dataValidation type="list" allowBlank="1" showErrorMessage="1" sqref="B2">
      <formula1>'State Abbreviation'!$A$2:$A$28</formula1>
    </dataValidation>
  </dataValidations>
  <drawing r:id="rId1"/>
</worksheet>
</file>