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7ce5ebe0e9373496/Documents/"/>
    </mc:Choice>
  </mc:AlternateContent>
  <xr:revisionPtr revIDLastSave="7" documentId="8_{078719AC-82DB-BA4F-B328-8BE07030AB03}" xr6:coauthVersionLast="47" xr6:coauthVersionMax="47" xr10:uidLastSave="{08CCD4E8-2F62-EC4B-84B5-BCC86B9F811D}"/>
  <bookViews>
    <workbookView xWindow="3660" yWindow="500" windowWidth="25080" windowHeight="16300" activeTab="3" xr2:uid="{00000000-000D-0000-FFFF-FFFF00000000}"/>
  </bookViews>
  <sheets>
    <sheet name="Visualisation" sheetId="6" r:id="rId1"/>
    <sheet name="Financial Statement" sheetId="1" r:id="rId2"/>
    <sheet name="Free Cash Flow" sheetId="4" r:id="rId3"/>
    <sheet name="Worksheet" sheetId="3" r:id="rId4"/>
    <sheet name="sales proejction" sheetId="5" r:id="rId5"/>
    <sheet name="workings" sheetId="2" r:id="rId6"/>
  </sheets>
  <definedNames>
    <definedName name="_xlchart.v1.0" hidden="1">workings!$K$31:$K$33</definedName>
    <definedName name="_xlchart.v1.1" hidden="1">workings!$L$31:$L$33</definedName>
    <definedName name="_xlchart.v1.2" hidden="1">workings!$K$31:$K$33</definedName>
    <definedName name="_xlchart.v1.3" hidden="1">workings!$L$31:$L$33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9" i="3"/>
  <c r="C3" i="3"/>
  <c r="G102" i="1" l="1"/>
  <c r="D12" i="6"/>
  <c r="D11" i="6"/>
  <c r="L32" i="2"/>
  <c r="G14" i="1"/>
  <c r="D102" i="1"/>
  <c r="G4" i="5"/>
  <c r="E18" i="5"/>
  <c r="E22" i="5" s="1"/>
  <c r="D18" i="5"/>
  <c r="D22" i="5" s="1"/>
  <c r="C18" i="5"/>
  <c r="C22" i="5" s="1"/>
  <c r="E17" i="5"/>
  <c r="E21" i="5" s="1"/>
  <c r="D17" i="5"/>
  <c r="D21" i="5" s="1"/>
  <c r="C17" i="5"/>
  <c r="C21" i="5" s="1"/>
  <c r="E14" i="5"/>
  <c r="D14" i="5"/>
  <c r="C14" i="5"/>
  <c r="E12" i="5"/>
  <c r="D12" i="5"/>
  <c r="C12" i="5"/>
  <c r="E8" i="5"/>
  <c r="E5" i="1" s="1"/>
  <c r="D8" i="5"/>
  <c r="D5" i="1" s="1"/>
  <c r="D18" i="1" s="1"/>
  <c r="C8" i="5"/>
  <c r="C5" i="1" s="1"/>
  <c r="B8" i="5"/>
  <c r="E7" i="5"/>
  <c r="D7" i="5"/>
  <c r="F7" i="5" s="1"/>
  <c r="C7" i="5"/>
  <c r="E8" i="4"/>
  <c r="D8" i="4"/>
  <c r="C8" i="4"/>
  <c r="E6" i="4"/>
  <c r="D6" i="4"/>
  <c r="C6" i="4"/>
  <c r="C27" i="3"/>
  <c r="C5" i="3"/>
  <c r="D3" i="3" s="1"/>
  <c r="E98" i="1"/>
  <c r="E97" i="1"/>
  <c r="E101" i="1" s="1"/>
  <c r="D97" i="1"/>
  <c r="D101" i="1" s="1"/>
  <c r="C97" i="1"/>
  <c r="E94" i="1"/>
  <c r="D94" i="1"/>
  <c r="D98" i="1" s="1"/>
  <c r="C94" i="1"/>
  <c r="C98" i="1" s="1"/>
  <c r="G80" i="1"/>
  <c r="E80" i="1"/>
  <c r="F76" i="1"/>
  <c r="G76" i="1" s="1"/>
  <c r="H76" i="1" s="1"/>
  <c r="P75" i="1"/>
  <c r="O75" i="1"/>
  <c r="N75" i="1"/>
  <c r="M75" i="1"/>
  <c r="L75" i="1"/>
  <c r="K75" i="1"/>
  <c r="J75" i="1"/>
  <c r="I75" i="1"/>
  <c r="H75" i="1"/>
  <c r="G75" i="1"/>
  <c r="E75" i="1"/>
  <c r="D75" i="1"/>
  <c r="D80" i="1" s="1"/>
  <c r="C75" i="1"/>
  <c r="E74" i="1"/>
  <c r="C74" i="1"/>
  <c r="D70" i="1"/>
  <c r="C70" i="1"/>
  <c r="E67" i="1"/>
  <c r="E70" i="1" s="1"/>
  <c r="D67" i="1"/>
  <c r="C67" i="1"/>
  <c r="E65" i="1"/>
  <c r="D65" i="1"/>
  <c r="C65" i="1"/>
  <c r="E62" i="1"/>
  <c r="D62" i="1"/>
  <c r="C62" i="1"/>
  <c r="E55" i="1"/>
  <c r="D55" i="1"/>
  <c r="C55" i="1"/>
  <c r="E51" i="1"/>
  <c r="D51" i="1"/>
  <c r="C51" i="1"/>
  <c r="F44" i="1"/>
  <c r="E33" i="1"/>
  <c r="D33" i="1"/>
  <c r="C33" i="1"/>
  <c r="F20" i="1"/>
  <c r="E17" i="1"/>
  <c r="D17" i="1"/>
  <c r="C17" i="1"/>
  <c r="C11" i="1"/>
  <c r="E8" i="1"/>
  <c r="E93" i="1" s="1"/>
  <c r="D8" i="1"/>
  <c r="D93" i="1" s="1"/>
  <c r="C8" i="1"/>
  <c r="F14" i="5" l="1"/>
  <c r="F12" i="5"/>
  <c r="G11" i="5" s="1"/>
  <c r="C14" i="1"/>
  <c r="C3" i="4" s="1"/>
  <c r="C5" i="4" s="1"/>
  <c r="C9" i="4" s="1"/>
  <c r="C12" i="4" s="1"/>
  <c r="C18" i="1"/>
  <c r="E95" i="1"/>
  <c r="E39" i="1"/>
  <c r="E18" i="1"/>
  <c r="E12" i="1"/>
  <c r="E9" i="1"/>
  <c r="C20" i="1"/>
  <c r="C80" i="1"/>
  <c r="D14" i="1"/>
  <c r="D91" i="1"/>
  <c r="D6" i="1"/>
  <c r="D41" i="1"/>
  <c r="D12" i="1"/>
  <c r="E6" i="1"/>
  <c r="C41" i="1"/>
  <c r="C12" i="1"/>
  <c r="C91" i="1"/>
  <c r="C39" i="1"/>
  <c r="C89" i="1"/>
  <c r="C9" i="1"/>
  <c r="D39" i="1"/>
  <c r="D9" i="1"/>
  <c r="H80" i="1"/>
  <c r="I76" i="1"/>
  <c r="E91" i="1"/>
  <c r="E102" i="1"/>
  <c r="E7" i="4" s="1"/>
  <c r="D5" i="3"/>
  <c r="E3" i="3" s="1"/>
  <c r="F21" i="5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D89" i="1"/>
  <c r="E89" i="1"/>
  <c r="G17" i="5"/>
  <c r="H11" i="5"/>
  <c r="E14" i="1"/>
  <c r="E41" i="1"/>
  <c r="N14" i="5"/>
  <c r="M14" i="5"/>
  <c r="L14" i="5"/>
  <c r="K14" i="5"/>
  <c r="J14" i="5"/>
  <c r="I14" i="5"/>
  <c r="G13" i="5"/>
  <c r="P14" i="5"/>
  <c r="H14" i="5"/>
  <c r="O14" i="5"/>
  <c r="G14" i="5"/>
  <c r="F22" i="5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C101" i="1"/>
  <c r="D7" i="4" s="1"/>
  <c r="D95" i="1"/>
  <c r="C7" i="3"/>
  <c r="G17" i="1" s="1"/>
  <c r="C95" i="1"/>
  <c r="F91" i="1" l="1"/>
  <c r="E20" i="1"/>
  <c r="E3" i="4"/>
  <c r="E5" i="4" s="1"/>
  <c r="E9" i="4" s="1"/>
  <c r="E12" i="4" s="1"/>
  <c r="F12" i="1"/>
  <c r="I11" i="5"/>
  <c r="D7" i="3"/>
  <c r="D9" i="3" s="1"/>
  <c r="H17" i="1" s="1"/>
  <c r="F41" i="1"/>
  <c r="I80" i="1"/>
  <c r="J76" i="1"/>
  <c r="E5" i="3"/>
  <c r="F3" i="3" s="1"/>
  <c r="D3" i="4"/>
  <c r="D5" i="4" s="1"/>
  <c r="D9" i="4" s="1"/>
  <c r="D12" i="4" s="1"/>
  <c r="D20" i="1"/>
  <c r="F9" i="1"/>
  <c r="C23" i="1"/>
  <c r="C22" i="1"/>
  <c r="G91" i="1"/>
  <c r="I13" i="5"/>
  <c r="H13" i="5"/>
  <c r="I18" i="5" s="1"/>
  <c r="I5" i="5" s="1"/>
  <c r="G18" i="5"/>
  <c r="G5" i="5" s="1"/>
  <c r="H17" i="5"/>
  <c r="H4" i="5" s="1"/>
  <c r="G8" i="5" l="1"/>
  <c r="G5" i="1" s="1"/>
  <c r="H18" i="5"/>
  <c r="H5" i="5" s="1"/>
  <c r="H8" i="5" s="1"/>
  <c r="H5" i="1" s="1"/>
  <c r="J11" i="5"/>
  <c r="J17" i="5"/>
  <c r="J4" i="5" s="1"/>
  <c r="K13" i="5"/>
  <c r="J13" i="5"/>
  <c r="I17" i="5"/>
  <c r="I4" i="5" s="1"/>
  <c r="I8" i="5" s="1"/>
  <c r="I5" i="1" s="1"/>
  <c r="E7" i="3"/>
  <c r="E9" i="3" s="1"/>
  <c r="I17" i="1" s="1"/>
  <c r="H91" i="1"/>
  <c r="J80" i="1"/>
  <c r="K76" i="1"/>
  <c r="E22" i="1"/>
  <c r="E23" i="1"/>
  <c r="D23" i="1"/>
  <c r="D22" i="1"/>
  <c r="F5" i="3"/>
  <c r="G3" i="3" s="1"/>
  <c r="C44" i="1"/>
  <c r="C63" i="1" s="1"/>
  <c r="C81" i="1" s="1"/>
  <c r="C83" i="1" s="1"/>
  <c r="C27" i="1"/>
  <c r="C28" i="1"/>
  <c r="K18" i="5" l="1"/>
  <c r="K5" i="5" s="1"/>
  <c r="I18" i="1"/>
  <c r="L76" i="1"/>
  <c r="K80" i="1"/>
  <c r="E27" i="1"/>
  <c r="E28" i="1"/>
  <c r="E44" i="1"/>
  <c r="E63" i="1" s="1"/>
  <c r="E81" i="1" s="1"/>
  <c r="E83" i="1" s="1"/>
  <c r="G82" i="1" s="1"/>
  <c r="J18" i="5"/>
  <c r="J5" i="5" s="1"/>
  <c r="J8" i="5" s="1"/>
  <c r="J5" i="1" s="1"/>
  <c r="L13" i="5"/>
  <c r="L18" i="5" s="1"/>
  <c r="L5" i="5" s="1"/>
  <c r="M13" i="5"/>
  <c r="K11" i="5"/>
  <c r="I91" i="1"/>
  <c r="J91" i="1" s="1"/>
  <c r="G94" i="1"/>
  <c r="G60" i="1" s="1"/>
  <c r="G11" i="1"/>
  <c r="G8" i="1"/>
  <c r="G90" i="1"/>
  <c r="G40" i="1"/>
  <c r="G10" i="1"/>
  <c r="G6" i="1"/>
  <c r="G18" i="1"/>
  <c r="H90" i="1"/>
  <c r="H94" i="1"/>
  <c r="H11" i="1"/>
  <c r="H8" i="1"/>
  <c r="H40" i="1"/>
  <c r="H10" i="1"/>
  <c r="H6" i="1"/>
  <c r="G5" i="3"/>
  <c r="H3" i="3" s="1"/>
  <c r="F7" i="3"/>
  <c r="F9" i="3" s="1"/>
  <c r="J17" i="1" s="1"/>
  <c r="D44" i="1"/>
  <c r="D63" i="1" s="1"/>
  <c r="D81" i="1" s="1"/>
  <c r="D83" i="1" s="1"/>
  <c r="D28" i="1"/>
  <c r="D27" i="1"/>
  <c r="H18" i="1"/>
  <c r="I94" i="1"/>
  <c r="I40" i="1"/>
  <c r="I10" i="1"/>
  <c r="I11" i="1"/>
  <c r="I8" i="1"/>
  <c r="I6" i="1"/>
  <c r="G7" i="3" l="1"/>
  <c r="G9" i="3" s="1"/>
  <c r="K17" i="1" s="1"/>
  <c r="H14" i="1"/>
  <c r="I60" i="1"/>
  <c r="J94" i="1"/>
  <c r="J60" i="1" s="1"/>
  <c r="J40" i="1"/>
  <c r="J10" i="1"/>
  <c r="J6" i="1"/>
  <c r="J90" i="1"/>
  <c r="J11" i="1"/>
  <c r="J8" i="1"/>
  <c r="F3" i="4"/>
  <c r="F5" i="4" s="1"/>
  <c r="G20" i="1"/>
  <c r="I88" i="1"/>
  <c r="G8" i="4"/>
  <c r="D17" i="3"/>
  <c r="H65" i="1" s="1"/>
  <c r="H70" i="1" s="1"/>
  <c r="L11" i="5"/>
  <c r="I14" i="1"/>
  <c r="K17" i="5"/>
  <c r="K4" i="5" s="1"/>
  <c r="K8" i="5" s="1"/>
  <c r="K5" i="1" s="1"/>
  <c r="I90" i="1"/>
  <c r="I58" i="1" s="1"/>
  <c r="H88" i="1"/>
  <c r="C17" i="3"/>
  <c r="F8" i="4"/>
  <c r="J18" i="1"/>
  <c r="H58" i="1"/>
  <c r="G58" i="1"/>
  <c r="L91" i="1"/>
  <c r="M91" i="1" s="1"/>
  <c r="G3" i="4"/>
  <c r="G5" i="4" s="1"/>
  <c r="H20" i="1"/>
  <c r="K91" i="1"/>
  <c r="O13" i="5"/>
  <c r="N13" i="5"/>
  <c r="O18" i="5" s="1"/>
  <c r="O5" i="5" s="1"/>
  <c r="H8" i="4"/>
  <c r="E17" i="3"/>
  <c r="I65" i="1" s="1"/>
  <c r="I70" i="1" s="1"/>
  <c r="H5" i="3"/>
  <c r="I3" i="3" s="1"/>
  <c r="H60" i="1"/>
  <c r="G88" i="1"/>
  <c r="G92" i="1" s="1"/>
  <c r="M18" i="5"/>
  <c r="M5" i="5" s="1"/>
  <c r="M76" i="1"/>
  <c r="L80" i="1"/>
  <c r="J58" i="1" l="1"/>
  <c r="G98" i="1"/>
  <c r="G59" i="1"/>
  <c r="H21" i="1"/>
  <c r="H23" i="1" s="1"/>
  <c r="H44" i="1" s="1"/>
  <c r="I97" i="1"/>
  <c r="J57" i="1"/>
  <c r="K94" i="1"/>
  <c r="K60" i="1" s="1"/>
  <c r="K40" i="1"/>
  <c r="K10" i="1"/>
  <c r="K6" i="1"/>
  <c r="K11" i="1"/>
  <c r="K90" i="1"/>
  <c r="K8" i="1"/>
  <c r="K14" i="1" s="1"/>
  <c r="H3" i="4"/>
  <c r="H5" i="4" s="1"/>
  <c r="I20" i="1"/>
  <c r="I5" i="3"/>
  <c r="J3" i="3" s="1"/>
  <c r="J88" i="1"/>
  <c r="H97" i="1"/>
  <c r="I57" i="1"/>
  <c r="J14" i="1"/>
  <c r="I92" i="1"/>
  <c r="N18" i="5"/>
  <c r="N5" i="5" s="1"/>
  <c r="P13" i="5"/>
  <c r="P18" i="5" s="1"/>
  <c r="P5" i="5" s="1"/>
  <c r="M11" i="5"/>
  <c r="G21" i="1"/>
  <c r="G23" i="1" s="1"/>
  <c r="G44" i="1" s="1"/>
  <c r="I8" i="4"/>
  <c r="F17" i="3"/>
  <c r="J65" i="1" s="1"/>
  <c r="J70" i="1" s="1"/>
  <c r="H7" i="3"/>
  <c r="H9" i="3" s="1"/>
  <c r="L17" i="1" s="1"/>
  <c r="H92" i="1"/>
  <c r="N76" i="1"/>
  <c r="M80" i="1"/>
  <c r="K18" i="1"/>
  <c r="G97" i="1"/>
  <c r="H57" i="1"/>
  <c r="G57" i="1"/>
  <c r="N91" i="1"/>
  <c r="G65" i="1"/>
  <c r="G70" i="1" s="1"/>
  <c r="C22" i="3"/>
  <c r="L17" i="5"/>
  <c r="L4" i="5" s="1"/>
  <c r="L8" i="5" s="1"/>
  <c r="L5" i="1" s="1"/>
  <c r="G101" i="1" l="1"/>
  <c r="L18" i="1"/>
  <c r="O76" i="1"/>
  <c r="N80" i="1"/>
  <c r="H98" i="1"/>
  <c r="H101" i="1" s="1"/>
  <c r="H59" i="1"/>
  <c r="I59" i="1"/>
  <c r="I98" i="1"/>
  <c r="I101" i="1" s="1"/>
  <c r="J8" i="4"/>
  <c r="G17" i="3"/>
  <c r="K65" i="1" s="1"/>
  <c r="K70" i="1" s="1"/>
  <c r="J97" i="1"/>
  <c r="J92" i="1"/>
  <c r="J5" i="3"/>
  <c r="K3" i="3" s="1"/>
  <c r="J7" i="3"/>
  <c r="J9" i="3" s="1"/>
  <c r="N17" i="1" s="1"/>
  <c r="I7" i="3"/>
  <c r="I9" i="3" s="1"/>
  <c r="M17" i="1" s="1"/>
  <c r="L94" i="1"/>
  <c r="L60" i="1" s="1"/>
  <c r="L6" i="1"/>
  <c r="L40" i="1"/>
  <c r="H17" i="3" s="1"/>
  <c r="L65" i="1" s="1"/>
  <c r="L70" i="1" s="1"/>
  <c r="L10" i="1"/>
  <c r="L8" i="1"/>
  <c r="L11" i="1"/>
  <c r="L14" i="1" s="1"/>
  <c r="L20" i="1" s="1"/>
  <c r="L90" i="1"/>
  <c r="L58" i="1" s="1"/>
  <c r="N11" i="5"/>
  <c r="M17" i="5"/>
  <c r="M4" i="5" s="1"/>
  <c r="M8" i="5" s="1"/>
  <c r="M5" i="1" s="1"/>
  <c r="J3" i="4"/>
  <c r="J5" i="4" s="1"/>
  <c r="K20" i="1"/>
  <c r="O91" i="1"/>
  <c r="P91" i="1" s="1"/>
  <c r="F7" i="4"/>
  <c r="I21" i="1"/>
  <c r="I23" i="1" s="1"/>
  <c r="I44" i="1" s="1"/>
  <c r="I3" i="4"/>
  <c r="I5" i="4" s="1"/>
  <c r="J20" i="1"/>
  <c r="C24" i="3"/>
  <c r="C18" i="3" s="1"/>
  <c r="K88" i="1"/>
  <c r="K57" i="1" s="1"/>
  <c r="K58" i="1"/>
  <c r="L21" i="1" l="1"/>
  <c r="L23" i="1" s="1"/>
  <c r="L44" i="1" s="1"/>
  <c r="I102" i="1"/>
  <c r="H7" i="4" s="1"/>
  <c r="H102" i="1"/>
  <c r="G7" i="4" s="1"/>
  <c r="O11" i="5"/>
  <c r="N17" i="5"/>
  <c r="N4" i="5" s="1"/>
  <c r="N8" i="5" s="1"/>
  <c r="N5" i="1" s="1"/>
  <c r="N18" i="1" s="1"/>
  <c r="M18" i="1"/>
  <c r="M94" i="1"/>
  <c r="M60" i="1" s="1"/>
  <c r="M6" i="1"/>
  <c r="M11" i="1"/>
  <c r="M8" i="1"/>
  <c r="M14" i="1" s="1"/>
  <c r="M20" i="1" s="1"/>
  <c r="M90" i="1"/>
  <c r="M58" i="1" s="1"/>
  <c r="M10" i="1"/>
  <c r="M40" i="1"/>
  <c r="I17" i="3" s="1"/>
  <c r="M65" i="1" s="1"/>
  <c r="M70" i="1" s="1"/>
  <c r="K97" i="1"/>
  <c r="K21" i="1"/>
  <c r="K23" i="1" s="1"/>
  <c r="K44" i="1" s="1"/>
  <c r="K5" i="3"/>
  <c r="L3" i="3" s="1"/>
  <c r="K92" i="1"/>
  <c r="P76" i="1"/>
  <c r="P80" i="1" s="1"/>
  <c r="O80" i="1"/>
  <c r="G47" i="1"/>
  <c r="G63" i="1" s="1"/>
  <c r="G81" i="1" s="1"/>
  <c r="G83" i="1" s="1"/>
  <c r="H82" i="1" s="1"/>
  <c r="G38" i="1"/>
  <c r="C19" i="3"/>
  <c r="D16" i="3" s="1"/>
  <c r="J21" i="1"/>
  <c r="J23" i="1" s="1"/>
  <c r="J44" i="1" s="1"/>
  <c r="L88" i="1"/>
  <c r="L57" i="1" s="1"/>
  <c r="J98" i="1"/>
  <c r="J101" i="1" s="1"/>
  <c r="J59" i="1"/>
  <c r="K7" i="3" l="1"/>
  <c r="K9" i="3" s="1"/>
  <c r="O17" i="1" s="1"/>
  <c r="J102" i="1"/>
  <c r="I7" i="4" s="1"/>
  <c r="M21" i="1"/>
  <c r="M23" i="1"/>
  <c r="M44" i="1" s="1"/>
  <c r="P11" i="5"/>
  <c r="P17" i="5" s="1"/>
  <c r="P4" i="5" s="1"/>
  <c r="P8" i="5" s="1"/>
  <c r="P5" i="1" s="1"/>
  <c r="K98" i="1"/>
  <c r="K101" i="1" s="1"/>
  <c r="K59" i="1"/>
  <c r="M88" i="1"/>
  <c r="M92" i="1" s="1"/>
  <c r="L92" i="1"/>
  <c r="D22" i="3"/>
  <c r="D18" i="3" s="1"/>
  <c r="D19" i="3"/>
  <c r="E16" i="3" s="1"/>
  <c r="L97" i="1"/>
  <c r="O17" i="5"/>
  <c r="O4" i="5" s="1"/>
  <c r="O8" i="5" s="1"/>
  <c r="O5" i="1" s="1"/>
  <c r="O18" i="1" s="1"/>
  <c r="F6" i="4"/>
  <c r="F9" i="4" s="1"/>
  <c r="F12" i="4" s="1"/>
  <c r="G39" i="1"/>
  <c r="L5" i="3"/>
  <c r="L7" i="3" s="1"/>
  <c r="L9" i="3" s="1"/>
  <c r="P17" i="1" s="1"/>
  <c r="N11" i="1"/>
  <c r="N94" i="1"/>
  <c r="N60" i="1" s="1"/>
  <c r="N90" i="1"/>
  <c r="N8" i="1"/>
  <c r="N6" i="1"/>
  <c r="N40" i="1"/>
  <c r="J17" i="3" s="1"/>
  <c r="N65" i="1" s="1"/>
  <c r="N70" i="1" s="1"/>
  <c r="N10" i="1"/>
  <c r="N14" i="1" l="1"/>
  <c r="N20" i="1" s="1"/>
  <c r="N23" i="1" s="1"/>
  <c r="N44" i="1" s="1"/>
  <c r="K102" i="1"/>
  <c r="J7" i="4" s="1"/>
  <c r="P90" i="1"/>
  <c r="P94" i="1"/>
  <c r="P8" i="1"/>
  <c r="P10" i="1"/>
  <c r="P11" i="1"/>
  <c r="P40" i="1"/>
  <c r="L17" i="3" s="1"/>
  <c r="P65" i="1" s="1"/>
  <c r="P70" i="1" s="1"/>
  <c r="P6" i="1"/>
  <c r="P18" i="1"/>
  <c r="E22" i="3"/>
  <c r="E18" i="3" s="1"/>
  <c r="E19" i="3" s="1"/>
  <c r="F16" i="3" s="1"/>
  <c r="N88" i="1"/>
  <c r="N92" i="1" s="1"/>
  <c r="O94" i="1"/>
  <c r="O60" i="1" s="1"/>
  <c r="O8" i="1"/>
  <c r="O90" i="1"/>
  <c r="P58" i="1" s="1"/>
  <c r="O11" i="1"/>
  <c r="O40" i="1"/>
  <c r="K17" i="3" s="1"/>
  <c r="O65" i="1" s="1"/>
  <c r="O70" i="1" s="1"/>
  <c r="O6" i="1"/>
  <c r="O10" i="1"/>
  <c r="N58" i="1"/>
  <c r="L98" i="1"/>
  <c r="L101" i="1" s="1"/>
  <c r="L59" i="1"/>
  <c r="M98" i="1"/>
  <c r="M59" i="1"/>
  <c r="M97" i="1"/>
  <c r="M57" i="1"/>
  <c r="N21" i="1"/>
  <c r="H38" i="1"/>
  <c r="H47" i="1"/>
  <c r="H63" i="1" s="1"/>
  <c r="H81" i="1" s="1"/>
  <c r="H83" i="1" s="1"/>
  <c r="I82" i="1" s="1"/>
  <c r="O14" i="1" l="1"/>
  <c r="O20" i="1" s="1"/>
  <c r="M101" i="1"/>
  <c r="M102" i="1" s="1"/>
  <c r="O58" i="1"/>
  <c r="N57" i="1"/>
  <c r="P60" i="1"/>
  <c r="N98" i="1"/>
  <c r="N59" i="1"/>
  <c r="O21" i="1"/>
  <c r="O23" i="1" s="1"/>
  <c r="O44" i="1" s="1"/>
  <c r="G6" i="4"/>
  <c r="G9" i="4" s="1"/>
  <c r="G12" i="4" s="1"/>
  <c r="H39" i="1"/>
  <c r="N97" i="1"/>
  <c r="F22" i="3"/>
  <c r="F18" i="3" s="1"/>
  <c r="I47" i="1"/>
  <c r="I63" i="1" s="1"/>
  <c r="I81" i="1" s="1"/>
  <c r="I83" i="1" s="1"/>
  <c r="J82" i="1" s="1"/>
  <c r="I38" i="1"/>
  <c r="P88" i="1"/>
  <c r="P97" i="1" s="1"/>
  <c r="O88" i="1"/>
  <c r="P14" i="1"/>
  <c r="P20" i="1" s="1"/>
  <c r="L102" i="1"/>
  <c r="N101" i="1" l="1"/>
  <c r="P92" i="1"/>
  <c r="H6" i="4"/>
  <c r="H9" i="4" s="1"/>
  <c r="H12" i="4" s="1"/>
  <c r="I39" i="1"/>
  <c r="J47" i="1"/>
  <c r="J63" i="1" s="1"/>
  <c r="J81" i="1" s="1"/>
  <c r="J83" i="1" s="1"/>
  <c r="K82" i="1" s="1"/>
  <c r="J38" i="1"/>
  <c r="F19" i="3"/>
  <c r="G16" i="3" s="1"/>
  <c r="P21" i="1"/>
  <c r="P23" i="1" s="1"/>
  <c r="P44" i="1" s="1"/>
  <c r="N102" i="1"/>
  <c r="O97" i="1"/>
  <c r="P57" i="1"/>
  <c r="O92" i="1"/>
  <c r="O57" i="1"/>
  <c r="O98" i="1" l="1"/>
  <c r="O59" i="1"/>
  <c r="I6" i="4"/>
  <c r="I9" i="4" s="1"/>
  <c r="I12" i="4" s="1"/>
  <c r="J39" i="1"/>
  <c r="O101" i="1"/>
  <c r="P98" i="1"/>
  <c r="P101" i="1" s="1"/>
  <c r="P59" i="1"/>
  <c r="G22" i="3"/>
  <c r="G18" i="3" s="1"/>
  <c r="P102" i="1" l="1"/>
  <c r="O102" i="1"/>
  <c r="K47" i="1"/>
  <c r="K63" i="1" s="1"/>
  <c r="K81" i="1" s="1"/>
  <c r="K83" i="1" s="1"/>
  <c r="L82" i="1" s="1"/>
  <c r="K38" i="1"/>
  <c r="G19" i="3"/>
  <c r="H16" i="3" s="1"/>
  <c r="K39" i="1" l="1"/>
  <c r="J6" i="4"/>
  <c r="J9" i="4" s="1"/>
  <c r="C16" i="4" s="1"/>
  <c r="C17" i="4" s="1"/>
  <c r="H22" i="3"/>
  <c r="H18" i="3" s="1"/>
  <c r="H19" i="3" s="1"/>
  <c r="I16" i="3" s="1"/>
  <c r="I22" i="3" l="1"/>
  <c r="I18" i="3" s="1"/>
  <c r="I19" i="3" s="1"/>
  <c r="J16" i="3" s="1"/>
  <c r="L38" i="1"/>
  <c r="L39" i="1" s="1"/>
  <c r="L47" i="1"/>
  <c r="L63" i="1" s="1"/>
  <c r="L81" i="1" s="1"/>
  <c r="L83" i="1" s="1"/>
  <c r="M82" i="1" s="1"/>
  <c r="J12" i="4"/>
  <c r="C14" i="4" s="1"/>
  <c r="C19" i="4" s="1"/>
  <c r="C21" i="4" l="1"/>
  <c r="C22" i="4" s="1"/>
  <c r="J22" i="3"/>
  <c r="J18" i="3" s="1"/>
  <c r="J19" i="3" s="1"/>
  <c r="K16" i="3" s="1"/>
  <c r="M47" i="1"/>
  <c r="M63" i="1" s="1"/>
  <c r="M81" i="1" s="1"/>
  <c r="M83" i="1" s="1"/>
  <c r="N82" i="1" s="1"/>
  <c r="M38" i="1"/>
  <c r="M39" i="1" s="1"/>
  <c r="K22" i="3" l="1"/>
  <c r="K18" i="3" s="1"/>
  <c r="K19" i="3" s="1"/>
  <c r="L16" i="3" s="1"/>
  <c r="N38" i="1"/>
  <c r="N39" i="1" s="1"/>
  <c r="N47" i="1"/>
  <c r="N63" i="1" s="1"/>
  <c r="N81" i="1" s="1"/>
  <c r="N83" i="1" s="1"/>
  <c r="O82" i="1" s="1"/>
  <c r="L22" i="3" l="1"/>
  <c r="L18" i="3" s="1"/>
  <c r="L19" i="3" s="1"/>
  <c r="O38" i="1"/>
  <c r="O39" i="1" s="1"/>
  <c r="O47" i="1"/>
  <c r="O63" i="1" s="1"/>
  <c r="O81" i="1" s="1"/>
  <c r="O83" i="1" s="1"/>
  <c r="P82" i="1" s="1"/>
  <c r="P38" i="1" l="1"/>
  <c r="P39" i="1" s="1"/>
  <c r="P47" i="1"/>
  <c r="P63" i="1" s="1"/>
  <c r="P81" i="1" s="1"/>
  <c r="P83" i="1" s="1"/>
</calcChain>
</file>

<file path=xl/sharedStrings.xml><?xml version="1.0" encoding="utf-8"?>
<sst xmlns="http://schemas.openxmlformats.org/spreadsheetml/2006/main" count="171" uniqueCount="142">
  <si>
    <t>Starbucks Statement (in million dollars)</t>
  </si>
  <si>
    <t>Actual</t>
  </si>
  <si>
    <t>Projections</t>
  </si>
  <si>
    <t>Consolidated Statements of Income</t>
  </si>
  <si>
    <t>Revenues:</t>
  </si>
  <si>
    <t>Net sales</t>
  </si>
  <si>
    <t>Growth %age (CAGR)</t>
  </si>
  <si>
    <t>Costs and expenses:</t>
  </si>
  <si>
    <t>Cost of sales</t>
  </si>
  <si>
    <t>%age of Sales</t>
  </si>
  <si>
    <t>Selling, general and administrative expenses</t>
  </si>
  <si>
    <t>Adjusted Selling, general and administrative expenses</t>
  </si>
  <si>
    <t>Litigation settlement and related costs, net</t>
  </si>
  <si>
    <t>Reported Operating income (EBIT)</t>
  </si>
  <si>
    <t>Interest Expense:</t>
  </si>
  <si>
    <t>Interest income</t>
  </si>
  <si>
    <t>Interest Expense, net</t>
  </si>
  <si>
    <t>Other (income) expense</t>
  </si>
  <si>
    <t>Income Before Tax (PBT)</t>
  </si>
  <si>
    <t>Tax expense</t>
  </si>
  <si>
    <t>us tax rate</t>
  </si>
  <si>
    <t>Tax Rate</t>
  </si>
  <si>
    <t>Net Income</t>
  </si>
  <si>
    <t>Earning Per Share</t>
  </si>
  <si>
    <t>Basic</t>
  </si>
  <si>
    <t>Diluted</t>
  </si>
  <si>
    <t>Weighted-average number of common shares:</t>
  </si>
  <si>
    <t>Stock Options</t>
  </si>
  <si>
    <t>From Cash Flow Statement</t>
  </si>
  <si>
    <t>Depreciation &amp; Amortisation</t>
  </si>
  <si>
    <t>Capital Expenditure</t>
  </si>
  <si>
    <t>Cash flows from operating activities:</t>
  </si>
  <si>
    <t>Net income</t>
  </si>
  <si>
    <t>Adjustments to reconcile net income to net cash provided by</t>
  </si>
  <si>
    <t>operating activities:</t>
  </si>
  <si>
    <t>Depreciation and amortization</t>
  </si>
  <si>
    <t>Deferred income taxes</t>
  </si>
  <si>
    <t>Tax benefit of stock options</t>
  </si>
  <si>
    <t>Net gain resulting from divestiture of certain operations</t>
  </si>
  <si>
    <t>Income earned from equity method investees</t>
  </si>
  <si>
    <t>Loss (gain) on debt retirement</t>
  </si>
  <si>
    <t>Noncash share-based compensation</t>
  </si>
  <si>
    <t>Noncash inventory adjustments and asset impairments</t>
  </si>
  <si>
    <t>Other noncash gains and losses</t>
  </si>
  <si>
    <t>Change in operating assets and liabilities:</t>
  </si>
  <si>
    <t>Merchandise inventories</t>
  </si>
  <si>
    <t>Prepaid expenses and other current assets</t>
  </si>
  <si>
    <t>Accounts payable (change in opening - closing)</t>
  </si>
  <si>
    <t>Accrued expenses and other liabilities</t>
  </si>
  <si>
    <t>Income taxes</t>
  </si>
  <si>
    <t>Other</t>
  </si>
  <si>
    <t>Net cash provided by operating activities</t>
  </si>
  <si>
    <t>Cash flows from investing activities:</t>
  </si>
  <si>
    <t>Purchases of property and equipment</t>
  </si>
  <si>
    <t>Purchases of investments</t>
  </si>
  <si>
    <t>Short-term investments</t>
  </si>
  <si>
    <t>Sales of property and equipment</t>
  </si>
  <si>
    <t>Net cash used in investing activities</t>
  </si>
  <si>
    <t>Cash flows from financing activities:</t>
  </si>
  <si>
    <t>Issuance of common stock</t>
  </si>
  <si>
    <t>Repayments of commercial paper</t>
  </si>
  <si>
    <t>Issuance of long-term and short term obligations</t>
  </si>
  <si>
    <t>Debt Raised/(Repaid)</t>
  </si>
  <si>
    <t>Payment of cash dividends and related amounts</t>
  </si>
  <si>
    <t>Repurchases of common stock and settlement of equity awards,</t>
  </si>
  <si>
    <t>-</t>
  </si>
  <si>
    <t>Net cash used in financing activities</t>
  </si>
  <si>
    <t>Net increase (decrease) in cash and cash equivalents</t>
  </si>
  <si>
    <t>Cash and cash equivalents, beginning of year</t>
  </si>
  <si>
    <t>Cash and cash equivalents, end of year</t>
  </si>
  <si>
    <t>From Balance Sheet</t>
  </si>
  <si>
    <t>%age of sales</t>
  </si>
  <si>
    <t>Accounts payable</t>
  </si>
  <si>
    <t>WC (CA-CL)</t>
  </si>
  <si>
    <t>NCW</t>
  </si>
  <si>
    <t>Company owned stores</t>
  </si>
  <si>
    <t>licensed stores</t>
  </si>
  <si>
    <t>\</t>
  </si>
  <si>
    <t>Year</t>
  </si>
  <si>
    <t>Cash and Cash Equivalents</t>
  </si>
  <si>
    <t>Debt Schedule</t>
  </si>
  <si>
    <t>Opening Balance</t>
  </si>
  <si>
    <t>Raised (Repaid)</t>
  </si>
  <si>
    <t>Closing</t>
  </si>
  <si>
    <t>Average Debt Balance</t>
  </si>
  <si>
    <t>Interest Expense</t>
  </si>
  <si>
    <t>Interest rate</t>
  </si>
  <si>
    <t>Depreciation &amp; Amortization Schedule</t>
  </si>
  <si>
    <t>Opening</t>
  </si>
  <si>
    <t>Add: Net Purchase</t>
  </si>
  <si>
    <t>Less: D&amp;A</t>
  </si>
  <si>
    <t xml:space="preserve">Average Asset </t>
  </si>
  <si>
    <t>Depreciation &amp; Amortization Rate</t>
  </si>
  <si>
    <t>Average Asset of 2022</t>
  </si>
  <si>
    <t>(opening of 2022 + closing of 2022)/2</t>
  </si>
  <si>
    <t>EBIT</t>
  </si>
  <si>
    <t>EBIT (1-Tax)</t>
  </si>
  <si>
    <t>D&amp;A</t>
  </si>
  <si>
    <t>Capex</t>
  </si>
  <si>
    <t>FCF</t>
  </si>
  <si>
    <t>WACC</t>
  </si>
  <si>
    <t>PV of FCF</t>
  </si>
  <si>
    <t>.</t>
  </si>
  <si>
    <t>Total PV FCF</t>
  </si>
  <si>
    <t>Enterprise value</t>
  </si>
  <si>
    <t>Market cap</t>
  </si>
  <si>
    <t>Share price</t>
  </si>
  <si>
    <t>Undervalued</t>
  </si>
  <si>
    <t>Sales Projection based on Drivers</t>
  </si>
  <si>
    <t>% growth of others</t>
  </si>
  <si>
    <t>Total Sales</t>
  </si>
  <si>
    <t xml:space="preserve">No. of stores </t>
  </si>
  <si>
    <t>Trend</t>
  </si>
  <si>
    <t>Addtion %age</t>
  </si>
  <si>
    <t>Average no. of stores</t>
  </si>
  <si>
    <t>Particulars</t>
  </si>
  <si>
    <t>Present Value of TV</t>
  </si>
  <si>
    <t>Terminal Value</t>
  </si>
  <si>
    <t>Share price (market)</t>
  </si>
  <si>
    <t>Perpetual growth rate</t>
  </si>
  <si>
    <t>Licensed stores</t>
  </si>
  <si>
    <t>Other chanels (Royalties and goods)</t>
  </si>
  <si>
    <t>Current Liabilties</t>
  </si>
  <si>
    <t>Curent Assets</t>
  </si>
  <si>
    <t>Number of days of payable</t>
  </si>
  <si>
    <t>Aays of inventory on hand</t>
  </si>
  <si>
    <t>Average Sales per store (in dollar millions)</t>
  </si>
  <si>
    <t>Sales (in dollar millions)</t>
  </si>
  <si>
    <t>Recent year's rate given in 10K</t>
  </si>
  <si>
    <t>Assumptions</t>
  </si>
  <si>
    <t>market Value vs intrinsic value</t>
  </si>
  <si>
    <t xml:space="preserve">Market Value </t>
  </si>
  <si>
    <t>Intrinsic Value</t>
  </si>
  <si>
    <t>Upside</t>
  </si>
  <si>
    <t>Discount Rate</t>
  </si>
  <si>
    <t>Perpetual Growth Rate</t>
  </si>
  <si>
    <t>D&amp;A Rate</t>
  </si>
  <si>
    <t>Interest Rate</t>
  </si>
  <si>
    <t>Dividends</t>
  </si>
  <si>
    <t>Revenue</t>
  </si>
  <si>
    <t>long term debt, short term debt and current portion of long term debt</t>
  </si>
  <si>
    <t>plant, equipment and other 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</si>
</sst>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4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u/>
      <sz val="14"/>
      <color rgb="FFFFFFFF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Calibri"/>
      <family val="2"/>
    </font>
    <font>
      <i/>
      <sz val="14"/>
      <color rgb="FF000000"/>
      <name val="Arial"/>
      <family val="2"/>
    </font>
    <font>
      <b/>
      <i/>
      <sz val="14"/>
      <color rgb="FF000000"/>
      <name val="Arial"/>
      <family val="2"/>
    </font>
    <font>
      <sz val="14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i/>
      <sz val="14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  <scheme val="minor"/>
    </font>
    <font>
      <b/>
      <sz val="14"/>
      <color theme="1"/>
      <name val="Arial"/>
      <family val="2"/>
    </font>
    <font>
      <sz val="14"/>
      <color rgb="FF0000FF"/>
      <name val="Arial"/>
      <family val="2"/>
    </font>
    <font>
      <u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sz val="18"/>
      <color theme="0"/>
      <name val="Arial"/>
      <family val="2"/>
      <scheme val="minor"/>
    </font>
    <font>
      <b/>
      <sz val="18"/>
      <color theme="0"/>
      <name val="Arial (Body)"/>
    </font>
    <font>
      <u/>
      <sz val="18"/>
      <color theme="0"/>
      <name val="Arial"/>
      <family val="2"/>
    </font>
    <font>
      <u/>
      <sz val="18"/>
      <color rgb="FFFFFFFF"/>
      <name val="Arial"/>
      <family val="2"/>
      <scheme val="minor"/>
    </font>
    <font>
      <sz val="18"/>
      <color rgb="FF000000"/>
      <name val="Arial"/>
      <family val="2"/>
      <scheme val="minor"/>
    </font>
    <font>
      <u/>
      <sz val="20"/>
      <color rgb="FFFFFFFF"/>
      <name val="Arial"/>
      <family val="2"/>
      <scheme val="minor"/>
    </font>
    <font>
      <sz val="20"/>
      <color rgb="FF000000"/>
      <name val="Arial"/>
      <family val="2"/>
      <scheme val="minor"/>
    </font>
    <font>
      <sz val="22"/>
      <color rgb="FF000000"/>
      <name val="Arial"/>
      <family val="2"/>
      <scheme val="minor"/>
    </font>
    <font>
      <b/>
      <sz val="18"/>
      <color theme="0"/>
      <name val="Arial"/>
      <family val="2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u/>
      <sz val="20"/>
      <color theme="0"/>
      <name val="Arial"/>
      <family val="2"/>
    </font>
    <font>
      <b/>
      <u/>
      <sz val="22"/>
      <color rgb="FFFFFFFF"/>
      <name val="Arial"/>
      <family val="2"/>
      <scheme val="minor"/>
    </font>
    <font>
      <sz val="22"/>
      <color theme="1"/>
      <name val="Arial"/>
      <family val="2"/>
      <scheme val="minor"/>
    </font>
    <font>
      <b/>
      <i/>
      <sz val="14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4"/>
      <color rgb="FF0000FF"/>
      <name val="Arial"/>
      <family val="2"/>
    </font>
    <font>
      <sz val="22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366FF"/>
        <bgColor rgb="FF3366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27621B"/>
      </patternFill>
    </fill>
    <fill>
      <patternFill patternType="solid">
        <fgColor rgb="FF27621B"/>
        <bgColor rgb="FF3366FF"/>
      </patternFill>
    </fill>
    <fill>
      <patternFill patternType="solid">
        <fgColor rgb="FF27621B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135">
    <xf numFmtId="0" fontId="0" fillId="0" borderId="0" xfId="0"/>
    <xf numFmtId="0" fontId="3" fillId="3" borderId="0" xfId="0" applyFont="1" applyFill="1"/>
    <xf numFmtId="0" fontId="4" fillId="0" borderId="0" xfId="0" applyFont="1"/>
    <xf numFmtId="0" fontId="6" fillId="3" borderId="0" xfId="0" applyFont="1" applyFill="1"/>
    <xf numFmtId="4" fontId="4" fillId="0" borderId="0" xfId="0" applyNumberFormat="1" applyFont="1"/>
    <xf numFmtId="0" fontId="7" fillId="0" borderId="0" xfId="0" applyFont="1"/>
    <xf numFmtId="0" fontId="8" fillId="3" borderId="0" xfId="0" applyFont="1" applyFill="1"/>
    <xf numFmtId="10" fontId="4" fillId="0" borderId="0" xfId="0" applyNumberFormat="1" applyFont="1"/>
    <xf numFmtId="2" fontId="4" fillId="0" borderId="0" xfId="0" applyNumberFormat="1" applyFont="1"/>
    <xf numFmtId="9" fontId="4" fillId="0" borderId="0" xfId="0" applyNumberFormat="1" applyFont="1"/>
    <xf numFmtId="164" fontId="4" fillId="0" borderId="0" xfId="0" applyNumberFormat="1" applyFont="1"/>
    <xf numFmtId="0" fontId="10" fillId="0" borderId="0" xfId="0" applyFont="1"/>
    <xf numFmtId="0" fontId="11" fillId="0" borderId="0" xfId="0" applyFont="1"/>
    <xf numFmtId="0" fontId="12" fillId="3" borderId="0" xfId="0" applyFont="1" applyFill="1"/>
    <xf numFmtId="0" fontId="13" fillId="0" borderId="0" xfId="0" applyFont="1"/>
    <xf numFmtId="0" fontId="14" fillId="2" borderId="0" xfId="0" applyFont="1" applyFill="1" applyAlignment="1">
      <alignment horizontal="center"/>
    </xf>
    <xf numFmtId="0" fontId="15" fillId="3" borderId="0" xfId="0" applyFont="1" applyFill="1"/>
    <xf numFmtId="3" fontId="16" fillId="0" borderId="0" xfId="0" applyNumberFormat="1" applyFont="1"/>
    <xf numFmtId="3" fontId="16" fillId="3" borderId="0" xfId="0" applyNumberFormat="1" applyFont="1" applyFill="1"/>
    <xf numFmtId="3" fontId="15" fillId="3" borderId="0" xfId="0" applyNumberFormat="1" applyFont="1" applyFill="1"/>
    <xf numFmtId="0" fontId="17" fillId="2" borderId="0" xfId="0" applyFont="1" applyFill="1"/>
    <xf numFmtId="0" fontId="3" fillId="0" borderId="0" xfId="0" applyFont="1"/>
    <xf numFmtId="4" fontId="3" fillId="0" borderId="0" xfId="0" applyNumberFormat="1" applyFont="1"/>
    <xf numFmtId="4" fontId="3" fillId="3" borderId="0" xfId="0" applyNumberFormat="1" applyFont="1" applyFill="1"/>
    <xf numFmtId="10" fontId="12" fillId="3" borderId="0" xfId="0" applyNumberFormat="1" applyFont="1" applyFill="1" applyAlignment="1">
      <alignment horizontal="center"/>
    </xf>
    <xf numFmtId="10" fontId="3" fillId="3" borderId="0" xfId="0" applyNumberFormat="1" applyFont="1" applyFill="1"/>
    <xf numFmtId="4" fontId="3" fillId="3" borderId="1" xfId="0" applyNumberFormat="1" applyFont="1" applyFill="1" applyBorder="1"/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0" fontId="12" fillId="3" borderId="0" xfId="0" applyNumberFormat="1" applyFont="1" applyFill="1"/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29" fillId="8" borderId="0" xfId="0" applyFont="1" applyFill="1"/>
    <xf numFmtId="0" fontId="3" fillId="0" borderId="2" xfId="0" applyFont="1" applyBorder="1"/>
    <xf numFmtId="4" fontId="3" fillId="0" borderId="2" xfId="0" applyNumberFormat="1" applyFont="1" applyBorder="1"/>
    <xf numFmtId="0" fontId="30" fillId="8" borderId="2" xfId="0" applyFont="1" applyFill="1" applyBorder="1"/>
    <xf numFmtId="0" fontId="24" fillId="7" borderId="2" xfId="0" applyFont="1" applyFill="1" applyBorder="1" applyAlignment="1">
      <alignment horizontal="center"/>
    </xf>
    <xf numFmtId="0" fontId="3" fillId="0" borderId="3" xfId="0" applyFont="1" applyBorder="1"/>
    <xf numFmtId="4" fontId="3" fillId="0" borderId="3" xfId="0" applyNumberFormat="1" applyFont="1" applyBorder="1"/>
    <xf numFmtId="0" fontId="3" fillId="0" borderId="4" xfId="0" applyFont="1" applyBorder="1"/>
    <xf numFmtId="10" fontId="4" fillId="9" borderId="6" xfId="0" applyNumberFormat="1" applyFont="1" applyFill="1" applyBorder="1"/>
    <xf numFmtId="0" fontId="11" fillId="0" borderId="5" xfId="0" applyFont="1" applyBorder="1"/>
    <xf numFmtId="2" fontId="3" fillId="0" borderId="2" xfId="0" applyNumberFormat="1" applyFont="1" applyBorder="1"/>
    <xf numFmtId="0" fontId="3" fillId="0" borderId="7" xfId="0" applyFont="1" applyBorder="1"/>
    <xf numFmtId="4" fontId="3" fillId="0" borderId="7" xfId="0" applyNumberFormat="1" applyFont="1" applyBorder="1"/>
    <xf numFmtId="10" fontId="3" fillId="9" borderId="6" xfId="0" applyNumberFormat="1" applyFont="1" applyFill="1" applyBorder="1" applyAlignment="1">
      <alignment horizontal="right"/>
    </xf>
    <xf numFmtId="0" fontId="18" fillId="0" borderId="5" xfId="0" applyFont="1" applyBorder="1"/>
    <xf numFmtId="0" fontId="3" fillId="3" borderId="2" xfId="0" applyFont="1" applyFill="1" applyBorder="1"/>
    <xf numFmtId="0" fontId="31" fillId="0" borderId="0" xfId="0" applyFont="1"/>
    <xf numFmtId="0" fontId="26" fillId="0" borderId="0" xfId="0" applyFont="1"/>
    <xf numFmtId="0" fontId="22" fillId="8" borderId="2" xfId="0" applyFont="1" applyFill="1" applyBorder="1"/>
    <xf numFmtId="0" fontId="25" fillId="7" borderId="2" xfId="0" applyFont="1" applyFill="1" applyBorder="1" applyAlignment="1">
      <alignment horizontal="center"/>
    </xf>
    <xf numFmtId="0" fontId="32" fillId="0" borderId="2" xfId="0" applyFont="1" applyBorder="1"/>
    <xf numFmtId="4" fontId="31" fillId="0" borderId="2" xfId="0" applyNumberFormat="1" applyFont="1" applyBorder="1"/>
    <xf numFmtId="3" fontId="31" fillId="3" borderId="2" xfId="0" applyNumberFormat="1" applyFont="1" applyFill="1" applyBorder="1"/>
    <xf numFmtId="9" fontId="31" fillId="0" borderId="2" xfId="0" applyNumberFormat="1" applyFont="1" applyBorder="1" applyAlignment="1">
      <alignment horizontal="right"/>
    </xf>
    <xf numFmtId="0" fontId="31" fillId="3" borderId="2" xfId="0" applyFont="1" applyFill="1" applyBorder="1"/>
    <xf numFmtId="2" fontId="31" fillId="3" borderId="2" xfId="0" applyNumberFormat="1" applyFont="1" applyFill="1" applyBorder="1"/>
    <xf numFmtId="0" fontId="32" fillId="0" borderId="7" xfId="0" applyFont="1" applyBorder="1"/>
    <xf numFmtId="3" fontId="32" fillId="0" borderId="7" xfId="0" applyNumberFormat="1" applyFont="1" applyBorder="1"/>
    <xf numFmtId="0" fontId="32" fillId="0" borderId="0" xfId="0" applyFont="1"/>
    <xf numFmtId="3" fontId="31" fillId="0" borderId="0" xfId="0" applyNumberFormat="1" applyFont="1"/>
    <xf numFmtId="0" fontId="31" fillId="0" borderId="2" xfId="0" applyFont="1" applyBorder="1"/>
    <xf numFmtId="0" fontId="32" fillId="0" borderId="8" xfId="0" applyFont="1" applyBorder="1"/>
    <xf numFmtId="3" fontId="32" fillId="9" borderId="9" xfId="0" applyNumberFormat="1" applyFont="1" applyFill="1" applyBorder="1"/>
    <xf numFmtId="3" fontId="32" fillId="9" borderId="2" xfId="0" applyNumberFormat="1" applyFont="1" applyFill="1" applyBorder="1"/>
    <xf numFmtId="0" fontId="32" fillId="9" borderId="2" xfId="0" applyFont="1" applyFill="1" applyBorder="1"/>
    <xf numFmtId="0" fontId="31" fillId="0" borderId="5" xfId="0" applyFont="1" applyBorder="1" applyAlignment="1">
      <alignment wrapText="1"/>
    </xf>
    <xf numFmtId="10" fontId="32" fillId="0" borderId="6" xfId="0" applyNumberFormat="1" applyFont="1" applyBorder="1"/>
    <xf numFmtId="0" fontId="33" fillId="7" borderId="0" xfId="0" applyFont="1" applyFill="1" applyAlignment="1">
      <alignment horizontal="left"/>
    </xf>
    <xf numFmtId="0" fontId="33" fillId="7" borderId="0" xfId="0" applyFont="1" applyFill="1" applyAlignment="1">
      <alignment horizontal="center"/>
    </xf>
    <xf numFmtId="0" fontId="2" fillId="0" borderId="0" xfId="0" applyFont="1"/>
    <xf numFmtId="0" fontId="35" fillId="8" borderId="0" xfId="0" applyFont="1" applyFill="1"/>
    <xf numFmtId="43" fontId="3" fillId="3" borderId="0" xfId="1" applyFont="1" applyFill="1" applyAlignment="1">
      <alignment horizontal="center"/>
    </xf>
    <xf numFmtId="4" fontId="19" fillId="4" borderId="0" xfId="0" applyNumberFormat="1" applyFont="1" applyFill="1"/>
    <xf numFmtId="43" fontId="19" fillId="4" borderId="0" xfId="1" applyFont="1" applyFill="1"/>
    <xf numFmtId="0" fontId="18" fillId="3" borderId="0" xfId="0" applyFont="1" applyFill="1" applyAlignment="1">
      <alignment horizontal="center"/>
    </xf>
    <xf numFmtId="10" fontId="18" fillId="3" borderId="0" xfId="0" applyNumberFormat="1" applyFont="1" applyFill="1" applyAlignment="1">
      <alignment horizontal="center"/>
    </xf>
    <xf numFmtId="10" fontId="11" fillId="0" borderId="0" xfId="0" applyNumberFormat="1" applyFont="1" applyAlignment="1">
      <alignment horizontal="center"/>
    </xf>
    <xf numFmtId="0" fontId="4" fillId="0" borderId="2" xfId="0" applyFont="1" applyBorder="1"/>
    <xf numFmtId="2" fontId="4" fillId="0" borderId="2" xfId="0" applyNumberFormat="1" applyFont="1" applyBorder="1"/>
    <xf numFmtId="10" fontId="4" fillId="0" borderId="2" xfId="0" applyNumberFormat="1" applyFont="1" applyBorder="1"/>
    <xf numFmtId="165" fontId="4" fillId="0" borderId="2" xfId="0" applyNumberFormat="1" applyFont="1" applyBorder="1"/>
    <xf numFmtId="0" fontId="18" fillId="3" borderId="2" xfId="0" applyFont="1" applyFill="1" applyBorder="1"/>
    <xf numFmtId="2" fontId="11" fillId="0" borderId="2" xfId="0" applyNumberFormat="1" applyFont="1" applyBorder="1"/>
    <xf numFmtId="10" fontId="11" fillId="0" borderId="2" xfId="0" applyNumberFormat="1" applyFont="1" applyBorder="1"/>
    <xf numFmtId="0" fontId="11" fillId="0" borderId="2" xfId="0" applyFont="1" applyBorder="1"/>
    <xf numFmtId="4" fontId="11" fillId="0" borderId="10" xfId="0" applyNumberFormat="1" applyFont="1" applyBorder="1"/>
    <xf numFmtId="0" fontId="4" fillId="0" borderId="10" xfId="0" applyFont="1" applyBorder="1"/>
    <xf numFmtId="2" fontId="4" fillId="0" borderId="10" xfId="0" applyNumberFormat="1" applyFont="1" applyBorder="1"/>
    <xf numFmtId="4" fontId="4" fillId="0" borderId="10" xfId="0" applyNumberFormat="1" applyFont="1" applyBorder="1"/>
    <xf numFmtId="4" fontId="38" fillId="4" borderId="10" xfId="0" applyNumberFormat="1" applyFont="1" applyFill="1" applyBorder="1"/>
    <xf numFmtId="4" fontId="18" fillId="3" borderId="0" xfId="0" applyNumberFormat="1" applyFont="1" applyFill="1" applyAlignment="1">
      <alignment horizontal="center"/>
    </xf>
    <xf numFmtId="10" fontId="36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3" fillId="3" borderId="11" xfId="0" applyFont="1" applyFill="1" applyBorder="1"/>
    <xf numFmtId="0" fontId="22" fillId="6" borderId="12" xfId="2" applyFont="1" applyFill="1" applyBorder="1" applyAlignment="1">
      <alignment horizontal="center"/>
    </xf>
    <xf numFmtId="0" fontId="3" fillId="3" borderId="12" xfId="0" applyFont="1" applyFill="1" applyBorder="1"/>
    <xf numFmtId="0" fontId="24" fillId="7" borderId="12" xfId="0" applyFont="1" applyFill="1" applyBorder="1" applyAlignment="1">
      <alignment horizontal="center"/>
    </xf>
    <xf numFmtId="4" fontId="19" fillId="4" borderId="2" xfId="0" applyNumberFormat="1" applyFont="1" applyFill="1" applyBorder="1"/>
    <xf numFmtId="0" fontId="21" fillId="0" borderId="0" xfId="0" applyFont="1"/>
    <xf numFmtId="0" fontId="26" fillId="0" borderId="15" xfId="0" applyFont="1" applyBorder="1"/>
    <xf numFmtId="9" fontId="26" fillId="0" borderId="16" xfId="0" applyNumberFormat="1" applyFont="1" applyBorder="1"/>
    <xf numFmtId="10" fontId="26" fillId="0" borderId="16" xfId="0" applyNumberFormat="1" applyFont="1" applyBorder="1"/>
    <xf numFmtId="0" fontId="26" fillId="0" borderId="17" xfId="0" applyFont="1" applyBorder="1"/>
    <xf numFmtId="10" fontId="26" fillId="0" borderId="18" xfId="0" applyNumberFormat="1" applyFont="1" applyBorder="1"/>
    <xf numFmtId="2" fontId="0" fillId="0" borderId="0" xfId="0" applyNumberFormat="1"/>
    <xf numFmtId="0" fontId="39" fillId="8" borderId="13" xfId="0" applyFont="1" applyFill="1" applyBorder="1" applyAlignment="1">
      <alignment horizontal="center"/>
    </xf>
    <xf numFmtId="0" fontId="39" fillId="8" borderId="14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8" fillId="3" borderId="0" xfId="0" applyFont="1" applyFill="1"/>
    <xf numFmtId="0" fontId="0" fillId="0" borderId="0" xfId="0"/>
    <xf numFmtId="0" fontId="9" fillId="3" borderId="0" xfId="0" applyFont="1" applyFill="1"/>
    <xf numFmtId="0" fontId="18" fillId="3" borderId="5" xfId="0" applyFont="1" applyFill="1" applyBorder="1" applyAlignment="1">
      <alignment horizontal="left"/>
    </xf>
    <xf numFmtId="0" fontId="18" fillId="3" borderId="6" xfId="0" applyFont="1" applyFill="1" applyBorder="1" applyAlignment="1">
      <alignment horizontal="left"/>
    </xf>
    <xf numFmtId="0" fontId="3" fillId="3" borderId="0" xfId="0" applyFont="1" applyFill="1"/>
    <xf numFmtId="0" fontId="6" fillId="3" borderId="0" xfId="0" applyFont="1" applyFill="1"/>
    <xf numFmtId="0" fontId="27" fillId="7" borderId="0" xfId="0" applyFont="1" applyFill="1" applyAlignment="1">
      <alignment horizontal="left"/>
    </xf>
    <xf numFmtId="0" fontId="28" fillId="8" borderId="0" xfId="0" applyFont="1" applyFill="1"/>
    <xf numFmtId="0" fontId="22" fillId="6" borderId="11" xfId="2" applyFont="1" applyFill="1" applyBorder="1" applyAlignment="1">
      <alignment horizontal="left" vertical="center"/>
    </xf>
    <xf numFmtId="0" fontId="22" fillId="6" borderId="11" xfId="2" applyFont="1" applyFill="1" applyBorder="1" applyAlignment="1">
      <alignment vertical="center"/>
    </xf>
    <xf numFmtId="0" fontId="22" fillId="6" borderId="12" xfId="2" applyFont="1" applyFill="1" applyBorder="1" applyAlignment="1">
      <alignment vertical="center"/>
    </xf>
    <xf numFmtId="0" fontId="23" fillId="6" borderId="11" xfId="2" applyFont="1" applyFill="1" applyBorder="1" applyAlignment="1">
      <alignment horizontal="center"/>
    </xf>
    <xf numFmtId="0" fontId="22" fillId="6" borderId="11" xfId="2" applyFont="1" applyFill="1" applyBorder="1"/>
    <xf numFmtId="0" fontId="24" fillId="7" borderId="11" xfId="0" applyFont="1" applyFill="1" applyBorder="1" applyAlignment="1">
      <alignment horizontal="center"/>
    </xf>
    <xf numFmtId="0" fontId="22" fillId="8" borderId="11" xfId="0" applyFont="1" applyFill="1" applyBorder="1"/>
    <xf numFmtId="0" fontId="24" fillId="7" borderId="0" xfId="0" applyFont="1" applyFill="1" applyAlignment="1">
      <alignment horizontal="left"/>
    </xf>
    <xf numFmtId="0" fontId="22" fillId="8" borderId="0" xfId="0" applyFont="1" applyFill="1"/>
    <xf numFmtId="0" fontId="5" fillId="3" borderId="0" xfId="0" applyFont="1" applyFill="1"/>
    <xf numFmtId="0" fontId="18" fillId="3" borderId="2" xfId="0" applyFont="1" applyFill="1" applyBorder="1"/>
    <xf numFmtId="0" fontId="37" fillId="0" borderId="2" xfId="0" applyFont="1" applyBorder="1"/>
    <xf numFmtId="0" fontId="36" fillId="3" borderId="2" xfId="0" applyFont="1" applyFill="1" applyBorder="1"/>
    <xf numFmtId="0" fontId="34" fillId="7" borderId="0" xfId="0" applyFont="1" applyFill="1" applyAlignment="1">
      <alignment horizontal="left"/>
    </xf>
    <xf numFmtId="0" fontId="29" fillId="8" borderId="0" xfId="0" applyFont="1" applyFill="1"/>
  </cellXfs>
  <cellStyles count="3">
    <cellStyle name="40% - Accent4" xfId="2" builtinId="43"/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762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tx1"/>
                </a:solidFill>
              </a:rPr>
              <a:t>Company owned stores and licensed stores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workings!$A$3</c:f>
              <c:strCache>
                <c:ptCount val="1"/>
                <c:pt idx="0">
                  <c:v>Company owned stores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7000"/>
                  </a:schemeClr>
                </a:gs>
                <a:gs pos="37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Pt>
            <c:idx val="3"/>
            <c:invertIfNegative val="1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1B9-984A-8F10-F6EFF7ACB885}"/>
              </c:ext>
            </c:extLst>
          </c:dPt>
          <c:dPt>
            <c:idx val="4"/>
            <c:invertIfNegative val="1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B9-984A-8F10-F6EFF7ACB885}"/>
              </c:ext>
            </c:extLst>
          </c:dPt>
          <c:dPt>
            <c:idx val="5"/>
            <c:invertIfNegative val="1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1B9-984A-8F10-F6EFF7ACB885}"/>
              </c:ext>
            </c:extLst>
          </c:dPt>
          <c:dPt>
            <c:idx val="6"/>
            <c:invertIfNegative val="1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B9-984A-8F10-F6EFF7ACB885}"/>
              </c:ext>
            </c:extLst>
          </c:dPt>
          <c:dPt>
            <c:idx val="7"/>
            <c:invertIfNegative val="1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1B9-984A-8F10-F6EFF7ACB885}"/>
              </c:ext>
            </c:extLst>
          </c:dPt>
          <c:dLbls>
            <c:delete val="1"/>
          </c:dLbls>
          <c:cat>
            <c:numRef>
              <c:f>workings!$B$2:$I$2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workings!$B$3:$I$3</c:f>
              <c:numCache>
                <c:formatCode>#,##0</c:formatCode>
                <c:ptCount val="8"/>
                <c:pt idx="0">
                  <c:v>19164.599999999999</c:v>
                </c:pt>
                <c:pt idx="1">
                  <c:v>24607</c:v>
                </c:pt>
                <c:pt idx="2">
                  <c:v>26576.1</c:v>
                </c:pt>
                <c:pt idx="3">
                  <c:v>31680.055844837596</c:v>
                </c:pt>
                <c:pt idx="4">
                  <c:v>37474.609160270054</c:v>
                </c:pt>
                <c:pt idx="5">
                  <c:v>44329.035863863246</c:v>
                </c:pt>
                <c:pt idx="6">
                  <c:v>52437.195868155999</c:v>
                </c:pt>
                <c:pt idx="7">
                  <c:v>62028.407722642623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9-984A-8F10-F6EFF7ACB885}"/>
            </c:ext>
          </c:extLst>
        </c:ser>
        <c:ser>
          <c:idx val="1"/>
          <c:order val="1"/>
          <c:tx>
            <c:strRef>
              <c:f>workings!$A$4</c:f>
              <c:strCache>
                <c:ptCount val="1"/>
                <c:pt idx="0">
                  <c:v>licensed stores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9000"/>
                  </a:schemeClr>
                </a:gs>
                <a:gs pos="46000">
                  <a:schemeClr val="accent2">
                    <a:lumMod val="89000"/>
                  </a:schemeClr>
                </a:gs>
                <a:gs pos="74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Pt>
            <c:idx val="3"/>
            <c:invertIfNegative val="1"/>
            <c:bubble3D val="0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46000">
                    <a:schemeClr val="accent2">
                      <a:lumMod val="89000"/>
                    </a:schemeClr>
                  </a:gs>
                  <a:gs pos="74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B9-984A-8F10-F6EFF7ACB885}"/>
              </c:ext>
            </c:extLst>
          </c:dPt>
          <c:dLbls>
            <c:delete val="1"/>
          </c:dLbls>
          <c:cat>
            <c:numRef>
              <c:f>workings!$B$2:$I$2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workings!$B$4:$I$4</c:f>
              <c:numCache>
                <c:formatCode>#,##0</c:formatCode>
                <c:ptCount val="8"/>
                <c:pt idx="0">
                  <c:v>2327.1</c:v>
                </c:pt>
                <c:pt idx="1">
                  <c:v>2683.6</c:v>
                </c:pt>
                <c:pt idx="2">
                  <c:v>3655.5</c:v>
                </c:pt>
                <c:pt idx="3">
                  <c:v>4588.2108609985353</c:v>
                </c:pt>
                <c:pt idx="4">
                  <c:v>5750.3126546575295</c:v>
                </c:pt>
                <c:pt idx="5">
                  <c:v>7379.7660119953025</c:v>
                </c:pt>
                <c:pt idx="6">
                  <c:v>9061.6466178705159</c:v>
                </c:pt>
                <c:pt idx="7">
                  <c:v>11629.4253442217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9-984A-8F10-F6EFF7ACB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"/>
        <c:overlap val="100"/>
        <c:axId val="79371944"/>
        <c:axId val="245746442"/>
      </c:barChart>
      <c:catAx>
        <c:axId val="7937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46442"/>
        <c:crosses val="autoZero"/>
        <c:auto val="1"/>
        <c:lblAlgn val="ctr"/>
        <c:lblOffset val="100"/>
        <c:noMultiLvlLbl val="1"/>
      </c:catAx>
      <c:valAx>
        <c:axId val="245746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tx1"/>
                    </a:solidFill>
                  </a:rPr>
                  <a:t>Amount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Revenue per year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workings!$K$62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6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/>
          </c:spPr>
          <c:invertIfNegative val="0"/>
          <c:cat>
            <c:numRef>
              <c:f>workings!$L$61:$S$61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workings!$L$62:$S$62</c:f>
              <c:numCache>
                <c:formatCode>0.00</c:formatCode>
                <c:ptCount val="8"/>
                <c:pt idx="0">
                  <c:v>23517.999999999996</c:v>
                </c:pt>
                <c:pt idx="1">
                  <c:v>29060.6</c:v>
                </c:pt>
                <c:pt idx="2">
                  <c:v>32250.3</c:v>
                </c:pt>
                <c:pt idx="3">
                  <c:v>38286.96670583613</c:v>
                </c:pt>
                <c:pt idx="4">
                  <c:v>45243.621814927581</c:v>
                </c:pt>
                <c:pt idx="5">
                  <c:v>53727.501875858543</c:v>
                </c:pt>
                <c:pt idx="6">
                  <c:v>63517.542486026512</c:v>
                </c:pt>
                <c:pt idx="7">
                  <c:v>75676.533066864315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B-5542-BC93-9EBF7ED6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399158880"/>
        <c:axId val="399258192"/>
      </c:barChart>
      <c:catAx>
        <c:axId val="3991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192"/>
        <c:crosses val="autoZero"/>
        <c:auto val="1"/>
        <c:lblAlgn val="ctr"/>
        <c:lblOffset val="100"/>
        <c:noMultiLvlLbl val="0"/>
      </c:catAx>
      <c:valAx>
        <c:axId val="3992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tx1"/>
                    </a:solidFill>
                  </a:rPr>
                  <a:t>In</a:t>
                </a:r>
                <a:r>
                  <a:rPr lang="en-GB" sz="1600" b="1" baseline="0">
                    <a:solidFill>
                      <a:schemeClr val="tx1"/>
                    </a:solidFill>
                  </a:rPr>
                  <a:t> dollar millions</a:t>
                </a:r>
                <a:endParaRPr lang="en-GB" sz="16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sz="1800" b="1">
                <a:solidFill>
                  <a:schemeClr val="tx1"/>
                </a:solidFill>
                <a:latin typeface="+mn-lt"/>
              </a:rPr>
              <a:t>Cash and Cash Equivalents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workings!$A$31</c:f>
              <c:strCache>
                <c:ptCount val="1"/>
                <c:pt idx="0">
                  <c:v>Cash and Cash Equivalents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4E2-0C42-9B5B-D428168C398A}"/>
              </c:ext>
            </c:extLst>
          </c:dPt>
          <c:dPt>
            <c:idx val="4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4E2-0C42-9B5B-D428168C398A}"/>
              </c:ext>
            </c:extLst>
          </c:dPt>
          <c:dPt>
            <c:idx val="5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4E2-0C42-9B5B-D428168C398A}"/>
              </c:ext>
            </c:extLst>
          </c:dPt>
          <c:dPt>
            <c:idx val="6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4E2-0C42-9B5B-D428168C398A}"/>
              </c:ext>
            </c:extLst>
          </c:dPt>
          <c:dPt>
            <c:idx val="7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4E2-0C42-9B5B-D428168C398A}"/>
              </c:ext>
            </c:extLst>
          </c:dPt>
          <c:cat>
            <c:numRef>
              <c:f>workings!$B$30:$I$30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workings!$B$31:$I$31</c:f>
              <c:numCache>
                <c:formatCode>General</c:formatCode>
                <c:ptCount val="8"/>
                <c:pt idx="0">
                  <c:v>5673.9999999999964</c:v>
                </c:pt>
                <c:pt idx="1">
                  <c:v>6731.800000000002</c:v>
                </c:pt>
                <c:pt idx="2">
                  <c:v>4328.5000000000018</c:v>
                </c:pt>
                <c:pt idx="3">
                  <c:v>4644.0122158465092</c:v>
                </c:pt>
                <c:pt idx="4">
                  <c:v>6329.8793155608582</c:v>
                </c:pt>
                <c:pt idx="5">
                  <c:v>8743.7811079278981</c:v>
                </c:pt>
                <c:pt idx="6">
                  <c:v>12927.959218569144</c:v>
                </c:pt>
                <c:pt idx="7">
                  <c:v>18443.977865003526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2-0C42-9B5B-D428168C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63685078"/>
        <c:axId val="2129321981"/>
      </c:barChart>
      <c:catAx>
        <c:axId val="763685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200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9321981"/>
        <c:crosses val="autoZero"/>
        <c:auto val="1"/>
        <c:lblAlgn val="ctr"/>
        <c:lblOffset val="100"/>
        <c:noMultiLvlLbl val="1"/>
      </c:catAx>
      <c:valAx>
        <c:axId val="2129321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400" b="1">
                    <a:solidFill>
                      <a:schemeClr val="tx1"/>
                    </a:solidFill>
                    <a:latin typeface="+mn-lt"/>
                  </a:rPr>
                  <a:t>In dollar millions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36850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workings!$A$62</c:f>
              <c:strCache>
                <c:ptCount val="1"/>
                <c:pt idx="0">
                  <c:v>Net Income</c:v>
                </c:pt>
              </c:strCache>
            </c:strRef>
          </c:tx>
          <c:spPr>
            <a:ln w="88900" cap="rnd"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65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88900" cap="rnd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E09-2540-88D1-3E5FF74758B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88900" cap="rnd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09-2540-88D1-3E5FF74758BF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88900" cap="rnd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09-2540-88D1-3E5FF74758BF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88900" cap="rnd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09-2540-88D1-3E5FF74758BF}"/>
              </c:ext>
            </c:extLst>
          </c:dPt>
          <c:dLbls>
            <c:delete val="1"/>
          </c:dLbls>
          <c:cat>
            <c:numRef>
              <c:f>workings!$B$61:$I$61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workings!$B$62:$I$62</c:f>
              <c:numCache>
                <c:formatCode>General</c:formatCode>
                <c:ptCount val="8"/>
                <c:pt idx="0">
                  <c:v>2312.4999999999964</c:v>
                </c:pt>
                <c:pt idx="1">
                  <c:v>4562.6000000000022</c:v>
                </c:pt>
                <c:pt idx="2">
                  <c:v>4543.2000000000025</c:v>
                </c:pt>
                <c:pt idx="3">
                  <c:v>4958.8607962886708</c:v>
                </c:pt>
                <c:pt idx="4">
                  <c:v>6024.139437723903</c:v>
                </c:pt>
                <c:pt idx="5">
                  <c:v>7309.500703788075</c:v>
                </c:pt>
                <c:pt idx="6">
                  <c:v>8781.1196170554722</c:v>
                </c:pt>
                <c:pt idx="7">
                  <c:v>10594.432823937565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9-2540-88D1-3E5FF74758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149392"/>
        <c:axId val="399151120"/>
      </c:lineChart>
      <c:catAx>
        <c:axId val="39914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1120"/>
        <c:crosses val="autoZero"/>
        <c:auto val="1"/>
        <c:lblAlgn val="ctr"/>
        <c:lblOffset val="100"/>
        <c:noMultiLvlLbl val="0"/>
      </c:catAx>
      <c:valAx>
        <c:axId val="3991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dollar millions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workings!$A$39</c:f>
              <c:strCache>
                <c:ptCount val="1"/>
                <c:pt idx="0">
                  <c:v>Dividends</c:v>
                </c:pt>
              </c:strCache>
            </c:strRef>
          </c:tx>
          <c:spPr>
            <a:ln w="95250" cap="rnd"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5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95250" cap="rnd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7C-8F44-900E-42AA526F008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95250" cap="rnd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7C-8F44-900E-42AA526F008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95250" cap="rnd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7C-8F44-900E-42AA526F008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95250" cap="rnd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7C-8F44-900E-42AA526F0089}"/>
              </c:ext>
            </c:extLst>
          </c:dPt>
          <c:cat>
            <c:numRef>
              <c:f>workings!$B$38:$I$38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workings!$B$39:$I$39</c:f>
              <c:numCache>
                <c:formatCode>General</c:formatCode>
                <c:ptCount val="8"/>
                <c:pt idx="0">
                  <c:v>1923.5</c:v>
                </c:pt>
                <c:pt idx="1">
                  <c:v>2119</c:v>
                </c:pt>
                <c:pt idx="2">
                  <c:v>2263.3000000000002</c:v>
                </c:pt>
                <c:pt idx="3" formatCode="#,##0.00">
                  <c:v>2455.0881484279898</c:v>
                </c:pt>
                <c:pt idx="4" formatCode="#,##0.00">
                  <c:v>2663.12809461918</c:v>
                </c:pt>
                <c:pt idx="5" formatCode="#,##0.00">
                  <c:v>2888.79698795793</c:v>
                </c:pt>
                <c:pt idx="6" formatCode="#,##0.00">
                  <c:v>3133.58867509831</c:v>
                </c:pt>
                <c:pt idx="7" formatCode="#,##0.00">
                  <c:v>3399.1235886899899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C-8F44-900E-42AA526F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801439"/>
        <c:axId val="1683810575"/>
      </c:lineChart>
      <c:catAx>
        <c:axId val="168380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10575"/>
        <c:crosses val="autoZero"/>
        <c:auto val="1"/>
        <c:lblAlgn val="ctr"/>
        <c:lblOffset val="100"/>
        <c:noMultiLvlLbl val="0"/>
      </c:catAx>
      <c:valAx>
        <c:axId val="16838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dollar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0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Revenue per year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workings!$K$62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6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80-3742-A3CE-5D77AF057C19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80-3742-A3CE-5D77AF057C19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80-3742-A3CE-5D77AF057C19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80-3742-A3CE-5D77AF057C19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80-3742-A3CE-5D77AF057C19}"/>
              </c:ext>
            </c:extLst>
          </c:dPt>
          <c:cat>
            <c:numRef>
              <c:f>workings!$L$61:$S$61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workings!$L$62:$S$62</c:f>
              <c:numCache>
                <c:formatCode>0.00</c:formatCode>
                <c:ptCount val="8"/>
                <c:pt idx="0">
                  <c:v>23517.999999999996</c:v>
                </c:pt>
                <c:pt idx="1">
                  <c:v>29060.6</c:v>
                </c:pt>
                <c:pt idx="2">
                  <c:v>32250.3</c:v>
                </c:pt>
                <c:pt idx="3">
                  <c:v>38286.96670583613</c:v>
                </c:pt>
                <c:pt idx="4">
                  <c:v>45243.621814927581</c:v>
                </c:pt>
                <c:pt idx="5">
                  <c:v>53727.501875858543</c:v>
                </c:pt>
                <c:pt idx="6">
                  <c:v>63517.542486026512</c:v>
                </c:pt>
                <c:pt idx="7">
                  <c:v>75676.533066864315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0-3742-A3CE-5D77AF05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399158880"/>
        <c:axId val="399258192"/>
      </c:barChart>
      <c:catAx>
        <c:axId val="3991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192"/>
        <c:crosses val="autoZero"/>
        <c:auto val="1"/>
        <c:lblAlgn val="ctr"/>
        <c:lblOffset val="100"/>
        <c:noMultiLvlLbl val="0"/>
      </c:catAx>
      <c:valAx>
        <c:axId val="3992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tx1"/>
                    </a:solidFill>
                  </a:rPr>
                  <a:t>In</a:t>
                </a:r>
                <a:r>
                  <a:rPr lang="en-GB" sz="1600" b="1" baseline="0">
                    <a:solidFill>
                      <a:schemeClr val="tx1"/>
                    </a:solidFill>
                  </a:rPr>
                  <a:t> dollar millions</a:t>
                </a:r>
                <a:endParaRPr lang="en-GB" sz="16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Company owned stores and licensed stores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workings!$A$3</c:f>
              <c:strCache>
                <c:ptCount val="1"/>
                <c:pt idx="0">
                  <c:v>Company owned stores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7000"/>
                  </a:schemeClr>
                </a:gs>
                <a:gs pos="37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delete val="1"/>
          </c:dLbls>
          <c:cat>
            <c:numRef>
              <c:f>workings!$B$2:$I$2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workings!$B$3:$I$3</c:f>
              <c:numCache>
                <c:formatCode>#,##0</c:formatCode>
                <c:ptCount val="8"/>
                <c:pt idx="0">
                  <c:v>19164.599999999999</c:v>
                </c:pt>
                <c:pt idx="1">
                  <c:v>24607</c:v>
                </c:pt>
                <c:pt idx="2">
                  <c:v>26576.1</c:v>
                </c:pt>
                <c:pt idx="3">
                  <c:v>31680.055844837596</c:v>
                </c:pt>
                <c:pt idx="4">
                  <c:v>37474.609160270054</c:v>
                </c:pt>
                <c:pt idx="5">
                  <c:v>44329.035863863246</c:v>
                </c:pt>
                <c:pt idx="6">
                  <c:v>52437.195868155999</c:v>
                </c:pt>
                <c:pt idx="7">
                  <c:v>62028.407722642623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1-B84A-AD3F-DF136929E250}"/>
            </c:ext>
          </c:extLst>
        </c:ser>
        <c:ser>
          <c:idx val="1"/>
          <c:order val="1"/>
          <c:tx>
            <c:strRef>
              <c:f>workings!$A$4</c:f>
              <c:strCache>
                <c:ptCount val="1"/>
                <c:pt idx="0">
                  <c:v>licensed stores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delete val="1"/>
          </c:dLbls>
          <c:cat>
            <c:numRef>
              <c:f>workings!$B$2:$I$2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workings!$B$4:$I$4</c:f>
              <c:numCache>
                <c:formatCode>#,##0</c:formatCode>
                <c:ptCount val="8"/>
                <c:pt idx="0">
                  <c:v>2327.1</c:v>
                </c:pt>
                <c:pt idx="1">
                  <c:v>2683.6</c:v>
                </c:pt>
                <c:pt idx="2">
                  <c:v>3655.5</c:v>
                </c:pt>
                <c:pt idx="3">
                  <c:v>4588.2108609985353</c:v>
                </c:pt>
                <c:pt idx="4">
                  <c:v>5750.3126546575295</c:v>
                </c:pt>
                <c:pt idx="5">
                  <c:v>7379.7660119953025</c:v>
                </c:pt>
                <c:pt idx="6">
                  <c:v>9061.6466178705159</c:v>
                </c:pt>
                <c:pt idx="7">
                  <c:v>11629.4253442217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1-B84A-AD3F-DF136929E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"/>
        <c:overlap val="100"/>
        <c:axId val="79371944"/>
        <c:axId val="245746442"/>
      </c:barChart>
      <c:catAx>
        <c:axId val="7937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46442"/>
        <c:crosses val="autoZero"/>
        <c:auto val="1"/>
        <c:lblAlgn val="ctr"/>
        <c:lblOffset val="100"/>
        <c:noMultiLvlLbl val="1"/>
      </c:catAx>
      <c:valAx>
        <c:axId val="245746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tx1"/>
                    </a:solidFill>
                  </a:rPr>
                  <a:t>Amount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sz="1800" b="1">
                <a:solidFill>
                  <a:schemeClr val="tx1"/>
                </a:solidFill>
                <a:latin typeface="+mn-lt"/>
              </a:rPr>
              <a:t>Cash and Cash Equivalents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workings!$A$31</c:f>
              <c:strCache>
                <c:ptCount val="1"/>
                <c:pt idx="0">
                  <c:v>Cash and Cash Equivalents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cmpd="sng">
              <a:solidFill>
                <a:srgbClr val="000000"/>
              </a:solidFill>
            </a:ln>
          </c:spPr>
          <c:invertIfNegative val="1"/>
          <c:cat>
            <c:numRef>
              <c:f>workings!$B$30:$I$30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workings!$B$31:$I$31</c:f>
              <c:numCache>
                <c:formatCode>General</c:formatCode>
                <c:ptCount val="8"/>
                <c:pt idx="0">
                  <c:v>5673.9999999999964</c:v>
                </c:pt>
                <c:pt idx="1">
                  <c:v>6731.800000000002</c:v>
                </c:pt>
                <c:pt idx="2">
                  <c:v>4328.5000000000018</c:v>
                </c:pt>
                <c:pt idx="3">
                  <c:v>4644.0122158465092</c:v>
                </c:pt>
                <c:pt idx="4">
                  <c:v>6329.8793155608582</c:v>
                </c:pt>
                <c:pt idx="5">
                  <c:v>8743.7811079278981</c:v>
                </c:pt>
                <c:pt idx="6">
                  <c:v>12927.959218569144</c:v>
                </c:pt>
                <c:pt idx="7">
                  <c:v>18443.977865003526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F448-99AD-802A9900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63685078"/>
        <c:axId val="2129321981"/>
      </c:barChart>
      <c:catAx>
        <c:axId val="763685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200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9321981"/>
        <c:crosses val="autoZero"/>
        <c:auto val="1"/>
        <c:lblAlgn val="ctr"/>
        <c:lblOffset val="100"/>
        <c:noMultiLvlLbl val="1"/>
      </c:catAx>
      <c:valAx>
        <c:axId val="2129321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400" b="1">
                    <a:solidFill>
                      <a:schemeClr val="tx1"/>
                    </a:solidFill>
                    <a:latin typeface="+mn-lt"/>
                  </a:rPr>
                  <a:t>In dollar millions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36850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workings!$A$62</c:f>
              <c:strCache>
                <c:ptCount val="1"/>
                <c:pt idx="0">
                  <c:v>Net Income</c:v>
                </c:pt>
              </c:strCache>
            </c:strRef>
          </c:tx>
          <c:spPr>
            <a:ln w="34925" cap="rnd"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65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workings!$B$61:$I$61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workings!$B$62:$I$62</c:f>
              <c:numCache>
                <c:formatCode>General</c:formatCode>
                <c:ptCount val="8"/>
                <c:pt idx="0">
                  <c:v>2312.4999999999964</c:v>
                </c:pt>
                <c:pt idx="1">
                  <c:v>4562.6000000000022</c:v>
                </c:pt>
                <c:pt idx="2">
                  <c:v>4543.2000000000025</c:v>
                </c:pt>
                <c:pt idx="3">
                  <c:v>4958.8607962886708</c:v>
                </c:pt>
                <c:pt idx="4">
                  <c:v>6024.139437723903</c:v>
                </c:pt>
                <c:pt idx="5">
                  <c:v>7309.500703788075</c:v>
                </c:pt>
                <c:pt idx="6">
                  <c:v>8781.1196170554722</c:v>
                </c:pt>
                <c:pt idx="7">
                  <c:v>10594.432823937565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7-1F47-BAB7-DE9605B25A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149392"/>
        <c:axId val="399151120"/>
      </c:lineChart>
      <c:catAx>
        <c:axId val="39914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1120"/>
        <c:crosses val="autoZero"/>
        <c:auto val="1"/>
        <c:lblAlgn val="ctr"/>
        <c:lblOffset val="100"/>
        <c:noMultiLvlLbl val="0"/>
      </c:catAx>
      <c:valAx>
        <c:axId val="3991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dollar millions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workings!$A$39</c:f>
              <c:strCache>
                <c:ptCount val="1"/>
                <c:pt idx="0">
                  <c:v>Dividends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5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workings!$B$38:$I$38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workings!$B$39:$I$39</c:f>
              <c:numCache>
                <c:formatCode>General</c:formatCode>
                <c:ptCount val="8"/>
                <c:pt idx="0">
                  <c:v>1923.5</c:v>
                </c:pt>
                <c:pt idx="1">
                  <c:v>2119</c:v>
                </c:pt>
                <c:pt idx="2">
                  <c:v>2263.3000000000002</c:v>
                </c:pt>
                <c:pt idx="3" formatCode="#,##0.00">
                  <c:v>2455.0881484279898</c:v>
                </c:pt>
                <c:pt idx="4" formatCode="#,##0.00">
                  <c:v>2663.12809461918</c:v>
                </c:pt>
                <c:pt idx="5" formatCode="#,##0.00">
                  <c:v>2888.79698795793</c:v>
                </c:pt>
                <c:pt idx="6" formatCode="#,##0.00">
                  <c:v>3133.58867509831</c:v>
                </c:pt>
                <c:pt idx="7" formatCode="#,##0.00">
                  <c:v>3399.1235886899899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3-B84A-B37C-CF7A7E26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801439"/>
        <c:axId val="1683810575"/>
      </c:lineChart>
      <c:catAx>
        <c:axId val="168380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10575"/>
        <c:crosses val="autoZero"/>
        <c:auto val="1"/>
        <c:lblAlgn val="ctr"/>
        <c:lblOffset val="100"/>
        <c:noMultiLvlLbl val="0"/>
      </c:catAx>
      <c:valAx>
        <c:axId val="16838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dollar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0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Market Value vs. Intrinsic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>
              <a:solidFill>
                <a:schemeClr val="tx1"/>
              </a:solidFill>
            </a:defRPr>
          </a:pPr>
          <a:r>
            <a:rPr lang="en-GB" sz="1800" b="1" i="0" u="none" strike="noStrike" baseline="0">
              <a:solidFill>
                <a:schemeClr val="tx1"/>
              </a:solidFill>
              <a:latin typeface="Arial"/>
              <a:cs typeface="Arial"/>
            </a:rPr>
            <a:t>Market Value vs. Intrinsic Value</a:t>
          </a:r>
        </a:p>
      </cx:txPr>
    </cx:title>
    <cx:plotArea>
      <cx:plotAreaRegion>
        <cx:series layoutId="waterfall" uniqueId="{8B32BE96-A16C-924C-9720-FFD874E934B1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46BDC6">
                  <a:lumMod val="75000"/>
                </a:srgbClr>
              </a:solidFill>
            </cx:spPr>
          </cx:dataPt>
          <cx:dataPt idx="2">
            <cx:spPr>
              <a:solidFill>
                <a:srgbClr val="FF6D01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</a:defRPr>
            </a:pPr>
            <a:endParaRPr lang="en-GB" sz="16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</a:defRPr>
            </a:pPr>
            <a:endParaRPr lang="en-GB" sz="16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Market Value vs. Intrinsic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GB" sz="1800" b="0" i="0" u="none" strike="noStrike" baseline="0">
              <a:solidFill>
                <a:schemeClr val="tx1"/>
              </a:solidFill>
              <a:latin typeface="Arial"/>
              <a:cs typeface="Arial"/>
            </a:rPr>
            <a:t>Market Value vs. Intrinsic Value</a:t>
          </a:r>
        </a:p>
      </cx:txPr>
    </cx:title>
    <cx:plotArea>
      <cx:plotAreaRegion>
        <cx:series layoutId="waterfall" uniqueId="{8B32BE96-A16C-924C-9720-FFD874E934B1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46BDC6">
                  <a:lumMod val="75000"/>
                </a:srgbClr>
              </a:solidFill>
            </cx:spPr>
          </cx:dataPt>
          <cx:dataPt idx="2">
            <cx:spPr>
              <a:solidFill>
                <a:srgbClr val="FF6D01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</a:defRPr>
            </a:pPr>
            <a:endParaRPr lang="en-GB" sz="16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</a:defRPr>
            </a:pPr>
            <a:endParaRPr lang="en-GB" sz="16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317500</xdr:colOff>
      <xdr:row>24</xdr:row>
      <xdr:rowOff>114300</xdr:rowOff>
    </xdr:from>
    <xdr:ext cx="8137525" cy="4308476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E8269B75-D707-364B-8F35-310534C4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762000</xdr:colOff>
      <xdr:row>77</xdr:row>
      <xdr:rowOff>38100</xdr:rowOff>
    </xdr:from>
    <xdr:ext cx="8064500" cy="44704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F169D300-880D-1B4D-AAC9-C8D31A084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368300</xdr:colOff>
      <xdr:row>52</xdr:row>
      <xdr:rowOff>12700</xdr:rowOff>
    </xdr:from>
    <xdr:to>
      <xdr:col>9</xdr:col>
      <xdr:colOff>228600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2F584-4629-F74A-99DF-55F9320F6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749300</xdr:colOff>
      <xdr:row>24</xdr:row>
      <xdr:rowOff>139700</xdr:rowOff>
    </xdr:from>
    <xdr:to>
      <xdr:col>8</xdr:col>
      <xdr:colOff>666750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8E16697-3C90-4546-8221-E63D2C07A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300" y="4953000"/>
              <a:ext cx="8248650" cy="398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762000</xdr:colOff>
      <xdr:row>52</xdr:row>
      <xdr:rowOff>101600</xdr:rowOff>
    </xdr:from>
    <xdr:to>
      <xdr:col>19</xdr:col>
      <xdr:colOff>114300</xdr:colOff>
      <xdr:row>75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941332-9922-D245-B4C9-752636977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355600</xdr:colOff>
      <xdr:row>3</xdr:row>
      <xdr:rowOff>12700</xdr:rowOff>
    </xdr:from>
    <xdr:to>
      <xdr:col>19</xdr:col>
      <xdr:colOff>101600</xdr:colOff>
      <xdr:row>23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9F79AA-DF1F-454A-8F90-164DD3F5B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777875</xdr:colOff>
      <xdr:row>4</xdr:row>
      <xdr:rowOff>161924</xdr:rowOff>
    </xdr:from>
    <xdr:ext cx="8137525" cy="4308476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762000</xdr:colOff>
      <xdr:row>4</xdr:row>
      <xdr:rowOff>101600</xdr:rowOff>
    </xdr:from>
    <xdr:ext cx="7645400" cy="43561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</xdr:col>
      <xdr:colOff>311150</xdr:colOff>
      <xdr:row>65</xdr:row>
      <xdr:rowOff>177800</xdr:rowOff>
    </xdr:from>
    <xdr:to>
      <xdr:col>9</xdr:col>
      <xdr:colOff>139700</xdr:colOff>
      <xdr:row>92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F07EE-8078-8C06-8EC2-3D995B025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349250</xdr:colOff>
      <xdr:row>34</xdr:row>
      <xdr:rowOff>88900</xdr:rowOff>
    </xdr:from>
    <xdr:to>
      <xdr:col>17</xdr:col>
      <xdr:colOff>393700</xdr:colOff>
      <xdr:row>55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A58A309-AB47-68EB-42E7-927AF4EF9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2250" y="6565900"/>
              <a:ext cx="8108950" cy="398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742950</xdr:colOff>
      <xdr:row>35</xdr:row>
      <xdr:rowOff>152400</xdr:rowOff>
    </xdr:from>
    <xdr:to>
      <xdr:col>10</xdr:col>
      <xdr:colOff>520700</xdr:colOff>
      <xdr:row>54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084F16-CCB0-6C18-4962-1F16AB20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355600</xdr:colOff>
      <xdr:row>62</xdr:row>
      <xdr:rowOff>12700</xdr:rowOff>
    </xdr:from>
    <xdr:to>
      <xdr:col>17</xdr:col>
      <xdr:colOff>1104900</xdr:colOff>
      <xdr:row>87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1166C3-82EF-D7AC-C49A-6FBC8FF87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8370-5F3B-5C43-994A-787C4F49A4DA}">
  <dimension ref="B5:D12"/>
  <sheetViews>
    <sheetView showGridLines="0" workbookViewId="0">
      <selection activeCell="L88" sqref="L88"/>
    </sheetView>
  </sheetViews>
  <sheetFormatPr baseColWidth="10" defaultRowHeight="13" x14ac:dyDescent="0.15"/>
  <cols>
    <col min="3" max="3" width="32.6640625" bestFit="1" customWidth="1"/>
    <col min="4" max="4" width="11.6640625" bestFit="1" customWidth="1"/>
  </cols>
  <sheetData>
    <row r="5" spans="2:4" x14ac:dyDescent="0.15">
      <c r="B5" s="101"/>
    </row>
    <row r="6" spans="2:4" ht="14" thickBot="1" x14ac:dyDescent="0.2">
      <c r="B6" s="101"/>
    </row>
    <row r="7" spans="2:4" ht="28" x14ac:dyDescent="0.3">
      <c r="C7" s="108" t="s">
        <v>129</v>
      </c>
      <c r="D7" s="109"/>
    </row>
    <row r="8" spans="2:4" ht="23" x14ac:dyDescent="0.25">
      <c r="C8" s="102" t="s">
        <v>21</v>
      </c>
      <c r="D8" s="103">
        <v>0.21</v>
      </c>
    </row>
    <row r="9" spans="2:4" ht="23" x14ac:dyDescent="0.25">
      <c r="C9" s="102" t="s">
        <v>134</v>
      </c>
      <c r="D9" s="103">
        <v>0.08</v>
      </c>
    </row>
    <row r="10" spans="2:4" ht="23" x14ac:dyDescent="0.25">
      <c r="C10" s="102" t="s">
        <v>135</v>
      </c>
      <c r="D10" s="104">
        <v>2.5999999999999999E-2</v>
      </c>
    </row>
    <row r="11" spans="2:4" ht="23" x14ac:dyDescent="0.25">
      <c r="C11" s="102" t="s">
        <v>136</v>
      </c>
      <c r="D11" s="104">
        <f>Worksheet!C24</f>
        <v>0.32552753570672027</v>
      </c>
    </row>
    <row r="12" spans="2:4" ht="24" thickBot="1" x14ac:dyDescent="0.3">
      <c r="C12" s="105" t="s">
        <v>137</v>
      </c>
      <c r="D12" s="106">
        <f>Worksheet!C11</f>
        <v>3.107E-2</v>
      </c>
    </row>
  </sheetData>
  <mergeCells count="1">
    <mergeCell ref="C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showGridLines="0" zoomScale="109" workbookViewId="0">
      <pane xSplit="2" ySplit="2" topLeftCell="D91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baseColWidth="10" defaultColWidth="18.83203125" defaultRowHeight="30" customHeight="1" x14ac:dyDescent="0.15"/>
  <cols>
    <col min="2" max="2" width="59.6640625" bestFit="1" customWidth="1"/>
  </cols>
  <sheetData>
    <row r="1" spans="1:26" ht="30" customHeight="1" x14ac:dyDescent="0.25">
      <c r="A1" s="120" t="s">
        <v>0</v>
      </c>
      <c r="B1" s="121"/>
      <c r="C1" s="123" t="s">
        <v>1</v>
      </c>
      <c r="D1" s="124"/>
      <c r="E1" s="124"/>
      <c r="F1" s="96"/>
      <c r="G1" s="125" t="s">
        <v>2</v>
      </c>
      <c r="H1" s="126"/>
      <c r="I1" s="126"/>
      <c r="J1" s="126"/>
      <c r="K1" s="126"/>
      <c r="L1" s="126"/>
      <c r="M1" s="126"/>
      <c r="N1" s="126"/>
      <c r="O1" s="126"/>
      <c r="P1" s="126"/>
      <c r="Q1" s="110" t="s">
        <v>112</v>
      </c>
      <c r="R1" s="2"/>
      <c r="S1" s="2"/>
      <c r="T1" s="2"/>
      <c r="U1" s="2"/>
      <c r="V1" s="2"/>
      <c r="W1" s="2"/>
      <c r="X1" s="2"/>
      <c r="Y1" s="2"/>
      <c r="Z1" s="2"/>
    </row>
    <row r="2" spans="1:26" ht="30" customHeight="1" thickBot="1" x14ac:dyDescent="0.3">
      <c r="A2" s="122"/>
      <c r="B2" s="122"/>
      <c r="C2" s="97">
        <v>2020</v>
      </c>
      <c r="D2" s="97">
        <v>2021</v>
      </c>
      <c r="E2" s="97">
        <v>2022</v>
      </c>
      <c r="F2" s="98"/>
      <c r="G2" s="99">
        <v>2023</v>
      </c>
      <c r="H2" s="99">
        <v>2024</v>
      </c>
      <c r="I2" s="99">
        <v>2025</v>
      </c>
      <c r="J2" s="99">
        <v>2026</v>
      </c>
      <c r="K2" s="99">
        <v>2027</v>
      </c>
      <c r="L2" s="99">
        <v>2028</v>
      </c>
      <c r="M2" s="99">
        <v>2029</v>
      </c>
      <c r="N2" s="99">
        <v>2030</v>
      </c>
      <c r="O2" s="99">
        <v>2031</v>
      </c>
      <c r="P2" s="99">
        <v>2032</v>
      </c>
      <c r="Q2" s="110"/>
      <c r="R2" s="2"/>
      <c r="S2" s="2"/>
      <c r="T2" s="2"/>
      <c r="U2" s="2"/>
      <c r="V2" s="2"/>
      <c r="W2" s="2"/>
      <c r="X2" s="2"/>
      <c r="Y2" s="2"/>
      <c r="Z2" s="2"/>
    </row>
    <row r="3" spans="1:26" ht="30" customHeight="1" thickTop="1" x14ac:dyDescent="0.25">
      <c r="A3" s="127" t="s">
        <v>3</v>
      </c>
      <c r="B3" s="1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 x14ac:dyDescent="0.2">
      <c r="A4" s="129" t="s">
        <v>4</v>
      </c>
      <c r="B4" s="1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" customHeight="1" x14ac:dyDescent="0.2">
      <c r="A5" s="3"/>
      <c r="B5" s="3" t="s">
        <v>5</v>
      </c>
      <c r="C5" s="4">
        <f>'sales proejction'!C8</f>
        <v>23517.999999999996</v>
      </c>
      <c r="D5" s="4">
        <f>'sales proejction'!D8</f>
        <v>29060.6</v>
      </c>
      <c r="E5" s="4">
        <f>'sales proejction'!E8</f>
        <v>32250.3</v>
      </c>
      <c r="F5" s="2"/>
      <c r="G5" s="75">
        <f>'sales proejction'!G8</f>
        <v>38286.96670583613</v>
      </c>
      <c r="H5" s="75">
        <f>'sales proejction'!H8</f>
        <v>45243.621814927581</v>
      </c>
      <c r="I5" s="75">
        <f>'sales proejction'!I8</f>
        <v>53727.501875858543</v>
      </c>
      <c r="J5" s="75">
        <f>'sales proejction'!J8</f>
        <v>63517.542486026512</v>
      </c>
      <c r="K5" s="75">
        <f>'sales proejction'!K8</f>
        <v>75676.533066864315</v>
      </c>
      <c r="L5" s="75">
        <f>'sales proejction'!L8</f>
        <v>89672.456001804414</v>
      </c>
      <c r="M5" s="75">
        <f>'sales proejction'!M8</f>
        <v>107139.61792018721</v>
      </c>
      <c r="N5" s="75">
        <f>'sales proejction'!N8</f>
        <v>127191.73768894159</v>
      </c>
      <c r="O5" s="75">
        <f>'sales proejction'!O8</f>
        <v>152347.58116784488</v>
      </c>
      <c r="P5" s="75">
        <f>'sales proejction'!P8</f>
        <v>181143.47502814446</v>
      </c>
      <c r="Q5" s="5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">
      <c r="A6" s="111" t="s">
        <v>6</v>
      </c>
      <c r="B6" s="112"/>
      <c r="C6" s="2"/>
      <c r="D6" s="7">
        <f t="shared" ref="D6:E6" si="0">D5/C5-1</f>
        <v>0.23567480227910553</v>
      </c>
      <c r="E6" s="7">
        <f t="shared" si="0"/>
        <v>0.10976029400631782</v>
      </c>
      <c r="F6" s="2"/>
      <c r="G6" s="7">
        <f>G5/E5-1</f>
        <v>0.18718172252153109</v>
      </c>
      <c r="H6" s="7">
        <f>H5/G5-1</f>
        <v>0.18169773444160153</v>
      </c>
      <c r="I6" s="7">
        <f>I5/G5-1</f>
        <v>0.40328436798490985</v>
      </c>
      <c r="J6" s="7">
        <f>J5/I5-1</f>
        <v>0.18221656076228143</v>
      </c>
      <c r="K6" s="7">
        <f>K5/I5-1</f>
        <v>0.40852506490476093</v>
      </c>
      <c r="L6" s="7">
        <f>L5/K5-1</f>
        <v>0.18494402911631735</v>
      </c>
      <c r="M6" s="7">
        <f>M5/K5-1</f>
        <v>0.41575748225045617</v>
      </c>
      <c r="N6" s="7">
        <f>N5/M5-1</f>
        <v>0.18715877616524668</v>
      </c>
      <c r="O6" s="7">
        <f>O5/M5-1</f>
        <v>0.42195374713147626</v>
      </c>
      <c r="P6" s="7">
        <f>P5/O5-1</f>
        <v>0.18901444735492356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">
      <c r="A7" s="117" t="s">
        <v>7</v>
      </c>
      <c r="B7" s="11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 x14ac:dyDescent="0.2">
      <c r="A8" s="3"/>
      <c r="B8" s="3" t="s">
        <v>8</v>
      </c>
      <c r="C8" s="2">
        <f>7694.9+10764</f>
        <v>18458.900000000001</v>
      </c>
      <c r="D8" s="2">
        <f>8738.7+11930.9</f>
        <v>20669.599999999999</v>
      </c>
      <c r="E8" s="2">
        <f>10317.4+13561.8</f>
        <v>23879.199999999997</v>
      </c>
      <c r="F8" s="2"/>
      <c r="G8" s="8">
        <f t="shared" ref="G8:P8" si="1">G5*G9</f>
        <v>28543.902129126294</v>
      </c>
      <c r="H8" s="8">
        <f t="shared" si="1"/>
        <v>33730.264478111349</v>
      </c>
      <c r="I8" s="8">
        <f t="shared" si="1"/>
        <v>40055.211659094115</v>
      </c>
      <c r="J8" s="8">
        <f t="shared" si="1"/>
        <v>47353.934568219483</v>
      </c>
      <c r="K8" s="8">
        <f t="shared" si="1"/>
        <v>56418.769601899476</v>
      </c>
      <c r="L8" s="8">
        <f t="shared" si="1"/>
        <v>66853.084169859969</v>
      </c>
      <c r="M8" s="8">
        <f t="shared" si="1"/>
        <v>79875.295203253772</v>
      </c>
      <c r="N8" s="8">
        <f t="shared" si="1"/>
        <v>94824.657699332543</v>
      </c>
      <c r="O8" s="8">
        <f t="shared" si="1"/>
        <v>113578.97531749954</v>
      </c>
      <c r="P8" s="8">
        <f t="shared" si="1"/>
        <v>135047.04256827524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2">
      <c r="A9" s="3"/>
      <c r="B9" s="6" t="s">
        <v>9</v>
      </c>
      <c r="C9" s="7">
        <f t="shared" ref="C9:E9" si="2">C8/C5</f>
        <v>0.78488391870056995</v>
      </c>
      <c r="D9" s="7">
        <f t="shared" si="2"/>
        <v>0.71125854249396092</v>
      </c>
      <c r="E9" s="7">
        <f t="shared" si="2"/>
        <v>0.74043342232475351</v>
      </c>
      <c r="F9" s="7">
        <f>AVERAGE(C9:E9)</f>
        <v>0.74552529450642824</v>
      </c>
      <c r="G9" s="7">
        <v>0.74552529450642824</v>
      </c>
      <c r="H9" s="7">
        <v>0.74552529450642824</v>
      </c>
      <c r="I9" s="7">
        <v>0.74552529450642824</v>
      </c>
      <c r="J9" s="7">
        <v>0.74552529450642824</v>
      </c>
      <c r="K9" s="7">
        <v>0.74552529450642824</v>
      </c>
      <c r="L9" s="7">
        <v>0.74552529450642824</v>
      </c>
      <c r="M9" s="7">
        <v>0.74552529450642824</v>
      </c>
      <c r="N9" s="7">
        <v>0.74552529450642824</v>
      </c>
      <c r="O9" s="7">
        <v>0.74552529450642824</v>
      </c>
      <c r="P9" s="7">
        <v>0.74552529450642824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customHeight="1" x14ac:dyDescent="0.2">
      <c r="A10" s="3"/>
      <c r="B10" s="3" t="s">
        <v>10</v>
      </c>
      <c r="C10" s="2">
        <v>1679.6</v>
      </c>
      <c r="D10" s="2">
        <v>1932.6</v>
      </c>
      <c r="E10" s="2">
        <v>2032</v>
      </c>
      <c r="F10" s="2"/>
      <c r="G10" s="8">
        <f t="shared" ref="G10:P10" si="3">G5*G12</f>
        <v>2564.2978710659481</v>
      </c>
      <c r="H10" s="8">
        <f t="shared" si="3"/>
        <v>3030.2249846720529</v>
      </c>
      <c r="I10" s="8">
        <f t="shared" si="3"/>
        <v>3598.4391173238291</v>
      </c>
      <c r="J10" s="8">
        <f t="shared" si="3"/>
        <v>4254.1343173950372</v>
      </c>
      <c r="K10" s="8">
        <f t="shared" si="3"/>
        <v>5068.4916912843764</v>
      </c>
      <c r="L10" s="8">
        <f t="shared" si="3"/>
        <v>6005.8789662130866</v>
      </c>
      <c r="M10" s="8">
        <f t="shared" si="3"/>
        <v>7175.755035660125</v>
      </c>
      <c r="N10" s="8">
        <f t="shared" si="3"/>
        <v>8518.7605661958805</v>
      </c>
      <c r="O10" s="8">
        <f t="shared" si="3"/>
        <v>10203.591761454476</v>
      </c>
      <c r="P10" s="8">
        <f t="shared" si="3"/>
        <v>12132.218019281047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2">
      <c r="A11" s="3"/>
      <c r="B11" s="3" t="s">
        <v>11</v>
      </c>
      <c r="C11" s="2">
        <f>C10</f>
        <v>1679.6</v>
      </c>
      <c r="D11" s="2">
        <v>1932.6</v>
      </c>
      <c r="E11" s="2">
        <v>2032</v>
      </c>
      <c r="F11" s="2"/>
      <c r="G11" s="8">
        <f t="shared" ref="G11:P11" si="4">G5*G12</f>
        <v>2564.2978710659481</v>
      </c>
      <c r="H11" s="8">
        <f t="shared" si="4"/>
        <v>3030.2249846720529</v>
      </c>
      <c r="I11" s="8">
        <f t="shared" si="4"/>
        <v>3598.4391173238291</v>
      </c>
      <c r="J11" s="8">
        <f t="shared" si="4"/>
        <v>4254.1343173950372</v>
      </c>
      <c r="K11" s="8">
        <f t="shared" si="4"/>
        <v>5068.4916912843764</v>
      </c>
      <c r="L11" s="8">
        <f t="shared" si="4"/>
        <v>6005.8789662130866</v>
      </c>
      <c r="M11" s="8">
        <f t="shared" si="4"/>
        <v>7175.755035660125</v>
      </c>
      <c r="N11" s="8">
        <f t="shared" si="4"/>
        <v>8518.7605661958805</v>
      </c>
      <c r="O11" s="8">
        <f t="shared" si="4"/>
        <v>10203.591761454476</v>
      </c>
      <c r="P11" s="8">
        <f t="shared" si="4"/>
        <v>12132.218019281047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">
      <c r="A12" s="3"/>
      <c r="B12" s="6" t="s">
        <v>9</v>
      </c>
      <c r="C12" s="7">
        <f t="shared" ref="C12:E12" si="5">C11/C5</f>
        <v>7.1417637554213806E-2</v>
      </c>
      <c r="D12" s="7">
        <f t="shared" si="5"/>
        <v>6.6502412200711611E-2</v>
      </c>
      <c r="E12" s="7">
        <f t="shared" si="5"/>
        <v>6.300716582481404E-2</v>
      </c>
      <c r="F12" s="7">
        <f>AVERAGE(C12:E12)</f>
        <v>6.6975738526579828E-2</v>
      </c>
      <c r="G12" s="7">
        <v>6.6975738526579828E-2</v>
      </c>
      <c r="H12" s="7">
        <v>6.6975738526579828E-2</v>
      </c>
      <c r="I12" s="7">
        <v>6.6975738526579828E-2</v>
      </c>
      <c r="J12" s="7">
        <v>6.6975738526579828E-2</v>
      </c>
      <c r="K12" s="7">
        <v>6.6975738526579828E-2</v>
      </c>
      <c r="L12" s="7">
        <v>6.6975738526579828E-2</v>
      </c>
      <c r="M12" s="7">
        <v>6.6975738526579828E-2</v>
      </c>
      <c r="N12" s="7">
        <v>6.6975738526579828E-2</v>
      </c>
      <c r="O12" s="7">
        <v>6.6975738526579828E-2</v>
      </c>
      <c r="P12" s="7">
        <v>6.6975738526579828E-2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 customHeight="1" x14ac:dyDescent="0.2">
      <c r="A13" s="3"/>
      <c r="B13" s="3" t="s">
        <v>12</v>
      </c>
      <c r="C13" s="2">
        <v>430</v>
      </c>
      <c r="D13" s="2">
        <v>359.5</v>
      </c>
      <c r="E13" s="2">
        <v>461.5</v>
      </c>
      <c r="F13" s="2"/>
      <c r="G13" s="2">
        <v>461.5</v>
      </c>
      <c r="H13" s="2">
        <v>461.5</v>
      </c>
      <c r="I13" s="2">
        <v>461.5</v>
      </c>
      <c r="J13" s="2">
        <v>461.5</v>
      </c>
      <c r="K13" s="2">
        <v>461.5</v>
      </c>
      <c r="L13" s="2">
        <v>461.5</v>
      </c>
      <c r="M13" s="2">
        <v>461.5</v>
      </c>
      <c r="N13" s="2">
        <v>461.5</v>
      </c>
      <c r="O13" s="2">
        <v>461.5</v>
      </c>
      <c r="P13" s="2">
        <v>461.5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2">
      <c r="A14" s="117" t="s">
        <v>13</v>
      </c>
      <c r="B14" s="112"/>
      <c r="C14" s="4">
        <f t="shared" ref="C14:E14" si="6">C5-SUM(C8,C11,C13)</f>
        <v>2949.4999999999964</v>
      </c>
      <c r="D14" s="4">
        <f t="shared" si="6"/>
        <v>6098.9000000000015</v>
      </c>
      <c r="E14" s="4">
        <f t="shared" si="6"/>
        <v>5877.6000000000022</v>
      </c>
      <c r="F14" s="2"/>
      <c r="G14" s="4">
        <f>G5-SUM(G8,G11,G13)</f>
        <v>6717.2667056438877</v>
      </c>
      <c r="H14" s="4">
        <f t="shared" ref="H14:P14" si="7">H5-SUM(H8,H11,H13)</f>
        <v>8021.6323521441809</v>
      </c>
      <c r="I14" s="4">
        <f t="shared" si="7"/>
        <v>9612.3510994406024</v>
      </c>
      <c r="J14" s="4">
        <f t="shared" si="7"/>
        <v>11447.973600411991</v>
      </c>
      <c r="K14" s="4">
        <f t="shared" si="7"/>
        <v>13727.771773680463</v>
      </c>
      <c r="L14" s="4">
        <f t="shared" si="7"/>
        <v>16351.992865731358</v>
      </c>
      <c r="M14" s="4">
        <f t="shared" si="7"/>
        <v>19627.067681273315</v>
      </c>
      <c r="N14" s="4">
        <f t="shared" si="7"/>
        <v>23386.819423413166</v>
      </c>
      <c r="O14" s="4">
        <f t="shared" si="7"/>
        <v>28103.514088890865</v>
      </c>
      <c r="P14" s="4">
        <f t="shared" si="7"/>
        <v>33502.71444058817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2">
      <c r="A15" s="117" t="s">
        <v>14</v>
      </c>
      <c r="B15" s="112"/>
      <c r="C15" s="2">
        <v>437</v>
      </c>
      <c r="D15" s="2">
        <v>469.8</v>
      </c>
      <c r="E15" s="2">
        <v>482.9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">
      <c r="A16" s="117" t="s">
        <v>15</v>
      </c>
      <c r="B16" s="112"/>
      <c r="C16" s="2">
        <v>39.700000000000003</v>
      </c>
      <c r="D16" s="2">
        <v>90.1</v>
      </c>
      <c r="E16" s="2">
        <v>97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2">
      <c r="A17" s="117" t="s">
        <v>16</v>
      </c>
      <c r="B17" s="112"/>
      <c r="C17" s="2">
        <f t="shared" ref="C17:E17" si="8">C15-C16</f>
        <v>397.3</v>
      </c>
      <c r="D17" s="2">
        <f t="shared" si="8"/>
        <v>379.70000000000005</v>
      </c>
      <c r="E17" s="2">
        <f t="shared" si="8"/>
        <v>385.9</v>
      </c>
      <c r="F17" s="2"/>
      <c r="G17" s="75">
        <f>Worksheet!C9</f>
        <v>440.22772299999997</v>
      </c>
      <c r="H17" s="75">
        <f>Worksheet!D9</f>
        <v>396.13939299999998</v>
      </c>
      <c r="I17" s="75">
        <f>Worksheet!E9</f>
        <v>359.81856299999998</v>
      </c>
      <c r="J17" s="75">
        <f>Worksheet!F9</f>
        <v>332.63231300000001</v>
      </c>
      <c r="K17" s="75">
        <f>Worksheet!G9</f>
        <v>317.09731299999999</v>
      </c>
      <c r="L17" s="75">
        <f>Worksheet!H9</f>
        <v>278.41516300000001</v>
      </c>
      <c r="M17" s="75">
        <f>Worksheet!I9</f>
        <v>216.58586299999999</v>
      </c>
      <c r="N17" s="75">
        <f>Worksheet!J9</f>
        <v>154.756563</v>
      </c>
      <c r="O17" s="75">
        <f>Worksheet!K9</f>
        <v>92.927262999999996</v>
      </c>
      <c r="P17" s="75">
        <f>Worksheet!L9</f>
        <v>31.097962999999989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111" t="s">
        <v>9</v>
      </c>
      <c r="B18" s="112"/>
      <c r="C18" s="7">
        <f t="shared" ref="C18:E18" si="9">C17/C5</f>
        <v>1.6893443320010207E-2</v>
      </c>
      <c r="D18" s="7">
        <f t="shared" si="9"/>
        <v>1.3065800430823867E-2</v>
      </c>
      <c r="E18" s="7">
        <f t="shared" si="9"/>
        <v>1.1965780163285302E-2</v>
      </c>
      <c r="F18" s="7"/>
      <c r="G18" s="7">
        <f t="shared" ref="G18:P18" si="10">G17/G5</f>
        <v>1.1498109170734998E-2</v>
      </c>
      <c r="H18" s="7">
        <f t="shared" si="10"/>
        <v>8.7556958773202954E-3</v>
      </c>
      <c r="I18" s="7">
        <f t="shared" si="10"/>
        <v>6.6971020508526154E-3</v>
      </c>
      <c r="J18" s="7">
        <f t="shared" si="10"/>
        <v>5.2368574094814385E-3</v>
      </c>
      <c r="K18" s="7">
        <f t="shared" si="10"/>
        <v>4.1901670194091391E-3</v>
      </c>
      <c r="L18" s="7">
        <f t="shared" si="10"/>
        <v>3.1048013561086993E-3</v>
      </c>
      <c r="M18" s="7">
        <f t="shared" si="10"/>
        <v>2.0215291710424417E-3</v>
      </c>
      <c r="N18" s="7">
        <f t="shared" si="10"/>
        <v>1.2167186785235263E-3</v>
      </c>
      <c r="O18" s="7">
        <f t="shared" si="10"/>
        <v>6.0996874573033004E-4</v>
      </c>
      <c r="P18" s="7">
        <f t="shared" si="10"/>
        <v>1.716758662997288E-4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 x14ac:dyDescent="0.2">
      <c r="A19" s="117" t="s">
        <v>17</v>
      </c>
      <c r="B19" s="11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2">
      <c r="A20" s="117" t="s">
        <v>18</v>
      </c>
      <c r="B20" s="112"/>
      <c r="C20" s="4">
        <f t="shared" ref="C20:P20" si="11">C14-C17</f>
        <v>2552.1999999999962</v>
      </c>
      <c r="D20" s="4">
        <f t="shared" si="11"/>
        <v>5719.2000000000016</v>
      </c>
      <c r="E20" s="4">
        <f t="shared" si="11"/>
        <v>5491.7000000000025</v>
      </c>
      <c r="F20" s="2">
        <f t="shared" si="11"/>
        <v>0</v>
      </c>
      <c r="G20" s="4">
        <f t="shared" si="11"/>
        <v>6277.0389826438877</v>
      </c>
      <c r="H20" s="4">
        <f t="shared" si="11"/>
        <v>7625.4929591441805</v>
      </c>
      <c r="I20" s="4">
        <f t="shared" si="11"/>
        <v>9252.5325364406017</v>
      </c>
      <c r="J20" s="4">
        <f t="shared" si="11"/>
        <v>11115.341287411991</v>
      </c>
      <c r="K20" s="4">
        <f t="shared" si="11"/>
        <v>13410.674460680462</v>
      </c>
      <c r="L20" s="4">
        <f t="shared" si="11"/>
        <v>16073.577702731358</v>
      </c>
      <c r="M20" s="4">
        <f t="shared" si="11"/>
        <v>19410.481818273314</v>
      </c>
      <c r="N20" s="4">
        <f t="shared" si="11"/>
        <v>23232.062860413167</v>
      </c>
      <c r="O20" s="4">
        <f t="shared" si="11"/>
        <v>28010.586825890863</v>
      </c>
      <c r="P20" s="4">
        <f t="shared" si="11"/>
        <v>33471.61647758817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 x14ac:dyDescent="0.2">
      <c r="A21" s="117" t="s">
        <v>19</v>
      </c>
      <c r="B21" s="112"/>
      <c r="C21" s="2">
        <v>239.7</v>
      </c>
      <c r="D21" s="2">
        <v>1156.5999999999999</v>
      </c>
      <c r="E21" s="2">
        <v>948.5</v>
      </c>
      <c r="F21" s="2" t="s">
        <v>20</v>
      </c>
      <c r="G21" s="8">
        <f t="shared" ref="G21:P21" si="12">G20*G22</f>
        <v>1318.1781863552164</v>
      </c>
      <c r="H21" s="8">
        <f t="shared" si="12"/>
        <v>1601.353521420278</v>
      </c>
      <c r="I21" s="8">
        <f t="shared" si="12"/>
        <v>1943.0318326525262</v>
      </c>
      <c r="J21" s="8">
        <f t="shared" si="12"/>
        <v>2334.2216703565182</v>
      </c>
      <c r="K21" s="8">
        <f t="shared" si="12"/>
        <v>2816.2416367428968</v>
      </c>
      <c r="L21" s="8">
        <f t="shared" si="12"/>
        <v>3375.4513175735851</v>
      </c>
      <c r="M21" s="8">
        <f t="shared" si="12"/>
        <v>4076.2011818373958</v>
      </c>
      <c r="N21" s="8">
        <f t="shared" si="12"/>
        <v>4878.7332006867646</v>
      </c>
      <c r="O21" s="8">
        <f t="shared" si="12"/>
        <v>5882.223233437081</v>
      </c>
      <c r="P21" s="8">
        <f t="shared" si="12"/>
        <v>7029.0394602935157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 x14ac:dyDescent="0.2">
      <c r="A22" s="6" t="s">
        <v>21</v>
      </c>
      <c r="B22" s="6"/>
      <c r="C22" s="7">
        <f t="shared" ref="C22:E22" si="13">C21/C20</f>
        <v>9.3918971867408649E-2</v>
      </c>
      <c r="D22" s="7">
        <f t="shared" si="13"/>
        <v>0.20223108127010764</v>
      </c>
      <c r="E22" s="7">
        <f t="shared" si="13"/>
        <v>0.17271518837518429</v>
      </c>
      <c r="F22" s="9">
        <v>0.21</v>
      </c>
      <c r="G22" s="9">
        <v>0.21</v>
      </c>
      <c r="H22" s="9">
        <v>0.21</v>
      </c>
      <c r="I22" s="9">
        <v>0.21</v>
      </c>
      <c r="J22" s="9">
        <v>0.21</v>
      </c>
      <c r="K22" s="9">
        <v>0.21</v>
      </c>
      <c r="L22" s="9">
        <v>0.21</v>
      </c>
      <c r="M22" s="9">
        <v>0.21</v>
      </c>
      <c r="N22" s="9">
        <v>0.21</v>
      </c>
      <c r="O22" s="9">
        <v>0.21</v>
      </c>
      <c r="P22" s="9">
        <v>0.21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 x14ac:dyDescent="0.2">
      <c r="A23" s="117" t="s">
        <v>22</v>
      </c>
      <c r="B23" s="112"/>
      <c r="C23" s="4">
        <f t="shared" ref="C23:E23" si="14">C20-C21</f>
        <v>2312.4999999999964</v>
      </c>
      <c r="D23" s="4">
        <f t="shared" si="14"/>
        <v>4562.6000000000022</v>
      </c>
      <c r="E23" s="4">
        <f t="shared" si="14"/>
        <v>4543.2000000000025</v>
      </c>
      <c r="F23" s="2"/>
      <c r="G23" s="4">
        <f t="shared" ref="G23:P23" si="15">G20-G21</f>
        <v>4958.8607962886708</v>
      </c>
      <c r="H23" s="4">
        <f t="shared" si="15"/>
        <v>6024.139437723903</v>
      </c>
      <c r="I23" s="4">
        <f t="shared" si="15"/>
        <v>7309.500703788075</v>
      </c>
      <c r="J23" s="4">
        <f t="shared" si="15"/>
        <v>8781.1196170554722</v>
      </c>
      <c r="K23" s="4">
        <f t="shared" si="15"/>
        <v>10594.432823937565</v>
      </c>
      <c r="L23" s="4">
        <f t="shared" si="15"/>
        <v>12698.126385157773</v>
      </c>
      <c r="M23" s="4">
        <f t="shared" si="15"/>
        <v>15334.280636435918</v>
      </c>
      <c r="N23" s="4">
        <f t="shared" si="15"/>
        <v>18353.329659726402</v>
      </c>
      <c r="O23" s="4">
        <f t="shared" si="15"/>
        <v>22128.363592453781</v>
      </c>
      <c r="P23" s="4">
        <f t="shared" si="15"/>
        <v>26442.577017294654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 customHeight="1" x14ac:dyDescent="0.2">
      <c r="A26" s="117" t="s">
        <v>23</v>
      </c>
      <c r="B26" s="11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 x14ac:dyDescent="0.2">
      <c r="A27" s="3"/>
      <c r="B27" s="3" t="s">
        <v>24</v>
      </c>
      <c r="C27" s="10">
        <f t="shared" ref="C27:E27" si="16">C23/C31</f>
        <v>1.9702649740137994</v>
      </c>
      <c r="D27" s="10">
        <f t="shared" si="16"/>
        <v>3.8890214797136053</v>
      </c>
      <c r="E27" s="10">
        <f t="shared" si="16"/>
        <v>3.9581808677469965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" customHeight="1" x14ac:dyDescent="0.2">
      <c r="A28" s="3"/>
      <c r="B28" s="3" t="s">
        <v>25</v>
      </c>
      <c r="C28" s="10">
        <f t="shared" ref="C28:E28" si="17">C23/C33</f>
        <v>1.9549412460901143</v>
      </c>
      <c r="D28" s="10">
        <f t="shared" si="17"/>
        <v>3.8718601493550593</v>
      </c>
      <c r="E28" s="10">
        <f t="shared" si="17"/>
        <v>3.9440923691292675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" customHeight="1" x14ac:dyDescent="0.2">
      <c r="A30" s="117" t="s">
        <v>26</v>
      </c>
      <c r="B30" s="11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 x14ac:dyDescent="0.2">
      <c r="A31" s="3"/>
      <c r="B31" s="3" t="s">
        <v>24</v>
      </c>
      <c r="C31" s="2">
        <v>1173.7</v>
      </c>
      <c r="D31" s="2">
        <v>1173.2</v>
      </c>
      <c r="E31" s="2">
        <v>1147.8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customHeight="1" x14ac:dyDescent="0.2">
      <c r="A32" s="3"/>
      <c r="B32" s="3" t="s">
        <v>27</v>
      </c>
      <c r="C32" s="2">
        <v>9.1999999999999993</v>
      </c>
      <c r="D32" s="2">
        <v>5.2</v>
      </c>
      <c r="E32" s="2">
        <v>4.0999999999999996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 x14ac:dyDescent="0.2">
      <c r="A33" s="3"/>
      <c r="B33" s="3" t="s">
        <v>25</v>
      </c>
      <c r="C33" s="2">
        <f t="shared" ref="C33:E33" si="18">C31+C32</f>
        <v>1182.9000000000001</v>
      </c>
      <c r="D33" s="2">
        <f t="shared" si="18"/>
        <v>1178.4000000000001</v>
      </c>
      <c r="E33" s="2">
        <f t="shared" si="18"/>
        <v>1151.8999999999999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" customHeight="1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" customHeight="1" x14ac:dyDescent="0.2">
      <c r="A36" s="118" t="s">
        <v>28</v>
      </c>
      <c r="B36" s="119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" customHeight="1" x14ac:dyDescent="0.2">
      <c r="A37" s="119"/>
      <c r="B37" s="11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customHeight="1" x14ac:dyDescent="0.2">
      <c r="A38" s="116" t="s">
        <v>29</v>
      </c>
      <c r="B38" s="112"/>
      <c r="C38" s="2">
        <v>1431.3</v>
      </c>
      <c r="D38" s="2">
        <v>1441.7</v>
      </c>
      <c r="E38" s="2">
        <v>1447.9</v>
      </c>
      <c r="F38" s="2"/>
      <c r="G38" s="75">
        <f>Worksheet!C18</f>
        <v>1447.9</v>
      </c>
      <c r="H38" s="75">
        <f>Worksheet!D18</f>
        <v>1631.3983966472699</v>
      </c>
      <c r="I38" s="75">
        <f>Worksheet!E18</f>
        <v>1863.6296575965605</v>
      </c>
      <c r="J38" s="75">
        <f>Worksheet!F18</f>
        <v>2148.7628931867944</v>
      </c>
      <c r="K38" s="75">
        <f>Worksheet!G18</f>
        <v>2500.1349524635693</v>
      </c>
      <c r="L38" s="75">
        <f>Worksheet!H18</f>
        <v>2923.9829982900005</v>
      </c>
      <c r="M38" s="75">
        <f>Worksheet!I18</f>
        <v>3440.6702065071622</v>
      </c>
      <c r="N38" s="75">
        <f>Worksheet!J18</f>
        <v>4059.0343255951689</v>
      </c>
      <c r="O38" s="75">
        <f>Worksheet!K18</f>
        <v>4809.8099968350089</v>
      </c>
      <c r="P38" s="75">
        <f>Worksheet!L18</f>
        <v>5705.1690276499157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" customHeight="1" x14ac:dyDescent="0.2">
      <c r="A39" s="111" t="s">
        <v>9</v>
      </c>
      <c r="B39" s="112"/>
      <c r="C39" s="7">
        <f t="shared" ref="C39:E39" si="19">C38/C5</f>
        <v>6.0859766986988695E-2</v>
      </c>
      <c r="D39" s="7">
        <f t="shared" si="19"/>
        <v>4.9610125049035468E-2</v>
      </c>
      <c r="E39" s="7">
        <f t="shared" si="19"/>
        <v>4.489570639652965E-2</v>
      </c>
      <c r="F39" s="2"/>
      <c r="G39" s="7">
        <f t="shared" ref="G39:P39" si="20">G38/G5</f>
        <v>3.7817046493246874E-2</v>
      </c>
      <c r="H39" s="7">
        <f t="shared" si="20"/>
        <v>3.6058085785453407E-2</v>
      </c>
      <c r="I39" s="7">
        <f t="shared" si="20"/>
        <v>3.46866984789767E-2</v>
      </c>
      <c r="J39" s="7">
        <f t="shared" si="20"/>
        <v>3.3829440011151402E-2</v>
      </c>
      <c r="K39" s="7">
        <f t="shared" si="20"/>
        <v>3.3037123281725457E-2</v>
      </c>
      <c r="L39" s="7">
        <f t="shared" si="20"/>
        <v>3.2607370520008547E-2</v>
      </c>
      <c r="M39" s="7">
        <f t="shared" si="20"/>
        <v>3.2113892818530131E-2</v>
      </c>
      <c r="N39" s="7">
        <f t="shared" si="20"/>
        <v>3.1912720113329129E-2</v>
      </c>
      <c r="O39" s="7">
        <f t="shared" si="20"/>
        <v>3.1571292172574303E-2</v>
      </c>
      <c r="P39" s="7">
        <f t="shared" si="20"/>
        <v>3.1495305181505971E-2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2">
      <c r="A40" s="116" t="s">
        <v>30</v>
      </c>
      <c r="B40" s="112"/>
      <c r="C40" s="2">
        <v>1483.6</v>
      </c>
      <c r="D40" s="2">
        <v>1470</v>
      </c>
      <c r="E40" s="2">
        <v>1841.3</v>
      </c>
      <c r="F40" s="2"/>
      <c r="G40" s="8">
        <f t="shared" ref="G40:P40" si="21">G41*G5</f>
        <v>2179.3144399880603</v>
      </c>
      <c r="H40" s="8">
        <f t="shared" si="21"/>
        <v>2575.2909363697586</v>
      </c>
      <c r="I40" s="8">
        <f t="shared" si="21"/>
        <v>3058.1978865590331</v>
      </c>
      <c r="J40" s="8">
        <f t="shared" si="21"/>
        <v>3615.452187578298</v>
      </c>
      <c r="K40" s="8">
        <f t="shared" si="21"/>
        <v>4307.5483766571651</v>
      </c>
      <c r="L40" s="8">
        <f t="shared" si="21"/>
        <v>5104.2037290495928</v>
      </c>
      <c r="M40" s="8">
        <f t="shared" si="21"/>
        <v>6098.443844408187</v>
      </c>
      <c r="N40" s="8">
        <f t="shared" si="21"/>
        <v>7239.821130840106</v>
      </c>
      <c r="O40" s="8">
        <f t="shared" si="21"/>
        <v>8671.7050762271083</v>
      </c>
      <c r="P40" s="8">
        <f t="shared" si="21"/>
        <v>10310.782618835061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2">
      <c r="A41" s="111" t="s">
        <v>9</v>
      </c>
      <c r="B41" s="112"/>
      <c r="C41" s="7">
        <f t="shared" ref="C41:E41" si="22">C40/C5</f>
        <v>6.3083595543838772E-2</v>
      </c>
      <c r="D41" s="7">
        <f t="shared" si="22"/>
        <v>5.058395215515165E-2</v>
      </c>
      <c r="E41" s="7">
        <f t="shared" si="22"/>
        <v>5.7094042536038427E-2</v>
      </c>
      <c r="F41" s="7">
        <f>AVERAGE(C41:E41)</f>
        <v>5.6920530078342947E-2</v>
      </c>
      <c r="G41" s="7">
        <v>5.6920530078342947E-2</v>
      </c>
      <c r="H41" s="7">
        <v>5.6920530078342947E-2</v>
      </c>
      <c r="I41" s="7">
        <v>5.6920530078342947E-2</v>
      </c>
      <c r="J41" s="7">
        <v>5.6920530078342947E-2</v>
      </c>
      <c r="K41" s="7">
        <v>5.6920530078342947E-2</v>
      </c>
      <c r="L41" s="7">
        <v>5.6920530078342947E-2</v>
      </c>
      <c r="M41" s="7">
        <v>5.6920530078342947E-2</v>
      </c>
      <c r="N41" s="7">
        <v>5.6920530078342947E-2</v>
      </c>
      <c r="O41" s="7">
        <v>5.6920530078342947E-2</v>
      </c>
      <c r="P41" s="7">
        <v>5.6920530078342947E-2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" customHeight="1" x14ac:dyDescent="0.2">
      <c r="A42" s="6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0" customHeight="1" x14ac:dyDescent="0.2">
      <c r="A43" s="113" t="s">
        <v>31</v>
      </c>
      <c r="B43" s="11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0" customHeight="1" x14ac:dyDescent="0.2">
      <c r="A44" s="111" t="s">
        <v>32</v>
      </c>
      <c r="B44" s="112"/>
      <c r="C44" s="4">
        <f t="shared" ref="C44:P44" si="23">C23</f>
        <v>2312.4999999999964</v>
      </c>
      <c r="D44" s="4">
        <f t="shared" si="23"/>
        <v>4562.6000000000022</v>
      </c>
      <c r="E44" s="4">
        <f t="shared" si="23"/>
        <v>4543.2000000000025</v>
      </c>
      <c r="F44" s="2">
        <f t="shared" si="23"/>
        <v>0</v>
      </c>
      <c r="G44" s="4">
        <f t="shared" si="23"/>
        <v>4958.8607962886708</v>
      </c>
      <c r="H44" s="4">
        <f t="shared" si="23"/>
        <v>6024.139437723903</v>
      </c>
      <c r="I44" s="4">
        <f t="shared" si="23"/>
        <v>7309.500703788075</v>
      </c>
      <c r="J44" s="4">
        <f t="shared" si="23"/>
        <v>8781.1196170554722</v>
      </c>
      <c r="K44" s="4">
        <f t="shared" si="23"/>
        <v>10594.432823937565</v>
      </c>
      <c r="L44" s="4">
        <f t="shared" si="23"/>
        <v>12698.126385157773</v>
      </c>
      <c r="M44" s="4">
        <f t="shared" si="23"/>
        <v>15334.280636435918</v>
      </c>
      <c r="N44" s="4">
        <f t="shared" si="23"/>
        <v>18353.329659726402</v>
      </c>
      <c r="O44" s="4">
        <f t="shared" si="23"/>
        <v>22128.363592453781</v>
      </c>
      <c r="P44" s="4">
        <f t="shared" si="23"/>
        <v>26442.577017294654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0" customHeight="1" x14ac:dyDescent="0.2">
      <c r="A45" s="111" t="s">
        <v>33</v>
      </c>
      <c r="B45" s="11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" customHeight="1" x14ac:dyDescent="0.2">
      <c r="A46" s="111" t="s">
        <v>34</v>
      </c>
      <c r="B46" s="112"/>
      <c r="C46" s="2"/>
      <c r="D46" s="2"/>
      <c r="E46" s="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0" customHeight="1" x14ac:dyDescent="0.2">
      <c r="A47" s="111" t="s">
        <v>35</v>
      </c>
      <c r="B47" s="112"/>
      <c r="C47" s="2">
        <v>1503.2</v>
      </c>
      <c r="D47" s="2">
        <v>1524.1</v>
      </c>
      <c r="E47" s="11">
        <v>1529.4</v>
      </c>
      <c r="F47" s="2"/>
      <c r="G47" s="75">
        <f>Worksheet!C18</f>
        <v>1447.9</v>
      </c>
      <c r="H47" s="75">
        <f>Worksheet!D18</f>
        <v>1631.3983966472699</v>
      </c>
      <c r="I47" s="75">
        <f>Worksheet!E18</f>
        <v>1863.6296575965605</v>
      </c>
      <c r="J47" s="75">
        <f>Worksheet!F18</f>
        <v>2148.7628931867944</v>
      </c>
      <c r="K47" s="75">
        <f>Worksheet!G18</f>
        <v>2500.1349524635693</v>
      </c>
      <c r="L47" s="75">
        <f>Worksheet!H18</f>
        <v>2923.9829982900005</v>
      </c>
      <c r="M47" s="75">
        <f>Worksheet!I18</f>
        <v>3440.6702065071622</v>
      </c>
      <c r="N47" s="75">
        <f>Worksheet!J18</f>
        <v>4059.0343255951689</v>
      </c>
      <c r="O47" s="75">
        <f>Worksheet!K18</f>
        <v>4809.8099968350089</v>
      </c>
      <c r="P47" s="75">
        <f>Worksheet!L18</f>
        <v>5705.1690276499157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" customHeight="1" x14ac:dyDescent="0.2">
      <c r="A48" s="111" t="s">
        <v>36</v>
      </c>
      <c r="B48" s="112"/>
      <c r="C48" s="2">
        <v>-25.8</v>
      </c>
      <c r="D48" s="2">
        <v>-146.19999999999999</v>
      </c>
      <c r="E48" s="11">
        <v>-37.799999999999997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0" customHeight="1" x14ac:dyDescent="0.2">
      <c r="A49" s="111" t="s">
        <v>37</v>
      </c>
      <c r="B49" s="112"/>
      <c r="C49" s="2"/>
      <c r="D49" s="2"/>
      <c r="E49" s="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0" customHeight="1" x14ac:dyDescent="0.2">
      <c r="A50" s="6" t="s">
        <v>38</v>
      </c>
      <c r="B50" s="6"/>
      <c r="C50" s="2"/>
      <c r="D50" s="2">
        <v>-864.5</v>
      </c>
      <c r="E50" s="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0" customHeight="1" x14ac:dyDescent="0.2">
      <c r="A51" s="6" t="s">
        <v>39</v>
      </c>
      <c r="B51" s="6"/>
      <c r="C51" s="2">
        <f>-280.7+227.7</f>
        <v>-53</v>
      </c>
      <c r="D51" s="2">
        <f>-347.3+336</f>
        <v>-11.300000000000011</v>
      </c>
      <c r="E51" s="11">
        <f>-268.7+231.2</f>
        <v>-37.5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0" customHeight="1" x14ac:dyDescent="0.2">
      <c r="A52" s="111" t="s">
        <v>40</v>
      </c>
      <c r="B52" s="112"/>
      <c r="C52" s="2"/>
      <c r="D52" s="2"/>
      <c r="E52" s="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0" customHeight="1" x14ac:dyDescent="0.2">
      <c r="A53" s="111" t="s">
        <v>41</v>
      </c>
      <c r="B53" s="112"/>
      <c r="C53" s="2">
        <v>248.6</v>
      </c>
      <c r="D53" s="2">
        <v>319.10000000000002</v>
      </c>
      <c r="E53" s="11">
        <v>271.5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0" customHeight="1" x14ac:dyDescent="0.2">
      <c r="A54" s="111" t="s">
        <v>42</v>
      </c>
      <c r="B54" s="112"/>
      <c r="C54" s="2">
        <v>454.4</v>
      </c>
      <c r="D54" s="2">
        <v>226.2</v>
      </c>
      <c r="E54" s="11">
        <v>91.4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0" customHeight="1" x14ac:dyDescent="0.2">
      <c r="A55" s="111" t="s">
        <v>43</v>
      </c>
      <c r="B55" s="112"/>
      <c r="C55" s="2">
        <f>1197.6+24.5</f>
        <v>1222.0999999999999</v>
      </c>
      <c r="D55" s="2">
        <f>1248.6-6</f>
        <v>1242.5999999999999</v>
      </c>
      <c r="E55" s="11">
        <f>1497.7-67.8</f>
        <v>1429.9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0" customHeight="1" x14ac:dyDescent="0.2">
      <c r="A56" s="111" t="s">
        <v>44</v>
      </c>
      <c r="B56" s="112"/>
      <c r="C56" s="2">
        <v>-37</v>
      </c>
      <c r="D56" s="2">
        <v>609.79999999999995</v>
      </c>
      <c r="E56" s="11">
        <v>339.6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0" customHeight="1" x14ac:dyDescent="0.2">
      <c r="A57" s="111" t="s">
        <v>45</v>
      </c>
      <c r="B57" s="112"/>
      <c r="C57" s="2">
        <v>-10.9</v>
      </c>
      <c r="D57" s="2">
        <v>-49.8</v>
      </c>
      <c r="E57" s="11">
        <v>-641</v>
      </c>
      <c r="F57" s="2"/>
      <c r="G57" s="75">
        <f>E88-G88</f>
        <v>-425.18973224631918</v>
      </c>
      <c r="H57" s="75">
        <f t="shared" ref="H57:P57" si="24">G88-H88</f>
        <v>-472.73929984257666</v>
      </c>
      <c r="I57" s="75">
        <f t="shared" si="24"/>
        <v>-576.52182795600811</v>
      </c>
      <c r="J57" s="75">
        <f t="shared" si="24"/>
        <v>-665.28193088555145</v>
      </c>
      <c r="K57" s="75">
        <f t="shared" si="24"/>
        <v>-826.26385868487523</v>
      </c>
      <c r="L57" s="75">
        <f t="shared" si="24"/>
        <v>-951.09254449993387</v>
      </c>
      <c r="M57" s="75">
        <f t="shared" si="24"/>
        <v>-1186.980490773768</v>
      </c>
      <c r="N57" s="75">
        <f t="shared" si="24"/>
        <v>-1362.6412278872422</v>
      </c>
      <c r="O57" s="75">
        <f t="shared" si="24"/>
        <v>-1709.4646272782302</v>
      </c>
      <c r="P57" s="75">
        <f t="shared" si="24"/>
        <v>-1956.8241472929749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2">
      <c r="A58" s="111" t="s">
        <v>46</v>
      </c>
      <c r="B58" s="112"/>
      <c r="C58" s="2">
        <v>-2.7</v>
      </c>
      <c r="D58" s="2">
        <v>-43</v>
      </c>
      <c r="E58" s="11">
        <v>-326.10000000000002</v>
      </c>
      <c r="F58" s="2"/>
      <c r="G58" s="75">
        <f>E90-G90</f>
        <v>-90.53979918366457</v>
      </c>
      <c r="H58" s="75">
        <f t="shared" ref="H58:P58" si="25">G90-H90</f>
        <v>-104.338070537872</v>
      </c>
      <c r="I58" s="75">
        <f t="shared" si="25"/>
        <v>-127.24386394769374</v>
      </c>
      <c r="J58" s="75">
        <f t="shared" si="25"/>
        <v>-146.83406489670631</v>
      </c>
      <c r="K58" s="75">
        <f t="shared" si="25"/>
        <v>-182.36431115218295</v>
      </c>
      <c r="L58" s="75">
        <f t="shared" si="25"/>
        <v>-209.91519221931344</v>
      </c>
      <c r="M58" s="75">
        <f t="shared" si="25"/>
        <v>-261.97791090072838</v>
      </c>
      <c r="N58" s="75">
        <f t="shared" si="25"/>
        <v>-300.74791031855489</v>
      </c>
      <c r="O58" s="75">
        <f t="shared" si="25"/>
        <v>-377.29514115358688</v>
      </c>
      <c r="P58" s="75">
        <f t="shared" si="25"/>
        <v>-431.8897455287829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0" customHeight="1" x14ac:dyDescent="0.2">
      <c r="A59" s="111" t="s">
        <v>47</v>
      </c>
      <c r="B59" s="112"/>
      <c r="C59" s="2">
        <v>-210.8</v>
      </c>
      <c r="D59" s="2">
        <v>189.9</v>
      </c>
      <c r="E59" s="11">
        <v>345.5</v>
      </c>
      <c r="F59" s="2"/>
      <c r="G59" s="75">
        <f>G92-E92</f>
        <v>266.28116215846194</v>
      </c>
      <c r="H59" s="75">
        <f t="shared" ref="H59:P59" si="26">H92-G92</f>
        <v>308.53065146513381</v>
      </c>
      <c r="I59" s="75">
        <f t="shared" si="26"/>
        <v>378.96322996132267</v>
      </c>
      <c r="J59" s="75">
        <f t="shared" si="26"/>
        <v>435.48018818889113</v>
      </c>
      <c r="K59" s="75">
        <f t="shared" si="26"/>
        <v>543.84700445676162</v>
      </c>
      <c r="L59" s="75">
        <f t="shared" si="26"/>
        <v>622.44443523783775</v>
      </c>
      <c r="M59" s="75">
        <f t="shared" si="26"/>
        <v>781.54351478997296</v>
      </c>
      <c r="N59" s="75">
        <f t="shared" si="26"/>
        <v>891.59568329345802</v>
      </c>
      <c r="O59" s="75">
        <f t="shared" si="26"/>
        <v>1125.9814027829361</v>
      </c>
      <c r="P59" s="75">
        <f t="shared" si="26"/>
        <v>1280.0893242413613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0" customHeight="1" x14ac:dyDescent="0.2">
      <c r="A60" s="111" t="s">
        <v>48</v>
      </c>
      <c r="B60" s="112"/>
      <c r="C60" s="2"/>
      <c r="D60" s="2"/>
      <c r="E60" s="11"/>
      <c r="F60" s="2"/>
      <c r="G60" s="75">
        <f>G94-E94</f>
        <v>542.60237724541412</v>
      </c>
      <c r="H60" s="75">
        <f t="shared" ref="H60:P60" si="27">H94-G94</f>
        <v>625.29501524743318</v>
      </c>
      <c r="I60" s="75">
        <f t="shared" si="27"/>
        <v>762.56876744174997</v>
      </c>
      <c r="J60" s="75">
        <f t="shared" si="27"/>
        <v>879.97227066895266</v>
      </c>
      <c r="K60" s="75">
        <f t="shared" si="27"/>
        <v>1092.9040007606945</v>
      </c>
      <c r="L60" s="75">
        <f t="shared" si="27"/>
        <v>1258.0156278795657</v>
      </c>
      <c r="M60" s="75">
        <f t="shared" si="27"/>
        <v>1570.0259832934289</v>
      </c>
      <c r="N60" s="75">
        <f t="shared" si="27"/>
        <v>1802.3734596473587</v>
      </c>
      <c r="O60" s="75">
        <f t="shared" si="27"/>
        <v>2261.1187826669775</v>
      </c>
      <c r="P60" s="75">
        <f t="shared" si="27"/>
        <v>2588.3026552384454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0" customHeight="1" x14ac:dyDescent="0.2">
      <c r="A61" s="111" t="s">
        <v>49</v>
      </c>
      <c r="B61" s="112"/>
      <c r="C61" s="2">
        <v>-1214.5999999999999</v>
      </c>
      <c r="D61" s="2">
        <v>286.10000000000002</v>
      </c>
      <c r="E61" s="11">
        <v>-149.6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0" customHeight="1" x14ac:dyDescent="0.2">
      <c r="A62" s="6" t="s">
        <v>50</v>
      </c>
      <c r="B62" s="1"/>
      <c r="C62" s="2">
        <f>31-1231.4</f>
        <v>-1200.4000000000001</v>
      </c>
      <c r="D62" s="2">
        <f>-6.1-1488.1</f>
        <v>-1494.1999999999998</v>
      </c>
      <c r="E62" s="11">
        <f>-75.8-1625.6</f>
        <v>-1701.3999999999999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0" customHeight="1" thickBot="1" x14ac:dyDescent="0.25">
      <c r="A63" s="113" t="s">
        <v>51</v>
      </c>
      <c r="B63" s="112"/>
      <c r="C63" s="91">
        <f t="shared" ref="C63:E63" si="28">SUM(C44:C62)</f>
        <v>2985.5999999999963</v>
      </c>
      <c r="D63" s="91">
        <f t="shared" si="28"/>
        <v>6351.4000000000024</v>
      </c>
      <c r="E63" s="91">
        <f t="shared" si="28"/>
        <v>5657.1000000000022</v>
      </c>
      <c r="F63" s="4"/>
      <c r="G63" s="91">
        <f t="shared" ref="G63:P63" si="29">SUM(G44:G62)</f>
        <v>6699.914804262562</v>
      </c>
      <c r="H63" s="91">
        <f t="shared" si="29"/>
        <v>8012.2861307032908</v>
      </c>
      <c r="I63" s="91">
        <f t="shared" si="29"/>
        <v>9610.8966668840058</v>
      </c>
      <c r="J63" s="91">
        <f t="shared" si="29"/>
        <v>11433.218973317853</v>
      </c>
      <c r="K63" s="91">
        <f t="shared" si="29"/>
        <v>13722.690611781532</v>
      </c>
      <c r="L63" s="91">
        <f t="shared" si="29"/>
        <v>16341.56170984593</v>
      </c>
      <c r="M63" s="91">
        <f t="shared" si="29"/>
        <v>19677.561939351985</v>
      </c>
      <c r="N63" s="91">
        <f t="shared" si="29"/>
        <v>23442.943990056592</v>
      </c>
      <c r="O63" s="91">
        <f t="shared" si="29"/>
        <v>28238.514006306883</v>
      </c>
      <c r="P63" s="91">
        <f t="shared" si="29"/>
        <v>33627.424131602624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0" customHeight="1" thickTop="1" x14ac:dyDescent="0.2">
      <c r="A64" s="113" t="s">
        <v>52</v>
      </c>
      <c r="B64" s="11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0" customHeight="1" x14ac:dyDescent="0.2">
      <c r="A65" s="111" t="s">
        <v>53</v>
      </c>
      <c r="B65" s="112"/>
      <c r="C65" s="2">
        <f t="shared" ref="C65:E65" si="30">-C40</f>
        <v>-1483.6</v>
      </c>
      <c r="D65" s="2">
        <f t="shared" si="30"/>
        <v>-1470</v>
      </c>
      <c r="E65" s="2">
        <f t="shared" si="30"/>
        <v>-1841.3</v>
      </c>
      <c r="F65" s="2"/>
      <c r="G65" s="8">
        <f>-Worksheet!C17</f>
        <v>-2179.3144399880603</v>
      </c>
      <c r="H65" s="8">
        <f>-Worksheet!D17</f>
        <v>-2575.2909363697586</v>
      </c>
      <c r="I65" s="8">
        <f>-Worksheet!E17</f>
        <v>-3058.1978865590331</v>
      </c>
      <c r="J65" s="8">
        <f>-Worksheet!F17</f>
        <v>-3615.452187578298</v>
      </c>
      <c r="K65" s="8">
        <f>-Worksheet!G17</f>
        <v>-4307.5483766571651</v>
      </c>
      <c r="L65" s="8">
        <f>-Worksheet!H17</f>
        <v>-5104.2037290495928</v>
      </c>
      <c r="M65" s="8">
        <f>-Worksheet!I17</f>
        <v>-6098.443844408187</v>
      </c>
      <c r="N65" s="8">
        <f>-Worksheet!J17</f>
        <v>-7239.821130840106</v>
      </c>
      <c r="O65" s="8">
        <f>-Worksheet!K17</f>
        <v>-8671.7050762271083</v>
      </c>
      <c r="P65" s="8">
        <f>-Worksheet!L17</f>
        <v>-10310.782618835061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0" customHeight="1" x14ac:dyDescent="0.2">
      <c r="A66" s="111" t="s">
        <v>54</v>
      </c>
      <c r="B66" s="112"/>
      <c r="C66" s="2">
        <v>-443.9</v>
      </c>
      <c r="D66" s="2">
        <v>-432</v>
      </c>
      <c r="E66" s="2">
        <v>-377.9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0" customHeight="1" x14ac:dyDescent="0.2">
      <c r="A67" s="111" t="s">
        <v>55</v>
      </c>
      <c r="B67" s="112"/>
      <c r="C67" s="2">
        <f>186.7+73.7</f>
        <v>260.39999999999998</v>
      </c>
      <c r="D67" s="2">
        <f>143.2+345.5</f>
        <v>488.7</v>
      </c>
      <c r="E67" s="2">
        <f>72.6+67.3</f>
        <v>139.89999999999998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">
      <c r="A68" s="111" t="s">
        <v>56</v>
      </c>
      <c r="B68" s="112"/>
      <c r="C68" s="2"/>
      <c r="D68" s="2">
        <v>1175</v>
      </c>
      <c r="E68" s="2">
        <v>59.3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">
      <c r="A69" s="111" t="s">
        <v>50</v>
      </c>
      <c r="B69" s="112"/>
      <c r="C69" s="2">
        <v>-44.4</v>
      </c>
      <c r="D69" s="2">
        <v>-81.2</v>
      </c>
      <c r="E69" s="2">
        <v>-126.3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" customHeight="1" thickBot="1" x14ac:dyDescent="0.25">
      <c r="A70" s="113" t="s">
        <v>57</v>
      </c>
      <c r="B70" s="112"/>
      <c r="C70" s="89">
        <f t="shared" ref="C70:E70" si="31">SUM(C65:C69)</f>
        <v>-1711.5</v>
      </c>
      <c r="D70" s="89">
        <f t="shared" si="31"/>
        <v>-319.49999999999994</v>
      </c>
      <c r="E70" s="89">
        <f t="shared" si="31"/>
        <v>-2146.2999999999997</v>
      </c>
      <c r="F70" s="2"/>
      <c r="G70" s="90">
        <f t="shared" ref="G70:P70" si="32">SUM(G65:G69)</f>
        <v>-2179.3144399880603</v>
      </c>
      <c r="H70" s="90">
        <f t="shared" si="32"/>
        <v>-2575.2909363697586</v>
      </c>
      <c r="I70" s="90">
        <f t="shared" si="32"/>
        <v>-3058.1978865590331</v>
      </c>
      <c r="J70" s="90">
        <f t="shared" si="32"/>
        <v>-3615.452187578298</v>
      </c>
      <c r="K70" s="90">
        <f t="shared" si="32"/>
        <v>-4307.5483766571651</v>
      </c>
      <c r="L70" s="90">
        <f t="shared" si="32"/>
        <v>-5104.2037290495928</v>
      </c>
      <c r="M70" s="90">
        <f t="shared" si="32"/>
        <v>-6098.443844408187</v>
      </c>
      <c r="N70" s="90">
        <f t="shared" si="32"/>
        <v>-7239.821130840106</v>
      </c>
      <c r="O70" s="90">
        <f t="shared" si="32"/>
        <v>-8671.7050762271083</v>
      </c>
      <c r="P70" s="90">
        <f t="shared" si="32"/>
        <v>-10310.782618835061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0" customHeight="1" thickTop="1" x14ac:dyDescent="0.2">
      <c r="A71" s="113" t="s">
        <v>58</v>
      </c>
      <c r="B71" s="11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2">
      <c r="A72" s="111" t="s">
        <v>59</v>
      </c>
      <c r="B72" s="112"/>
      <c r="C72" s="2">
        <v>298.8</v>
      </c>
      <c r="D72" s="2">
        <v>246.2</v>
      </c>
      <c r="E72" s="2">
        <v>101.6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0" customHeight="1" x14ac:dyDescent="0.2">
      <c r="A73" s="111" t="s">
        <v>60</v>
      </c>
      <c r="B73" s="112"/>
      <c r="C73" s="2"/>
      <c r="D73" s="2">
        <v>-296.5</v>
      </c>
      <c r="E73" s="2">
        <v>175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0" customHeight="1" x14ac:dyDescent="0.2">
      <c r="A74" s="111" t="s">
        <v>61</v>
      </c>
      <c r="B74" s="112"/>
      <c r="C74" s="2">
        <f>4727.6+1406.6</f>
        <v>6134.2000000000007</v>
      </c>
      <c r="D74" s="2">
        <v>215.1</v>
      </c>
      <c r="E74" s="2">
        <f>1498.1+36.6</f>
        <v>1534.6999999999998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0" customHeight="1" x14ac:dyDescent="0.2">
      <c r="A75" s="111" t="s">
        <v>62</v>
      </c>
      <c r="B75" s="112"/>
      <c r="C75" s="2">
        <f>-967.7</f>
        <v>-967.7</v>
      </c>
      <c r="D75" s="2">
        <f>-(349.8+1250)</f>
        <v>-1599.8</v>
      </c>
      <c r="E75" s="2">
        <f>-(36.6+1000)</f>
        <v>-1036.5999999999999</v>
      </c>
      <c r="F75" s="2"/>
      <c r="G75" s="75">
        <f>Worksheet!C4</f>
        <v>-1750</v>
      </c>
      <c r="H75" s="75">
        <f>Worksheet!D4</f>
        <v>-1088</v>
      </c>
      <c r="I75" s="75">
        <f>Worksheet!E4</f>
        <v>-1250</v>
      </c>
      <c r="J75" s="75">
        <f>Worksheet!F4</f>
        <v>-500</v>
      </c>
      <c r="K75" s="75">
        <f>Worksheet!G4</f>
        <v>-500</v>
      </c>
      <c r="L75" s="75">
        <f>Worksheet!H4</f>
        <v>-1990</v>
      </c>
      <c r="M75" s="75">
        <f>Worksheet!I4</f>
        <v>-1990</v>
      </c>
      <c r="N75" s="75">
        <f>Worksheet!J4</f>
        <v>-1990</v>
      </c>
      <c r="O75" s="75">
        <f>Worksheet!K4</f>
        <v>-1990</v>
      </c>
      <c r="P75" s="75">
        <f>Worksheet!L4</f>
        <v>-1990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0" customHeight="1" x14ac:dyDescent="0.2">
      <c r="A76" s="111" t="s">
        <v>63</v>
      </c>
      <c r="B76" s="112"/>
      <c r="C76" s="2">
        <v>-1923.5</v>
      </c>
      <c r="D76" s="2">
        <v>-2119</v>
      </c>
      <c r="E76" s="2">
        <v>-2263.3000000000002</v>
      </c>
      <c r="F76" s="7">
        <f>(E76/C76)^(1/2)-1</f>
        <v>8.4738279692482044E-2</v>
      </c>
      <c r="G76" s="75">
        <f>E76*(1+$F$76)</f>
        <v>-2455.0881484279948</v>
      </c>
      <c r="H76" s="75">
        <f t="shared" ref="H76:P76" si="33">G76*(1+$F$76)</f>
        <v>-2663.1280946191841</v>
      </c>
      <c r="I76" s="75">
        <f t="shared" si="33"/>
        <v>-2888.7969879579314</v>
      </c>
      <c r="J76" s="75">
        <f t="shared" si="33"/>
        <v>-3133.5886750983104</v>
      </c>
      <c r="K76" s="75">
        <f t="shared" si="33"/>
        <v>-3399.1235886899854</v>
      </c>
      <c r="L76" s="75">
        <f t="shared" si="33"/>
        <v>-3687.1594740577107</v>
      </c>
      <c r="M76" s="75">
        <f t="shared" si="33"/>
        <v>-3999.603024841198</v>
      </c>
      <c r="N76" s="75">
        <f t="shared" si="33"/>
        <v>-4338.522504619089</v>
      </c>
      <c r="O76" s="75">
        <f t="shared" si="33"/>
        <v>-4706.1614380676292</v>
      </c>
      <c r="P76" s="75">
        <f t="shared" si="33"/>
        <v>-5104.9534622845777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0" customHeight="1" x14ac:dyDescent="0.2">
      <c r="A77" s="111" t="s">
        <v>64</v>
      </c>
      <c r="B77" s="112"/>
      <c r="C77" s="2">
        <v>-1698.9</v>
      </c>
      <c r="D77" s="2" t="s">
        <v>65</v>
      </c>
      <c r="E77" s="2">
        <v>-4013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0" customHeight="1" x14ac:dyDescent="0.2">
      <c r="A78" s="111" t="s">
        <v>37</v>
      </c>
      <c r="B78" s="112"/>
      <c r="C78" s="2">
        <v>-91.9</v>
      </c>
      <c r="D78" s="2">
        <v>-97</v>
      </c>
      <c r="E78" s="2">
        <v>-127.2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">
      <c r="A79" s="111" t="s">
        <v>50</v>
      </c>
      <c r="B79" s="112"/>
      <c r="C79" s="2">
        <v>-37.700000000000003</v>
      </c>
      <c r="D79" s="2"/>
      <c r="E79" s="2">
        <v>-9.1999999999999993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" customHeight="1" thickBot="1" x14ac:dyDescent="0.25">
      <c r="A80" s="113" t="s">
        <v>66</v>
      </c>
      <c r="B80" s="112"/>
      <c r="C80" s="89">
        <f t="shared" ref="C80:E80" si="34">SUM(C72:C79)</f>
        <v>1713.3000000000009</v>
      </c>
      <c r="D80" s="89">
        <f t="shared" si="34"/>
        <v>-3651</v>
      </c>
      <c r="E80" s="89">
        <f t="shared" si="34"/>
        <v>-5638</v>
      </c>
      <c r="F80" s="2"/>
      <c r="G80" s="89">
        <f t="shared" ref="G80:P80" si="35">SUM(G72:G79)</f>
        <v>-4205.0881484279944</v>
      </c>
      <c r="H80" s="89">
        <f t="shared" si="35"/>
        <v>-3751.1280946191841</v>
      </c>
      <c r="I80" s="89">
        <f t="shared" si="35"/>
        <v>-4138.7969879579314</v>
      </c>
      <c r="J80" s="89">
        <f t="shared" si="35"/>
        <v>-3633.5886750983104</v>
      </c>
      <c r="K80" s="89">
        <f t="shared" si="35"/>
        <v>-3899.1235886899854</v>
      </c>
      <c r="L80" s="89">
        <f t="shared" si="35"/>
        <v>-5677.1594740577111</v>
      </c>
      <c r="M80" s="89">
        <f t="shared" si="35"/>
        <v>-5989.603024841198</v>
      </c>
      <c r="N80" s="89">
        <f t="shared" si="35"/>
        <v>-6328.522504619089</v>
      </c>
      <c r="O80" s="89">
        <f t="shared" si="35"/>
        <v>-6696.1614380676292</v>
      </c>
      <c r="P80" s="89">
        <f t="shared" si="35"/>
        <v>-7094.9534622845777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thickTop="1" x14ac:dyDescent="0.2">
      <c r="A81" s="111" t="s">
        <v>67</v>
      </c>
      <c r="B81" s="112"/>
      <c r="C81" s="4">
        <f t="shared" ref="C81:E81" si="36">C63+C70+C80</f>
        <v>2987.3999999999969</v>
      </c>
      <c r="D81" s="4">
        <f t="shared" si="36"/>
        <v>2380.9000000000024</v>
      </c>
      <c r="E81" s="4">
        <f t="shared" si="36"/>
        <v>-2127.1999999999975</v>
      </c>
      <c r="F81" s="2"/>
      <c r="G81" s="4">
        <f t="shared" ref="G81:P81" si="37">G63+G70+G80</f>
        <v>315.51221584650739</v>
      </c>
      <c r="H81" s="4">
        <f t="shared" si="37"/>
        <v>1685.8670997143486</v>
      </c>
      <c r="I81" s="4">
        <f t="shared" si="37"/>
        <v>2413.9017923670408</v>
      </c>
      <c r="J81" s="4">
        <f t="shared" si="37"/>
        <v>4184.1781106412454</v>
      </c>
      <c r="K81" s="4">
        <f t="shared" si="37"/>
        <v>5516.0186464343824</v>
      </c>
      <c r="L81" s="4">
        <f t="shared" si="37"/>
        <v>5560.1985067386249</v>
      </c>
      <c r="M81" s="4">
        <f t="shared" si="37"/>
        <v>7589.5150701026005</v>
      </c>
      <c r="N81" s="4">
        <f t="shared" si="37"/>
        <v>9874.6003545973981</v>
      </c>
      <c r="O81" s="4">
        <f t="shared" si="37"/>
        <v>12870.647492012144</v>
      </c>
      <c r="P81" s="4">
        <f t="shared" si="37"/>
        <v>16221.688050482986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0" customHeight="1" x14ac:dyDescent="0.2">
      <c r="A82" s="111" t="s">
        <v>68</v>
      </c>
      <c r="B82" s="112"/>
      <c r="C82" s="2">
        <v>2686.6</v>
      </c>
      <c r="D82" s="2">
        <v>4350.8999999999996</v>
      </c>
      <c r="E82" s="2">
        <v>6455.7</v>
      </c>
      <c r="F82" s="2"/>
      <c r="G82" s="4">
        <f>E83</f>
        <v>4328.5000000000018</v>
      </c>
      <c r="H82" s="4">
        <f t="shared" ref="H82:P82" si="38">G83</f>
        <v>4644.0122158465092</v>
      </c>
      <c r="I82" s="4">
        <f t="shared" si="38"/>
        <v>6329.8793155608582</v>
      </c>
      <c r="J82" s="4">
        <f t="shared" si="38"/>
        <v>8743.7811079278981</v>
      </c>
      <c r="K82" s="4">
        <f t="shared" si="38"/>
        <v>12927.959218569144</v>
      </c>
      <c r="L82" s="4">
        <f t="shared" si="38"/>
        <v>18443.977865003526</v>
      </c>
      <c r="M82" s="4">
        <f t="shared" si="38"/>
        <v>24004.176371742149</v>
      </c>
      <c r="N82" s="4">
        <f t="shared" si="38"/>
        <v>31593.691441844749</v>
      </c>
      <c r="O82" s="4">
        <f t="shared" si="38"/>
        <v>41468.29179644215</v>
      </c>
      <c r="P82" s="4">
        <f t="shared" si="38"/>
        <v>54338.93928845429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0" customHeight="1" thickBot="1" x14ac:dyDescent="0.25">
      <c r="A83" s="113" t="s">
        <v>69</v>
      </c>
      <c r="B83" s="112"/>
      <c r="C83" s="88">
        <f t="shared" ref="C83:E83" si="39">SUM(C81:C82)</f>
        <v>5673.9999999999964</v>
      </c>
      <c r="D83" s="88">
        <f t="shared" si="39"/>
        <v>6731.800000000002</v>
      </c>
      <c r="E83" s="88">
        <f t="shared" si="39"/>
        <v>4328.5000000000018</v>
      </c>
      <c r="F83" s="2"/>
      <c r="G83" s="92">
        <f t="shared" ref="G83:P83" si="40">SUM(G81:G82)</f>
        <v>4644.0122158465092</v>
      </c>
      <c r="H83" s="92">
        <f t="shared" si="40"/>
        <v>6329.8793155608582</v>
      </c>
      <c r="I83" s="92">
        <f t="shared" si="40"/>
        <v>8743.7811079278981</v>
      </c>
      <c r="J83" s="92">
        <f t="shared" si="40"/>
        <v>12927.959218569144</v>
      </c>
      <c r="K83" s="92">
        <f t="shared" si="40"/>
        <v>18443.977865003526</v>
      </c>
      <c r="L83" s="92">
        <f t="shared" si="40"/>
        <v>24004.176371742149</v>
      </c>
      <c r="M83" s="92">
        <f t="shared" si="40"/>
        <v>31593.691441844749</v>
      </c>
      <c r="N83" s="92">
        <f t="shared" si="40"/>
        <v>41468.29179644215</v>
      </c>
      <c r="O83" s="92">
        <f t="shared" si="40"/>
        <v>54338.93928845429</v>
      </c>
      <c r="P83" s="92">
        <f t="shared" si="40"/>
        <v>70560.62733893728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thickTop="1" x14ac:dyDescent="0.2">
      <c r="A84" s="6"/>
      <c r="B84" s="1"/>
      <c r="C84" s="2"/>
      <c r="D84" s="2"/>
      <c r="E84" s="2"/>
      <c r="F84" s="2"/>
      <c r="G84" s="12"/>
      <c r="H84" s="12"/>
      <c r="I84" s="12"/>
      <c r="J84" s="12"/>
      <c r="K84" s="12"/>
      <c r="L84" s="12"/>
      <c r="M84" s="12"/>
      <c r="N84" s="1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0" customHeight="1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0" customHeight="1" x14ac:dyDescent="0.2">
      <c r="A86" s="118" t="s">
        <v>70</v>
      </c>
      <c r="B86" s="11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0" customHeight="1" x14ac:dyDescent="0.2">
      <c r="A87" s="119"/>
      <c r="B87" s="119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0" customHeight="1" x14ac:dyDescent="0.2">
      <c r="A88" s="130" t="s">
        <v>45</v>
      </c>
      <c r="B88" s="131"/>
      <c r="C88" s="80">
        <v>1551.4</v>
      </c>
      <c r="D88" s="80">
        <v>1603.9</v>
      </c>
      <c r="E88" s="80">
        <v>2176.6</v>
      </c>
      <c r="F88" s="80"/>
      <c r="G88" s="81">
        <f t="shared" ref="G88:P88" si="41">G89*G8/365</f>
        <v>2601.7897322463191</v>
      </c>
      <c r="H88" s="81">
        <f t="shared" si="41"/>
        <v>3074.5290320888957</v>
      </c>
      <c r="I88" s="81">
        <f t="shared" si="41"/>
        <v>3651.0508600449039</v>
      </c>
      <c r="J88" s="81">
        <f t="shared" si="41"/>
        <v>4316.3327909304553</v>
      </c>
      <c r="K88" s="81">
        <f t="shared" si="41"/>
        <v>5142.5966496153305</v>
      </c>
      <c r="L88" s="81">
        <f t="shared" si="41"/>
        <v>6093.6891941152644</v>
      </c>
      <c r="M88" s="81">
        <f t="shared" si="41"/>
        <v>7280.6696848890324</v>
      </c>
      <c r="N88" s="81">
        <f t="shared" si="41"/>
        <v>8643.3109127762746</v>
      </c>
      <c r="O88" s="81">
        <f t="shared" si="41"/>
        <v>10352.775540054505</v>
      </c>
      <c r="P88" s="81">
        <f t="shared" si="41"/>
        <v>12309.59968734748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0" customHeight="1" x14ac:dyDescent="0.2">
      <c r="A89" s="132" t="s">
        <v>125</v>
      </c>
      <c r="B89" s="131"/>
      <c r="C89" s="81">
        <f t="shared" ref="C89:E89" si="42">365/(C8/C88)</f>
        <v>30.676855067203352</v>
      </c>
      <c r="D89" s="81">
        <f t="shared" si="42"/>
        <v>28.322923520532573</v>
      </c>
      <c r="E89" s="81">
        <f t="shared" si="42"/>
        <v>33.26991691513954</v>
      </c>
      <c r="F89" s="85">
        <v>33.26991691513954</v>
      </c>
      <c r="G89" s="81">
        <v>33.26991691513954</v>
      </c>
      <c r="H89" s="81">
        <v>33.26991691513954</v>
      </c>
      <c r="I89" s="81">
        <v>33.26991691513954</v>
      </c>
      <c r="J89" s="81">
        <v>33.26991691513954</v>
      </c>
      <c r="K89" s="81">
        <v>33.26991691513954</v>
      </c>
      <c r="L89" s="81">
        <v>33.26991691513954</v>
      </c>
      <c r="M89" s="81">
        <v>33.26991691513954</v>
      </c>
      <c r="N89" s="81">
        <v>33.26991691513954</v>
      </c>
      <c r="O89" s="81">
        <v>33.26991691513954</v>
      </c>
      <c r="P89" s="81">
        <v>33.26991691513954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0" customHeight="1" x14ac:dyDescent="0.2">
      <c r="A90" s="130" t="s">
        <v>46</v>
      </c>
      <c r="B90" s="131"/>
      <c r="C90" s="80">
        <v>739.5</v>
      </c>
      <c r="D90" s="80">
        <v>594.6</v>
      </c>
      <c r="E90" s="80">
        <v>483.7</v>
      </c>
      <c r="F90" s="80"/>
      <c r="G90" s="81">
        <f t="shared" ref="G90:P90" si="43">G5*G91</f>
        <v>574.23979918366456</v>
      </c>
      <c r="H90" s="81">
        <f t="shared" si="43"/>
        <v>678.57786972153656</v>
      </c>
      <c r="I90" s="81">
        <f t="shared" si="43"/>
        <v>805.8217336692303</v>
      </c>
      <c r="J90" s="81">
        <f t="shared" si="43"/>
        <v>952.65579856593661</v>
      </c>
      <c r="K90" s="81">
        <f t="shared" si="43"/>
        <v>1135.0201097181196</v>
      </c>
      <c r="L90" s="81">
        <f t="shared" si="43"/>
        <v>1344.935301937433</v>
      </c>
      <c r="M90" s="81">
        <f t="shared" si="43"/>
        <v>1606.9132128381614</v>
      </c>
      <c r="N90" s="81">
        <f t="shared" si="43"/>
        <v>1907.6611231567163</v>
      </c>
      <c r="O90" s="81">
        <f t="shared" si="43"/>
        <v>2284.9562643103031</v>
      </c>
      <c r="P90" s="81">
        <f t="shared" si="43"/>
        <v>2716.846009839086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0" customHeight="1" x14ac:dyDescent="0.2">
      <c r="A91" s="130" t="s">
        <v>71</v>
      </c>
      <c r="B91" s="131"/>
      <c r="C91" s="82">
        <f t="shared" ref="C91:E91" si="44">C90/C5</f>
        <v>3.1444000340164986E-2</v>
      </c>
      <c r="D91" s="82">
        <f t="shared" si="44"/>
        <v>2.046069248398175E-2</v>
      </c>
      <c r="E91" s="82">
        <f t="shared" si="44"/>
        <v>1.4998310093239443E-2</v>
      </c>
      <c r="F91" s="86">
        <f>MIN(C91:E91)</f>
        <v>1.4998310093239443E-2</v>
      </c>
      <c r="G91" s="82">
        <f t="shared" ref="G91:P91" si="45">MEDIAN(D91:F91)</f>
        <v>1.4998310093239443E-2</v>
      </c>
      <c r="H91" s="82">
        <f t="shared" si="45"/>
        <v>1.4998310093239443E-2</v>
      </c>
      <c r="I91" s="82">
        <f t="shared" si="45"/>
        <v>1.4998310093239443E-2</v>
      </c>
      <c r="J91" s="82">
        <f t="shared" si="45"/>
        <v>1.4998310093239443E-2</v>
      </c>
      <c r="K91" s="82">
        <f t="shared" si="45"/>
        <v>1.4998310093239443E-2</v>
      </c>
      <c r="L91" s="82">
        <f t="shared" si="45"/>
        <v>1.4998310093239443E-2</v>
      </c>
      <c r="M91" s="82">
        <f t="shared" si="45"/>
        <v>1.4998310093239443E-2</v>
      </c>
      <c r="N91" s="82">
        <f t="shared" si="45"/>
        <v>1.4998310093239443E-2</v>
      </c>
      <c r="O91" s="82">
        <f t="shared" si="45"/>
        <v>1.4998310093239443E-2</v>
      </c>
      <c r="P91" s="82">
        <f t="shared" si="45"/>
        <v>1.4998310093239443E-2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0" customHeight="1" x14ac:dyDescent="0.2">
      <c r="A92" s="130" t="s">
        <v>72</v>
      </c>
      <c r="B92" s="131"/>
      <c r="C92" s="80">
        <v>997.9</v>
      </c>
      <c r="D92" s="80">
        <v>1211.5999999999999</v>
      </c>
      <c r="E92" s="80">
        <v>1441.4</v>
      </c>
      <c r="F92" s="80"/>
      <c r="G92" s="81">
        <f>((G8+G88-E88)/365)*G93</f>
        <v>1707.681162158462</v>
      </c>
      <c r="H92" s="81">
        <f t="shared" ref="H92:P92" si="46">((H8+H88-G88)/365)*H93</f>
        <v>2016.2118136235958</v>
      </c>
      <c r="I92" s="81">
        <f t="shared" si="46"/>
        <v>2395.1750435849185</v>
      </c>
      <c r="J92" s="81">
        <f t="shared" si="46"/>
        <v>2830.6552317738096</v>
      </c>
      <c r="K92" s="81">
        <f t="shared" si="46"/>
        <v>3374.5022362305713</v>
      </c>
      <c r="L92" s="81">
        <f t="shared" si="46"/>
        <v>3996.946671468409</v>
      </c>
      <c r="M92" s="81">
        <f t="shared" si="46"/>
        <v>4778.490186258382</v>
      </c>
      <c r="N92" s="81">
        <f t="shared" si="46"/>
        <v>5670.08586955184</v>
      </c>
      <c r="O92" s="81">
        <f t="shared" si="46"/>
        <v>6796.0672723347761</v>
      </c>
      <c r="P92" s="81">
        <f t="shared" si="46"/>
        <v>8076.1565965761374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0" customHeight="1" x14ac:dyDescent="0.2">
      <c r="A93" s="132" t="s">
        <v>124</v>
      </c>
      <c r="B93" s="131"/>
      <c r="C93" s="80"/>
      <c r="D93" s="83">
        <f t="shared" ref="D93:E93" si="47">365/((D8+D88-C88)/D92)</f>
        <v>21.341176811230522</v>
      </c>
      <c r="E93" s="83">
        <f t="shared" si="47"/>
        <v>21.516160298381728</v>
      </c>
      <c r="F93" s="80"/>
      <c r="G93" s="83">
        <v>21.516160298381728</v>
      </c>
      <c r="H93" s="83">
        <v>21.516160298381728</v>
      </c>
      <c r="I93" s="83">
        <v>21.516160298381728</v>
      </c>
      <c r="J93" s="83">
        <v>21.516160298381728</v>
      </c>
      <c r="K93" s="83">
        <v>21.516160298381728</v>
      </c>
      <c r="L93" s="83">
        <v>21.516160298381728</v>
      </c>
      <c r="M93" s="83">
        <v>21.516160298381728</v>
      </c>
      <c r="N93" s="83">
        <v>21.516160298381728</v>
      </c>
      <c r="O93" s="83">
        <v>21.516160298381728</v>
      </c>
      <c r="P93" s="83">
        <v>21.516160298381728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0" customHeight="1" x14ac:dyDescent="0.2">
      <c r="A94" s="130" t="s">
        <v>48</v>
      </c>
      <c r="B94" s="131"/>
      <c r="C94" s="80">
        <f>1160.7+696</f>
        <v>1856.7</v>
      </c>
      <c r="D94" s="80">
        <f>2321.2+772.3</f>
        <v>3093.5</v>
      </c>
      <c r="E94" s="80">
        <f>2137.1+761.7</f>
        <v>2898.8</v>
      </c>
      <c r="F94" s="80"/>
      <c r="G94" s="81">
        <f t="shared" ref="G94:P94" si="48">G95*G5</f>
        <v>3441.4023772454143</v>
      </c>
      <c r="H94" s="81">
        <f t="shared" si="48"/>
        <v>4066.6973924928475</v>
      </c>
      <c r="I94" s="81">
        <f t="shared" si="48"/>
        <v>4829.2661599345975</v>
      </c>
      <c r="J94" s="81">
        <f t="shared" si="48"/>
        <v>5709.2384306035501</v>
      </c>
      <c r="K94" s="81">
        <f t="shared" si="48"/>
        <v>6802.1424313642447</v>
      </c>
      <c r="L94" s="81">
        <f t="shared" si="48"/>
        <v>8060.1580592438104</v>
      </c>
      <c r="M94" s="81">
        <f t="shared" si="48"/>
        <v>9630.1840425372393</v>
      </c>
      <c r="N94" s="81">
        <f t="shared" si="48"/>
        <v>11432.557502184598</v>
      </c>
      <c r="O94" s="81">
        <f t="shared" si="48"/>
        <v>13693.676284851575</v>
      </c>
      <c r="P94" s="81">
        <f t="shared" si="48"/>
        <v>16281.978940090021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0" customHeight="1" x14ac:dyDescent="0.2">
      <c r="A95" s="130" t="s">
        <v>71</v>
      </c>
      <c r="B95" s="131"/>
      <c r="C95" s="82">
        <f t="shared" ref="C95:E95" si="49">C94/C5</f>
        <v>7.8948039799302677E-2</v>
      </c>
      <c r="D95" s="82">
        <f t="shared" si="49"/>
        <v>0.10644997006255894</v>
      </c>
      <c r="E95" s="82">
        <f t="shared" si="49"/>
        <v>8.9884435183548689E-2</v>
      </c>
      <c r="F95" s="80"/>
      <c r="G95" s="82">
        <v>8.9884435183548689E-2</v>
      </c>
      <c r="H95" s="82">
        <v>8.9884435183548689E-2</v>
      </c>
      <c r="I95" s="82">
        <v>8.9884435183548689E-2</v>
      </c>
      <c r="J95" s="82">
        <v>8.9884435183548689E-2</v>
      </c>
      <c r="K95" s="82">
        <v>8.9884435183548689E-2</v>
      </c>
      <c r="L95" s="82">
        <v>8.9884435183548689E-2</v>
      </c>
      <c r="M95" s="82">
        <v>8.9884435183548689E-2</v>
      </c>
      <c r="N95" s="82">
        <v>8.9884435183548689E-2</v>
      </c>
      <c r="O95" s="82">
        <v>8.9884435183548689E-2</v>
      </c>
      <c r="P95" s="82">
        <v>8.9884435183548689E-2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">
      <c r="A97" s="130" t="s">
        <v>123</v>
      </c>
      <c r="B97" s="131"/>
      <c r="C97" s="80">
        <f t="shared" ref="C97:E97" si="50">C88+C90</f>
        <v>2290.9</v>
      </c>
      <c r="D97" s="80">
        <f t="shared" si="50"/>
        <v>2198.5</v>
      </c>
      <c r="E97" s="80">
        <f t="shared" si="50"/>
        <v>2660.2999999999997</v>
      </c>
      <c r="F97" s="80"/>
      <c r="G97" s="81">
        <f t="shared" ref="G97:P97" si="51">G88+G90</f>
        <v>3176.0295314299838</v>
      </c>
      <c r="H97" s="81">
        <f t="shared" si="51"/>
        <v>3753.1069018104322</v>
      </c>
      <c r="I97" s="81">
        <f t="shared" si="51"/>
        <v>4456.8725937141344</v>
      </c>
      <c r="J97" s="81">
        <f t="shared" si="51"/>
        <v>5268.9885894963918</v>
      </c>
      <c r="K97" s="81">
        <f t="shared" si="51"/>
        <v>6277.6167593334503</v>
      </c>
      <c r="L97" s="81">
        <f t="shared" si="51"/>
        <v>7438.6244960526974</v>
      </c>
      <c r="M97" s="81">
        <f t="shared" si="51"/>
        <v>8887.582897727194</v>
      </c>
      <c r="N97" s="81">
        <f t="shared" si="51"/>
        <v>10550.972035932991</v>
      </c>
      <c r="O97" s="81">
        <f t="shared" si="51"/>
        <v>12637.731804364808</v>
      </c>
      <c r="P97" s="81">
        <f t="shared" si="51"/>
        <v>15026.445697186566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0" customHeight="1" x14ac:dyDescent="0.2">
      <c r="A98" s="114" t="s">
        <v>122</v>
      </c>
      <c r="B98" s="115"/>
      <c r="C98" s="80">
        <f t="shared" ref="C98:E98" si="52">C92+C94</f>
        <v>2854.6</v>
      </c>
      <c r="D98" s="80">
        <f t="shared" si="52"/>
        <v>4305.1000000000004</v>
      </c>
      <c r="E98" s="80">
        <f t="shared" si="52"/>
        <v>4340.2000000000007</v>
      </c>
      <c r="F98" s="80"/>
      <c r="G98" s="81">
        <f t="shared" ref="G98:P98" si="53">G92+G94</f>
        <v>5149.0835394038768</v>
      </c>
      <c r="H98" s="81">
        <f t="shared" si="53"/>
        <v>6082.9092061164429</v>
      </c>
      <c r="I98" s="81">
        <f t="shared" si="53"/>
        <v>7224.4412035195164</v>
      </c>
      <c r="J98" s="81">
        <f t="shared" si="53"/>
        <v>8539.8936623773589</v>
      </c>
      <c r="K98" s="81">
        <f t="shared" si="53"/>
        <v>10176.644667594815</v>
      </c>
      <c r="L98" s="81">
        <f t="shared" si="53"/>
        <v>12057.104730712219</v>
      </c>
      <c r="M98" s="81">
        <f t="shared" si="53"/>
        <v>14408.674228795622</v>
      </c>
      <c r="N98" s="81">
        <f t="shared" si="53"/>
        <v>17102.643371736438</v>
      </c>
      <c r="O98" s="81">
        <f t="shared" si="53"/>
        <v>20489.743557186353</v>
      </c>
      <c r="P98" s="81">
        <f t="shared" si="53"/>
        <v>24358.135536666159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0" customHeight="1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">
      <c r="A101" s="84" t="s">
        <v>73</v>
      </c>
      <c r="B101" s="48"/>
      <c r="C101" s="80">
        <f t="shared" ref="C101:E101" si="54">C97-C98</f>
        <v>-563.69999999999982</v>
      </c>
      <c r="D101" s="80">
        <f t="shared" si="54"/>
        <v>-2106.6000000000004</v>
      </c>
      <c r="E101" s="80">
        <f t="shared" si="54"/>
        <v>-1679.900000000001</v>
      </c>
      <c r="F101" s="80"/>
      <c r="G101" s="81">
        <f t="shared" ref="G101:P101" si="55">G97-G98</f>
        <v>-1973.054007973893</v>
      </c>
      <c r="H101" s="81">
        <f t="shared" si="55"/>
        <v>-2329.8023043060107</v>
      </c>
      <c r="I101" s="81">
        <f t="shared" si="55"/>
        <v>-2767.568609805382</v>
      </c>
      <c r="J101" s="81">
        <f t="shared" si="55"/>
        <v>-3270.9050728809671</v>
      </c>
      <c r="K101" s="81">
        <f t="shared" si="55"/>
        <v>-3899.0279082613652</v>
      </c>
      <c r="L101" s="81">
        <f t="shared" si="55"/>
        <v>-4618.4802346595216</v>
      </c>
      <c r="M101" s="81">
        <f t="shared" si="55"/>
        <v>-5521.0913310684282</v>
      </c>
      <c r="N101" s="81">
        <f t="shared" si="55"/>
        <v>-6551.6713358034467</v>
      </c>
      <c r="O101" s="81">
        <f t="shared" si="55"/>
        <v>-7852.0117528215451</v>
      </c>
      <c r="P101" s="81">
        <f t="shared" si="55"/>
        <v>-9331.6898394795935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0" customHeight="1" x14ac:dyDescent="0.2">
      <c r="A102" s="87" t="s">
        <v>74</v>
      </c>
      <c r="B102" s="80"/>
      <c r="C102" s="80"/>
      <c r="D102" s="80">
        <f>C101-D101</f>
        <v>1542.9000000000005</v>
      </c>
      <c r="E102" s="80">
        <f t="shared" ref="E102" si="56">D101-E101</f>
        <v>-426.69999999999936</v>
      </c>
      <c r="F102" s="80"/>
      <c r="G102" s="100">
        <f>E101-G101</f>
        <v>293.15400797389202</v>
      </c>
      <c r="H102" s="100">
        <f t="shared" ref="H102:P102" si="57">G101-H101</f>
        <v>356.74829633211766</v>
      </c>
      <c r="I102" s="100">
        <f t="shared" si="57"/>
        <v>437.76630549937136</v>
      </c>
      <c r="J102" s="100">
        <f t="shared" si="57"/>
        <v>503.33646307558502</v>
      </c>
      <c r="K102" s="100">
        <f t="shared" si="57"/>
        <v>628.1228353803981</v>
      </c>
      <c r="L102" s="100">
        <f t="shared" si="57"/>
        <v>719.4523263981564</v>
      </c>
      <c r="M102" s="100">
        <f t="shared" si="57"/>
        <v>902.61109640890663</v>
      </c>
      <c r="N102" s="100">
        <f t="shared" si="57"/>
        <v>1030.5800047350185</v>
      </c>
      <c r="O102" s="100">
        <f t="shared" si="57"/>
        <v>1300.3404170180984</v>
      </c>
      <c r="P102" s="100">
        <f t="shared" si="57"/>
        <v>1479.6780866580484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0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0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0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0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0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0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0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0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0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0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0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0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0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30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0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0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0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0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0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0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0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0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0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0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0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0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0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0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0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0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0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0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0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0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0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0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30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30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0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30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0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0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0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0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0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0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0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0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0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30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0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0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0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30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0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0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30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0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0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0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0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0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30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0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30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0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30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0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0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30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30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0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0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0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30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30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30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0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0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0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0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0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0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0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0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0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0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30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30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0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30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0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0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30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0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0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0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0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30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30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30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30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30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30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30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0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30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30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30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30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30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30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30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30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30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30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30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30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30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30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30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30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30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30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30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30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30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30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30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30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30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30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30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30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30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30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30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30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30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30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30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30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30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30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30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30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30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30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30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30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30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30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30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30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30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30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30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30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30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30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30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30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30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30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30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0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30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30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30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30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30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30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30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30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30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30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30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30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30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30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30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30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30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30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30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30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30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30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30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30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30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30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30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30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30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30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30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30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30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30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30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30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30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30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30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30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30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30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30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30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30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30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30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30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30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30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30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30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30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30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30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30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30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30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30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30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30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30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30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30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30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30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30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30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30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30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30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30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30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30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30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30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30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30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30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30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30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30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30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30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30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30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30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30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30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30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30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30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30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30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30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30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30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30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30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30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30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30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30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30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30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30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30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30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30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30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30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30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30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30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30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30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30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30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30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30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30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30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30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30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30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30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30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30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30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30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30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30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30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30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30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30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30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30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30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30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30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30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30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30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30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30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30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30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30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30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30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30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30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30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30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30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30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30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30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30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30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30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30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30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30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30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30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30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30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30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30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30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30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30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30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30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30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30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30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30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30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30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30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30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30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30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30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30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30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30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30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30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30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30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30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30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30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30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30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30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30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30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30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30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30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30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30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30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30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30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30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30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30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30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30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30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30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30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30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30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30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30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30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30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30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30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30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30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30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30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30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30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30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30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30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30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30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30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30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30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30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30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30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30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30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30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30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30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30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30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30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30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30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30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30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30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30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30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30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30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30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30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30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30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30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30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30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30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30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30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30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30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30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30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30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30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30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30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30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30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30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30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30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30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30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30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30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30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30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30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30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30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30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30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30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30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30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30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30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30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30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30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30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30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30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30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30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30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30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30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30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30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30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30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30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30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30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30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30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30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30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30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30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30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30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30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30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30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30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30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30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30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30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30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30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30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30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30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30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30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30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30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30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30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30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30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30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30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30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30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30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30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30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30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30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30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30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30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30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30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30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30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30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30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30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30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30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30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30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30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30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30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30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30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30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30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30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30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30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30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30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30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30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30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30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30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30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30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30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30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30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30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30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30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30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30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30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30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30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30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30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30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30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30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30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30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30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30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30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30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30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30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30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30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30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30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30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30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30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30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30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30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30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30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30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30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30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30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30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30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30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30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30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30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30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30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30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30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30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30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30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30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30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30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30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30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30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30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30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30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30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30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30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30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30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30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30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30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30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30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30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30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30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30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30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30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30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30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30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30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30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30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30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30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30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30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30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30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30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30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30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30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30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30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30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30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30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30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30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30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30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30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30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30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30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30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30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30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30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30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30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30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30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30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30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30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30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30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30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30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30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30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30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30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30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30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30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30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30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30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30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30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30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30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30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30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30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30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30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30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30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30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30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30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30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30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30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30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30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30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30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30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30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30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30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30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30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30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30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30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30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30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30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30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30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30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30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30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30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30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30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30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30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30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30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30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30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30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30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30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30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30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30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30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30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30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30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30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30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30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30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30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30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30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30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30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30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30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30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30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30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30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30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30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30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30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30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30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30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30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30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30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30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30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30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30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30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30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30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30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30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30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30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30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30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30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30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30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30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30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30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30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30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30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30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30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30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30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30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30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30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30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30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30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30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30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30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30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30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30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30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30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30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30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30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30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30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30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30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30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30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30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30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30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30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30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30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30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30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30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30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30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30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30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30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30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30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30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30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30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30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30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30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30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30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30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30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30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30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30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30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30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30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30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30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30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30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30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30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30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30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30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30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30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30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30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30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30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30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30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30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30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30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30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30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30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30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30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30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30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30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30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30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30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30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30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30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30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30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30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30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30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30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30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30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73">
    <mergeCell ref="A86:B87"/>
    <mergeCell ref="A88:B88"/>
    <mergeCell ref="A72:B72"/>
    <mergeCell ref="A73:B73"/>
    <mergeCell ref="A74:B74"/>
    <mergeCell ref="A75:B75"/>
    <mergeCell ref="A76:B76"/>
    <mergeCell ref="A79:B79"/>
    <mergeCell ref="A80:B80"/>
    <mergeCell ref="A81:B81"/>
    <mergeCell ref="A82:B82"/>
    <mergeCell ref="A83:B83"/>
    <mergeCell ref="A1:B2"/>
    <mergeCell ref="C1:E1"/>
    <mergeCell ref="G1:P1"/>
    <mergeCell ref="A3:B3"/>
    <mergeCell ref="A4:B4"/>
    <mergeCell ref="A6:B6"/>
    <mergeCell ref="A7:B7"/>
    <mergeCell ref="A14:B14"/>
    <mergeCell ref="A15:B15"/>
    <mergeCell ref="A16:B16"/>
    <mergeCell ref="A17:B17"/>
    <mergeCell ref="A18:B18"/>
    <mergeCell ref="A19:B19"/>
    <mergeCell ref="A20:B20"/>
    <mergeCell ref="A21:B21"/>
    <mergeCell ref="A23:B23"/>
    <mergeCell ref="A26:B26"/>
    <mergeCell ref="A30:B30"/>
    <mergeCell ref="A36:B37"/>
    <mergeCell ref="A38:B38"/>
    <mergeCell ref="A46:B46"/>
    <mergeCell ref="A47:B47"/>
    <mergeCell ref="A48:B48"/>
    <mergeCell ref="A49:B49"/>
    <mergeCell ref="A39:B39"/>
    <mergeCell ref="A40:B40"/>
    <mergeCell ref="A41:B41"/>
    <mergeCell ref="A43:B43"/>
    <mergeCell ref="A44:B44"/>
    <mergeCell ref="A98:B98"/>
    <mergeCell ref="A63:B63"/>
    <mergeCell ref="A64:B64"/>
    <mergeCell ref="A65:B65"/>
    <mergeCell ref="A66:B66"/>
    <mergeCell ref="A67:B67"/>
    <mergeCell ref="A92:B92"/>
    <mergeCell ref="A93:B93"/>
    <mergeCell ref="A94:B94"/>
    <mergeCell ref="A95:B95"/>
    <mergeCell ref="A97:B97"/>
    <mergeCell ref="A77:B77"/>
    <mergeCell ref="A78:B78"/>
    <mergeCell ref="A89:B89"/>
    <mergeCell ref="A90:B90"/>
    <mergeCell ref="A91:B91"/>
    <mergeCell ref="Q1:Q2"/>
    <mergeCell ref="A68:B68"/>
    <mergeCell ref="A69:B69"/>
    <mergeCell ref="A70:B70"/>
    <mergeCell ref="A71:B71"/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A45:B4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160BF05-0561-9843-BD01-28C8F2BAE4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Statement'!G5:P5</xm:f>
              <xm:sqref>Q5</xm:sqref>
            </x14:sparkline>
          </x14:sparklines>
        </x14:sparklineGroup>
        <x14:sparklineGroup displayEmptyCellsAs="gap" xr2:uid="{9BD07BB5-30F0-7F42-AA3D-FE2325A05A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Statement'!G8:P8</xm:f>
              <xm:sqref>Q8</xm:sqref>
            </x14:sparkline>
          </x14:sparklines>
        </x14:sparklineGroup>
        <x14:sparklineGroup displayEmptyCellsAs="gap" xr2:uid="{E2EBF00B-61DE-6445-BBB6-20C30D10A9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Statement'!G10:P10</xm:f>
              <xm:sqref>Q10</xm:sqref>
            </x14:sparkline>
          </x14:sparklines>
        </x14:sparklineGroup>
        <x14:sparklineGroup displayEmptyCellsAs="gap" xr2:uid="{072EC4FC-E7D3-FB4E-A91B-527EF7EC5D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Statement'!G11:P11</xm:f>
              <xm:sqref>Q11</xm:sqref>
            </x14:sparkline>
          </x14:sparklines>
        </x14:sparklineGroup>
        <x14:sparklineGroup displayEmptyCellsAs="gap" xr2:uid="{90A589F9-5272-A844-BDAF-3336B319C6E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Statement'!G13:P13</xm:f>
              <xm:sqref>Q13</xm:sqref>
            </x14:sparkline>
          </x14:sparklines>
        </x14:sparklineGroup>
        <x14:sparklineGroup displayEmptyCellsAs="gap" xr2:uid="{141BE627-0BC0-6F4E-94C5-39C85FAB53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Statement'!G14:P14</xm:f>
              <xm:sqref>Q14</xm:sqref>
            </x14:sparkline>
          </x14:sparklines>
        </x14:sparklineGroup>
        <x14:sparklineGroup displayEmptyCellsAs="gap" xr2:uid="{0F09FCC7-50EE-714D-AB8F-61BB602DC9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Statement'!G20:P20</xm:f>
              <xm:sqref>Q20</xm:sqref>
            </x14:sparkline>
          </x14:sparklines>
        </x14:sparklineGroup>
        <x14:sparklineGroup displayEmptyCellsAs="gap" xr2:uid="{8A003DCD-F23C-BD4A-BACC-1B4B45C962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Statement'!G23:P23</xm:f>
              <xm:sqref>Q23</xm:sqref>
            </x14:sparkline>
          </x14:sparklines>
        </x14:sparklineGroup>
        <x14:sparklineGroup displayEmptyCellsAs="gap" xr2:uid="{0B05989E-9541-8947-B6CA-4ED19B95C5B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Statement'!G57:P57</xm:f>
              <xm:sqref>Q57</xm:sqref>
            </x14:sparkline>
            <x14:sparkline>
              <xm:f>'Financial Statement'!G58:P58</xm:f>
              <xm:sqref>Q58</xm:sqref>
            </x14:sparkline>
            <x14:sparkline>
              <xm:f>'Financial Statement'!G59:P59</xm:f>
              <xm:sqref>Q59</xm:sqref>
            </x14:sparkline>
            <x14:sparkline>
              <xm:f>'Financial Statement'!G60:P60</xm:f>
              <xm:sqref>Q60</xm:sqref>
            </x14:sparkline>
          </x14:sparklines>
        </x14:sparklineGroup>
        <x14:sparklineGroup displayEmptyCellsAs="gap" xr2:uid="{19A8885C-F656-6745-82A1-4C93B21A63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Statement'!G47:P47</xm:f>
              <xm:sqref>Q47</xm:sqref>
            </x14:sparkline>
          </x14:sparklines>
        </x14:sparklineGroup>
        <x14:sparklineGroup displayEmptyCellsAs="gap" xr2:uid="{C7D3448A-94E1-9D45-8EBB-B6256EF0CB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Statement'!G40:P40</xm:f>
              <xm:sqref>Q40</xm:sqref>
            </x14:sparkline>
          </x14:sparklines>
        </x14:sparklineGroup>
        <x14:sparklineGroup displayEmptyCellsAs="gap" xr2:uid="{1C370C81-1601-2446-BADE-E64E959768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Statement'!G63:P63</xm:f>
              <xm:sqref>Q63</xm:sqref>
            </x14:sparkline>
          </x14:sparklines>
        </x14:sparklineGroup>
        <x14:sparklineGroup displayEmptyCellsAs="gap" xr2:uid="{03064C66-B83D-B446-BBDF-75E8385455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Statement'!G70:P70</xm:f>
              <xm:sqref>Q70</xm:sqref>
            </x14:sparkline>
          </x14:sparklines>
        </x14:sparklineGroup>
        <x14:sparklineGroup displayEmptyCellsAs="gap" xr2:uid="{AF4C9EAC-3274-FC47-A0F4-C30648949F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Statement'!G75:P75</xm:f>
              <xm:sqref>Q75</xm:sqref>
            </x14:sparkline>
            <x14:sparkline>
              <xm:f>'Financial Statement'!G76:P76</xm:f>
              <xm:sqref>Q76</xm:sqref>
            </x14:sparkline>
          </x14:sparklines>
        </x14:sparklineGroup>
        <x14:sparklineGroup displayEmptyCellsAs="gap" xr2:uid="{ED59BA6D-42B1-AC42-A30B-5B518213A6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Statement'!G83:P83</xm:f>
              <xm:sqref>Q83</xm:sqref>
            </x14:sparkline>
          </x14:sparklines>
        </x14:sparklineGroup>
        <x14:sparklineGroup displayEmptyCellsAs="gap" xr2:uid="{1AC0D715-B203-1747-9DCC-C10FA36DE3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Statement'!G80:P80</xm:f>
              <xm:sqref>Q80</xm:sqref>
            </x14:sparkline>
          </x14:sparklines>
        </x14:sparklineGroup>
        <x14:sparklineGroup displayEmptyCellsAs="gap" xr2:uid="{0AE08C64-72FB-8C40-AD33-346F395FEB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Statement'!G102:P102</xm:f>
              <xm:sqref>Q102</xm:sqref>
            </x14:sparkline>
          </x14:sparklines>
        </x14:sparklineGroup>
        <x14:sparklineGroup displayEmptyCellsAs="gap" xr2:uid="{F120CCD4-4441-DA42-A1FF-DCD0D20653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Statement'!G66:P66</xm:f>
              <xm:sqref>Q66</xm:sqref>
            </x14:sparkline>
          </x14:sparklines>
        </x14:sparklineGroup>
        <x14:sparklineGroup displayEmptyCellsAs="gap" xr2:uid="{A0E699C1-88E7-F144-8E76-6F53EE307B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Statement'!G65:P65</xm:f>
              <xm:sqref>Q65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showGridLines="0" workbookViewId="0">
      <selection activeCell="E18" sqref="E18"/>
    </sheetView>
  </sheetViews>
  <sheetFormatPr baseColWidth="10" defaultColWidth="20.83203125" defaultRowHeight="28" customHeight="1" x14ac:dyDescent="0.25"/>
  <cols>
    <col min="1" max="1" width="20.83203125" style="50"/>
    <col min="2" max="2" width="30.1640625" style="50" bestFit="1" customWidth="1"/>
    <col min="3" max="16384" width="20.83203125" style="50"/>
  </cols>
  <sheetData>
    <row r="1" spans="1:24" ht="28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28" customHeight="1" x14ac:dyDescent="0.25">
      <c r="A2" s="49"/>
      <c r="B2" s="51" t="s">
        <v>115</v>
      </c>
      <c r="C2" s="52">
        <v>2020</v>
      </c>
      <c r="D2" s="52">
        <v>2021</v>
      </c>
      <c r="E2" s="52">
        <v>2022</v>
      </c>
      <c r="F2" s="52">
        <v>2023</v>
      </c>
      <c r="G2" s="52">
        <v>2024</v>
      </c>
      <c r="H2" s="52">
        <v>2025</v>
      </c>
      <c r="I2" s="52">
        <v>2026</v>
      </c>
      <c r="J2" s="52">
        <v>2027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spans="1:24" ht="28" customHeight="1" x14ac:dyDescent="0.25">
      <c r="B3" s="53" t="s">
        <v>95</v>
      </c>
      <c r="C3" s="54">
        <f>'Financial Statement'!C14</f>
        <v>2949.4999999999964</v>
      </c>
      <c r="D3" s="54">
        <f>'Financial Statement'!D14</f>
        <v>6098.9000000000015</v>
      </c>
      <c r="E3" s="54">
        <f>'Financial Statement'!E14</f>
        <v>5877.6000000000022</v>
      </c>
      <c r="F3" s="55">
        <f>'Financial Statement'!G14</f>
        <v>6717.2667056438877</v>
      </c>
      <c r="G3" s="55">
        <f>'Financial Statement'!H14</f>
        <v>8021.6323521441809</v>
      </c>
      <c r="H3" s="55">
        <f>'Financial Statement'!I14</f>
        <v>9612.3510994406024</v>
      </c>
      <c r="I3" s="55">
        <f>'Financial Statement'!J14</f>
        <v>11447.973600411991</v>
      </c>
      <c r="J3" s="55">
        <f>'Financial Statement'!K14</f>
        <v>13727.771773680463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spans="1:24" ht="28" customHeight="1" x14ac:dyDescent="0.25">
      <c r="B4" s="53" t="s">
        <v>21</v>
      </c>
      <c r="C4" s="56">
        <v>0.21</v>
      </c>
      <c r="D4" s="56">
        <v>0.21</v>
      </c>
      <c r="E4" s="56">
        <v>0.21</v>
      </c>
      <c r="F4" s="56">
        <v>0.21</v>
      </c>
      <c r="G4" s="56">
        <v>0.21</v>
      </c>
      <c r="H4" s="56">
        <v>0.21</v>
      </c>
      <c r="I4" s="56">
        <v>0.21</v>
      </c>
      <c r="J4" s="56">
        <v>0.21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4" ht="28" customHeight="1" x14ac:dyDescent="0.25">
      <c r="B5" s="53" t="s">
        <v>96</v>
      </c>
      <c r="C5" s="55">
        <f t="shared" ref="C5:J5" si="0">C3*(1-C4)</f>
        <v>2330.1049999999973</v>
      </c>
      <c r="D5" s="55">
        <f t="shared" si="0"/>
        <v>4818.1310000000012</v>
      </c>
      <c r="E5" s="55">
        <f t="shared" si="0"/>
        <v>4643.3040000000019</v>
      </c>
      <c r="F5" s="55">
        <f t="shared" si="0"/>
        <v>5306.6406974586716</v>
      </c>
      <c r="G5" s="55">
        <f t="shared" si="0"/>
        <v>6337.089558193903</v>
      </c>
      <c r="H5" s="55">
        <f t="shared" si="0"/>
        <v>7593.7573685580765</v>
      </c>
      <c r="I5" s="55">
        <f t="shared" si="0"/>
        <v>9043.8991443254745</v>
      </c>
      <c r="J5" s="55">
        <f t="shared" si="0"/>
        <v>10844.939701207566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</row>
    <row r="6" spans="1:24" ht="28" customHeight="1" x14ac:dyDescent="0.25">
      <c r="B6" s="53" t="s">
        <v>97</v>
      </c>
      <c r="C6" s="57">
        <f>'Financial Statement'!C38</f>
        <v>1431.3</v>
      </c>
      <c r="D6" s="57">
        <f>'Financial Statement'!D38</f>
        <v>1441.7</v>
      </c>
      <c r="E6" s="57">
        <f>'Financial Statement'!E38</f>
        <v>1447.9</v>
      </c>
      <c r="F6" s="58">
        <f>'Financial Statement'!G38</f>
        <v>1447.9</v>
      </c>
      <c r="G6" s="58">
        <f>'Financial Statement'!H38</f>
        <v>1631.3983966472699</v>
      </c>
      <c r="H6" s="58">
        <f>'Financial Statement'!I38</f>
        <v>1863.6296575965605</v>
      </c>
      <c r="I6" s="58">
        <f>'Financial Statement'!J38</f>
        <v>2148.7628931867944</v>
      </c>
      <c r="J6" s="58">
        <f>'Financial Statement'!K38</f>
        <v>2500.1349524635693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24" ht="28" customHeight="1" x14ac:dyDescent="0.25">
      <c r="B7" s="53" t="s">
        <v>74</v>
      </c>
      <c r="C7" s="57"/>
      <c r="D7" s="57">
        <f>'Financial Statement'!D102</f>
        <v>1542.9000000000005</v>
      </c>
      <c r="E7" s="57">
        <f>'Financial Statement'!E102</f>
        <v>-426.69999999999936</v>
      </c>
      <c r="F7" s="58">
        <f>'Financial Statement'!G102</f>
        <v>293.15400797389202</v>
      </c>
      <c r="G7" s="58">
        <f>'Financial Statement'!H102</f>
        <v>356.74829633211766</v>
      </c>
      <c r="H7" s="58">
        <f>'Financial Statement'!I102</f>
        <v>437.76630549937136</v>
      </c>
      <c r="I7" s="58">
        <f>'Financial Statement'!J102</f>
        <v>503.33646307558502</v>
      </c>
      <c r="J7" s="58">
        <f>'Financial Statement'!K102</f>
        <v>628.1228353803981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24" ht="28" customHeight="1" x14ac:dyDescent="0.25">
      <c r="B8" s="53" t="s">
        <v>98</v>
      </c>
      <c r="C8" s="57">
        <f>-'Financial Statement'!C40</f>
        <v>-1483.6</v>
      </c>
      <c r="D8" s="57">
        <f>-'Financial Statement'!D40</f>
        <v>-1470</v>
      </c>
      <c r="E8" s="57">
        <f>-'Financial Statement'!E40</f>
        <v>-1841.3</v>
      </c>
      <c r="F8" s="58">
        <f>-'Financial Statement'!G40</f>
        <v>-2179.3144399880603</v>
      </c>
      <c r="G8" s="58">
        <f>-'Financial Statement'!H40</f>
        <v>-2575.2909363697586</v>
      </c>
      <c r="H8" s="58">
        <f>-'Financial Statement'!I40</f>
        <v>-3058.1978865590331</v>
      </c>
      <c r="I8" s="58">
        <f>-'Financial Statement'!J40</f>
        <v>-3615.452187578298</v>
      </c>
      <c r="J8" s="58">
        <f>-'Financial Statement'!K40</f>
        <v>-4307.5483766571651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24" ht="28" customHeight="1" thickBot="1" x14ac:dyDescent="0.3">
      <c r="B9" s="59" t="s">
        <v>99</v>
      </c>
      <c r="C9" s="60">
        <f t="shared" ref="C9:J9" si="1">SUM(C5:C8)</f>
        <v>2277.8049999999971</v>
      </c>
      <c r="D9" s="60">
        <f t="shared" si="1"/>
        <v>6332.7310000000016</v>
      </c>
      <c r="E9" s="60">
        <f t="shared" si="1"/>
        <v>3823.2040000000025</v>
      </c>
      <c r="F9" s="60">
        <f t="shared" si="1"/>
        <v>4868.3802654445026</v>
      </c>
      <c r="G9" s="60">
        <f t="shared" si="1"/>
        <v>5749.9453148035318</v>
      </c>
      <c r="H9" s="60">
        <f t="shared" si="1"/>
        <v>6836.9554450949745</v>
      </c>
      <c r="I9" s="60">
        <f t="shared" si="1"/>
        <v>8080.5463130095577</v>
      </c>
      <c r="J9" s="60">
        <f t="shared" si="1"/>
        <v>9665.6491123943688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24" ht="28" customHeight="1" thickTop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 spans="1:24" ht="28" customHeight="1" x14ac:dyDescent="0.25">
      <c r="A11" s="61"/>
      <c r="B11" s="53" t="s">
        <v>100</v>
      </c>
      <c r="C11" s="63"/>
      <c r="D11" s="56">
        <v>0.08</v>
      </c>
      <c r="E11" s="56">
        <v>0.08</v>
      </c>
      <c r="F11" s="56">
        <v>0.08</v>
      </c>
      <c r="G11" s="56">
        <v>0.08</v>
      </c>
      <c r="H11" s="56">
        <v>0.08</v>
      </c>
      <c r="I11" s="56">
        <v>0.08</v>
      </c>
      <c r="J11" s="56">
        <v>0.08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spans="1:24" ht="28" customHeight="1" x14ac:dyDescent="0.25">
      <c r="A12" s="61"/>
      <c r="B12" s="53" t="s">
        <v>101</v>
      </c>
      <c r="C12" s="54">
        <f>C9</f>
        <v>2277.8049999999971</v>
      </c>
      <c r="D12" s="54">
        <f>D9/(1+D11)</f>
        <v>5863.6398148148155</v>
      </c>
      <c r="E12" s="54">
        <f>E9/(1+E11)^2</f>
        <v>3277.7812071330609</v>
      </c>
      <c r="F12" s="54">
        <f>F9/(1+F11)^3</f>
        <v>3864.6772162561774</v>
      </c>
      <c r="G12" s="54">
        <f>G9/(1+G11)^4</f>
        <v>4226.3814583276962</v>
      </c>
      <c r="H12" s="54">
        <f>H9/(1+H11)^5</f>
        <v>4653.1169948000634</v>
      </c>
      <c r="I12" s="54">
        <f>I9/(1+I11)^6</f>
        <v>5092.1148550808794</v>
      </c>
      <c r="J12" s="54">
        <f>J9/(1+J11)^7</f>
        <v>5639.8134210560829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spans="1:24" ht="28" customHeight="1" thickBot="1" x14ac:dyDescent="0.3">
      <c r="A13" s="49"/>
      <c r="B13" s="49"/>
      <c r="C13" s="49"/>
      <c r="D13" s="49"/>
      <c r="E13" s="49"/>
      <c r="F13" s="49"/>
      <c r="G13" s="49"/>
      <c r="H13" s="49" t="s">
        <v>102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spans="1:24" ht="28" customHeight="1" thickBot="1" x14ac:dyDescent="0.3">
      <c r="B14" s="64" t="s">
        <v>103</v>
      </c>
      <c r="C14" s="65">
        <f>SUM(C12:J12)</f>
        <v>34895.329967468773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spans="1:24" ht="28" customHeight="1" x14ac:dyDescent="0.25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</row>
    <row r="16" spans="1:24" ht="49" customHeight="1" thickBot="1" x14ac:dyDescent="0.3">
      <c r="B16" s="49" t="s">
        <v>117</v>
      </c>
      <c r="C16" s="62">
        <f>J9/(D11-G16)</f>
        <v>178993.50208137717</v>
      </c>
      <c r="D16" s="49"/>
      <c r="F16" s="68" t="s">
        <v>119</v>
      </c>
      <c r="G16" s="69">
        <v>2.5999999999999999E-2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</row>
    <row r="17" spans="1:24" ht="28" customHeight="1" thickBot="1" x14ac:dyDescent="0.3">
      <c r="B17" s="64" t="s">
        <v>116</v>
      </c>
      <c r="C17" s="65">
        <f>C16/(1+D11)^5</f>
        <v>121819.96989481139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</row>
    <row r="18" spans="1:24" ht="28" customHeight="1" thickBot="1" x14ac:dyDescent="0.3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</row>
    <row r="19" spans="1:24" ht="28" customHeight="1" thickBot="1" x14ac:dyDescent="0.3">
      <c r="B19" s="64" t="s">
        <v>104</v>
      </c>
      <c r="C19" s="65">
        <f>C14+C17</f>
        <v>156715.29986228017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</row>
    <row r="20" spans="1:24" ht="28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</row>
    <row r="21" spans="1:24" ht="28" customHeight="1" x14ac:dyDescent="0.25">
      <c r="B21" s="53" t="s">
        <v>105</v>
      </c>
      <c r="C21" s="66">
        <f>C19-7.9-15043+C14</f>
        <v>176559.72982974895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</row>
    <row r="22" spans="1:24" ht="28" customHeight="1" x14ac:dyDescent="0.25">
      <c r="B22" s="53" t="s">
        <v>106</v>
      </c>
      <c r="C22" s="67">
        <f>C21/'Financial Statement'!E31</f>
        <v>153.82447275635909</v>
      </c>
      <c r="D22" s="49" t="s">
        <v>107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</row>
    <row r="23" spans="1:24" ht="28" customHeight="1" x14ac:dyDescent="0.25">
      <c r="B23" s="53" t="s">
        <v>118</v>
      </c>
      <c r="C23" s="67">
        <v>108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 spans="1:24" ht="28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</row>
    <row r="25" spans="1:24" ht="28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spans="1:24" ht="28" customHeight="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spans="1:24" ht="28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</row>
    <row r="28" spans="1:24" ht="28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spans="1:24" ht="28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1:24" ht="28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24" ht="28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1:24" ht="28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1:24" ht="28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spans="1:24" ht="28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ht="28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spans="1:24" ht="28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4" ht="28" customHeight="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1:24" ht="28" customHeight="1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ht="28" customHeight="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ht="28" customHeight="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spans="1:24" ht="28" customHeight="1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ht="28" customHeigh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24" ht="28" customHeight="1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 spans="1:24" ht="28" customHeight="1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</row>
    <row r="45" spans="1:24" ht="28" customHeight="1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 spans="1:24" ht="28" customHeight="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 spans="1:24" ht="28" customHeight="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 spans="1:24" ht="28" customHeight="1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spans="1:24" ht="28" customHeight="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spans="1:24" ht="28" customHeigh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spans="1:24" ht="28" customHeight="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spans="1:24" ht="28" customHeight="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</row>
    <row r="53" spans="1:24" ht="28" customHeight="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</row>
    <row r="54" spans="1:24" ht="28" customHeight="1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 spans="1:24" ht="28" customHeight="1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spans="1:24" ht="28" customHeight="1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spans="1:24" ht="28" customHeight="1" x14ac:dyDescent="0.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spans="1:24" ht="28" customHeight="1" x14ac:dyDescent="0.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</row>
    <row r="59" spans="1:24" ht="28" customHeight="1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</row>
    <row r="60" spans="1:24" ht="28" customHeight="1" x14ac:dyDescent="0.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</row>
    <row r="61" spans="1:24" ht="28" customHeight="1" x14ac:dyDescent="0.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</row>
    <row r="62" spans="1:24" ht="28" customHeight="1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</row>
    <row r="63" spans="1:24" ht="28" customHeight="1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</row>
    <row r="64" spans="1:24" ht="28" customHeight="1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</row>
    <row r="65" spans="1:24" ht="28" customHeight="1" x14ac:dyDescent="0.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 spans="1:24" ht="28" customHeight="1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</row>
    <row r="67" spans="1:24" ht="28" customHeight="1" x14ac:dyDescent="0.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</row>
    <row r="68" spans="1:24" ht="28" customHeight="1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</row>
    <row r="69" spans="1:24" ht="28" customHeight="1" x14ac:dyDescent="0.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</row>
    <row r="70" spans="1:24" ht="28" customHeight="1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spans="1:24" ht="28" customHeight="1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spans="1:24" ht="28" customHeight="1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</row>
    <row r="73" spans="1:24" ht="28" customHeight="1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</row>
    <row r="74" spans="1:24" ht="28" customHeight="1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</row>
    <row r="75" spans="1:24" ht="28" customHeight="1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</row>
    <row r="76" spans="1:24" ht="28" customHeight="1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</row>
    <row r="77" spans="1:24" ht="28" customHeight="1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</row>
    <row r="78" spans="1:24" ht="28" customHeight="1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</row>
    <row r="79" spans="1:24" ht="28" customHeight="1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</row>
    <row r="80" spans="1:24" ht="28" customHeight="1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</row>
    <row r="81" spans="1:24" ht="28" customHeight="1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</row>
    <row r="82" spans="1:24" ht="28" customHeight="1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</row>
    <row r="83" spans="1:24" ht="28" customHeight="1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</row>
    <row r="84" spans="1:24" ht="28" customHeight="1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</row>
    <row r="85" spans="1:24" ht="28" customHeight="1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</row>
    <row r="86" spans="1:24" ht="28" customHeight="1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</row>
    <row r="87" spans="1:24" ht="28" customHeight="1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</row>
    <row r="88" spans="1:24" ht="28" customHeight="1" x14ac:dyDescent="0.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</row>
    <row r="89" spans="1:24" ht="28" customHeight="1" x14ac:dyDescent="0.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</row>
    <row r="90" spans="1:24" ht="28" customHeight="1" x14ac:dyDescent="0.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</row>
    <row r="91" spans="1:24" ht="28" customHeight="1" x14ac:dyDescent="0.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</row>
    <row r="92" spans="1:24" ht="28" customHeight="1" x14ac:dyDescent="0.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</row>
    <row r="93" spans="1:24" ht="28" customHeight="1" x14ac:dyDescent="0.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</row>
    <row r="94" spans="1:24" ht="28" customHeight="1" x14ac:dyDescent="0.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</row>
    <row r="95" spans="1:24" ht="28" customHeight="1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</row>
    <row r="96" spans="1:24" ht="28" customHeight="1" x14ac:dyDescent="0.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</row>
    <row r="97" spans="1:24" ht="28" customHeight="1" x14ac:dyDescent="0.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</row>
    <row r="98" spans="1:24" ht="28" customHeight="1" x14ac:dyDescent="0.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</row>
    <row r="99" spans="1:24" ht="28" customHeight="1" x14ac:dyDescent="0.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</row>
    <row r="100" spans="1:24" ht="28" customHeight="1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</row>
    <row r="101" spans="1:24" ht="28" customHeight="1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 spans="1:24" ht="28" customHeight="1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 spans="1:24" ht="28" customHeight="1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spans="1:24" ht="28" customHeight="1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spans="1:24" ht="28" customHeight="1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spans="1:24" ht="28" customHeight="1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spans="1:24" ht="28" customHeight="1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spans="1:24" ht="28" customHeight="1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spans="1:24" ht="28" customHeight="1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spans="1:24" ht="28" customHeight="1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spans="1:24" ht="28" customHeight="1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spans="1:24" ht="28" customHeight="1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spans="1:24" ht="28" customHeight="1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spans="1:24" ht="28" customHeight="1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spans="1:24" ht="28" customHeight="1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spans="1:24" ht="28" customHeight="1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spans="1:24" ht="28" customHeight="1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 spans="1:24" ht="28" customHeight="1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 spans="1:24" ht="28" customHeight="1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spans="1:24" ht="28" customHeight="1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spans="1:24" ht="28" customHeight="1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 spans="1:24" ht="28" customHeight="1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spans="1:24" ht="28" customHeight="1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 spans="1:24" ht="28" customHeight="1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 spans="1:24" ht="28" customHeight="1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 spans="1:24" ht="28" customHeight="1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</row>
    <row r="127" spans="1:24" ht="28" customHeight="1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</row>
    <row r="128" spans="1:24" ht="28" customHeight="1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</row>
    <row r="129" spans="1:24" ht="28" customHeight="1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</row>
    <row r="130" spans="1:24" ht="28" customHeight="1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</row>
    <row r="131" spans="1:24" ht="28" customHeight="1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</row>
    <row r="132" spans="1:24" ht="28" customHeight="1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</row>
    <row r="133" spans="1:24" ht="28" customHeight="1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</row>
    <row r="134" spans="1:24" ht="28" customHeight="1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</row>
    <row r="135" spans="1:24" ht="28" customHeight="1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</row>
    <row r="136" spans="1:24" ht="28" customHeight="1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spans="1:24" ht="28" customHeight="1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spans="1:24" ht="28" customHeight="1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</row>
    <row r="139" spans="1:24" ht="28" customHeight="1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</row>
    <row r="140" spans="1:24" ht="28" customHeight="1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</row>
    <row r="141" spans="1:24" ht="28" customHeight="1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spans="1:24" ht="28" customHeight="1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</row>
    <row r="143" spans="1:24" ht="28" customHeight="1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</row>
    <row r="144" spans="1:24" ht="28" customHeight="1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</row>
    <row r="145" spans="1:24" ht="28" customHeight="1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spans="1:24" ht="28" customHeight="1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spans="1:24" ht="28" customHeight="1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spans="1:24" ht="28" customHeight="1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spans="1:24" ht="28" customHeight="1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spans="1:24" ht="28" customHeight="1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</row>
    <row r="151" spans="1:24" ht="28" customHeight="1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</row>
    <row r="152" spans="1:24" ht="28" customHeight="1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</row>
    <row r="153" spans="1:24" ht="28" customHeight="1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spans="1:24" ht="28" customHeight="1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</row>
    <row r="155" spans="1:24" ht="28" customHeight="1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</row>
    <row r="156" spans="1:24" ht="28" customHeight="1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</row>
    <row r="157" spans="1:24" ht="28" customHeight="1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spans="1:24" ht="28" customHeight="1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</row>
    <row r="159" spans="1:24" ht="28" customHeight="1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</row>
    <row r="160" spans="1:24" ht="28" customHeight="1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</row>
    <row r="161" spans="1:24" ht="28" customHeight="1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</row>
    <row r="162" spans="1:24" ht="28" customHeight="1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</row>
    <row r="163" spans="1:24" ht="28" customHeight="1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</row>
    <row r="164" spans="1:24" ht="28" customHeight="1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</row>
    <row r="165" spans="1:24" ht="28" customHeight="1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</row>
    <row r="166" spans="1:24" ht="28" customHeight="1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</row>
    <row r="167" spans="1:24" ht="28" customHeight="1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</row>
    <row r="168" spans="1:24" ht="28" customHeight="1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</row>
    <row r="169" spans="1:24" ht="28" customHeight="1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</row>
    <row r="170" spans="1:24" ht="28" customHeight="1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</row>
    <row r="171" spans="1:24" ht="28" customHeight="1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</row>
    <row r="172" spans="1:24" ht="28" customHeight="1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</row>
    <row r="173" spans="1:24" ht="28" customHeight="1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</row>
    <row r="174" spans="1:24" ht="28" customHeight="1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</row>
    <row r="175" spans="1:24" ht="28" customHeight="1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</row>
    <row r="176" spans="1:24" ht="28" customHeight="1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</row>
    <row r="177" spans="1:24" ht="28" customHeight="1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</row>
    <row r="178" spans="1:24" ht="28" customHeight="1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</row>
    <row r="179" spans="1:24" ht="28" customHeight="1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</row>
    <row r="180" spans="1:24" ht="28" customHeight="1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</row>
    <row r="181" spans="1:24" ht="28" customHeight="1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</row>
    <row r="182" spans="1:24" ht="28" customHeight="1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</row>
    <row r="183" spans="1:24" ht="28" customHeight="1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</row>
    <row r="184" spans="1:24" ht="28" customHeight="1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</row>
    <row r="185" spans="1:24" ht="28" customHeight="1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</row>
    <row r="186" spans="1:24" ht="28" customHeight="1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</row>
    <row r="187" spans="1:24" ht="28" customHeight="1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</row>
    <row r="188" spans="1:24" ht="28" customHeight="1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</row>
    <row r="189" spans="1:24" ht="28" customHeight="1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</row>
    <row r="190" spans="1:24" ht="28" customHeight="1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</row>
    <row r="191" spans="1:24" ht="28" customHeight="1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</row>
    <row r="192" spans="1:24" ht="28" customHeight="1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</row>
    <row r="193" spans="1:24" ht="28" customHeight="1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</row>
    <row r="194" spans="1:24" ht="28" customHeight="1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</row>
    <row r="195" spans="1:24" ht="28" customHeight="1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</row>
    <row r="196" spans="1:24" ht="28" customHeight="1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</row>
    <row r="197" spans="1:24" ht="28" customHeight="1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</row>
    <row r="198" spans="1:24" ht="28" customHeight="1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</row>
    <row r="199" spans="1:24" ht="28" customHeight="1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</row>
    <row r="200" spans="1:24" ht="28" customHeight="1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</row>
    <row r="201" spans="1:24" ht="28" customHeight="1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</row>
    <row r="202" spans="1:24" ht="28" customHeight="1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</row>
    <row r="203" spans="1:24" ht="28" customHeight="1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</row>
    <row r="204" spans="1:24" ht="28" customHeight="1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</row>
    <row r="205" spans="1:24" ht="28" customHeight="1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</row>
    <row r="206" spans="1:24" ht="28" customHeight="1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</row>
    <row r="207" spans="1:24" ht="28" customHeight="1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</row>
    <row r="208" spans="1:24" ht="28" customHeight="1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</row>
    <row r="209" spans="1:24" ht="28" customHeight="1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</row>
    <row r="210" spans="1:24" ht="28" customHeight="1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</row>
    <row r="211" spans="1:24" ht="28" customHeight="1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</row>
    <row r="212" spans="1:24" ht="28" customHeight="1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</row>
    <row r="213" spans="1:24" ht="28" customHeight="1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</row>
    <row r="214" spans="1:24" ht="28" customHeight="1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</row>
    <row r="215" spans="1:24" ht="28" customHeight="1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</row>
    <row r="216" spans="1:24" ht="28" customHeight="1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</row>
    <row r="217" spans="1:24" ht="28" customHeight="1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</row>
    <row r="218" spans="1:24" ht="28" customHeight="1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</row>
    <row r="219" spans="1:24" ht="28" customHeight="1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</row>
    <row r="220" spans="1:24" ht="28" customHeight="1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</row>
    <row r="221" spans="1:24" ht="28" customHeight="1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</row>
    <row r="222" spans="1:24" ht="28" customHeight="1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</row>
    <row r="223" spans="1:24" ht="28" customHeight="1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</row>
    <row r="224" spans="1:24" ht="28" customHeight="1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</row>
    <row r="225" spans="1:24" ht="28" customHeight="1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</row>
    <row r="226" spans="1:24" ht="28" customHeight="1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</row>
    <row r="227" spans="1:24" ht="28" customHeight="1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</row>
    <row r="228" spans="1:24" ht="28" customHeight="1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</row>
    <row r="229" spans="1:24" ht="28" customHeight="1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</row>
    <row r="230" spans="1:24" ht="28" customHeight="1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</row>
    <row r="231" spans="1:24" ht="28" customHeight="1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</row>
    <row r="232" spans="1:24" ht="28" customHeight="1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</row>
    <row r="233" spans="1:24" ht="28" customHeight="1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</row>
    <row r="234" spans="1:24" ht="28" customHeight="1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</row>
    <row r="235" spans="1:24" ht="28" customHeight="1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</row>
    <row r="236" spans="1:24" ht="28" customHeight="1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</row>
    <row r="237" spans="1:24" ht="28" customHeight="1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</row>
    <row r="238" spans="1:24" ht="28" customHeight="1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</row>
    <row r="239" spans="1:24" ht="28" customHeight="1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</row>
    <row r="240" spans="1:24" ht="28" customHeight="1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</row>
    <row r="241" spans="1:24" ht="28" customHeight="1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</row>
    <row r="242" spans="1:24" ht="28" customHeight="1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</row>
    <row r="243" spans="1:24" ht="28" customHeight="1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</row>
    <row r="244" spans="1:24" ht="28" customHeight="1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</row>
    <row r="245" spans="1:24" ht="28" customHeight="1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</row>
    <row r="246" spans="1:24" ht="28" customHeight="1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</row>
    <row r="247" spans="1:24" ht="28" customHeight="1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</row>
    <row r="248" spans="1:24" ht="28" customHeight="1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</row>
    <row r="249" spans="1:24" ht="28" customHeight="1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</row>
    <row r="250" spans="1:24" ht="28" customHeight="1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</row>
    <row r="251" spans="1:24" ht="28" customHeight="1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</row>
    <row r="252" spans="1:24" ht="28" customHeight="1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</row>
    <row r="253" spans="1:24" ht="28" customHeight="1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</row>
    <row r="254" spans="1:24" ht="28" customHeight="1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</row>
    <row r="255" spans="1:24" ht="28" customHeight="1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</row>
    <row r="256" spans="1:24" ht="28" customHeight="1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</row>
    <row r="257" spans="1:24" ht="28" customHeight="1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</row>
    <row r="258" spans="1:24" ht="28" customHeight="1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</row>
    <row r="259" spans="1:24" ht="28" customHeight="1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</row>
    <row r="260" spans="1:24" ht="28" customHeight="1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</row>
    <row r="261" spans="1:24" ht="28" customHeight="1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</row>
    <row r="262" spans="1:24" ht="28" customHeight="1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</row>
    <row r="263" spans="1:24" ht="28" customHeight="1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</row>
    <row r="264" spans="1:24" ht="28" customHeight="1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</row>
    <row r="265" spans="1:24" ht="28" customHeight="1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</row>
    <row r="266" spans="1:24" ht="28" customHeight="1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</row>
    <row r="267" spans="1:24" ht="28" customHeight="1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</row>
    <row r="268" spans="1:24" ht="28" customHeight="1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</row>
    <row r="269" spans="1:24" ht="28" customHeight="1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</row>
    <row r="270" spans="1:24" ht="28" customHeight="1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</row>
    <row r="271" spans="1:24" ht="28" customHeight="1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</row>
    <row r="272" spans="1:24" ht="28" customHeight="1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</row>
    <row r="273" spans="1:24" ht="28" customHeight="1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</row>
    <row r="274" spans="1:24" ht="28" customHeight="1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</row>
    <row r="275" spans="1:24" ht="28" customHeight="1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</row>
    <row r="276" spans="1:24" ht="28" customHeight="1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</row>
    <row r="277" spans="1:24" ht="28" customHeight="1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</row>
    <row r="278" spans="1:24" ht="28" customHeight="1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</row>
    <row r="279" spans="1:24" ht="28" customHeight="1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</row>
    <row r="280" spans="1:24" ht="28" customHeight="1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</row>
    <row r="281" spans="1:24" ht="28" customHeight="1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</row>
    <row r="282" spans="1:24" ht="28" customHeight="1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</row>
    <row r="283" spans="1:24" ht="28" customHeight="1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</row>
    <row r="284" spans="1:24" ht="28" customHeight="1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</row>
    <row r="285" spans="1:24" ht="28" customHeight="1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</row>
    <row r="286" spans="1:24" ht="28" customHeight="1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</row>
    <row r="287" spans="1:24" ht="28" customHeight="1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</row>
    <row r="288" spans="1:24" ht="28" customHeight="1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</row>
    <row r="289" spans="1:24" ht="28" customHeight="1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</row>
    <row r="290" spans="1:24" ht="28" customHeight="1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</row>
    <row r="291" spans="1:24" ht="28" customHeight="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</row>
    <row r="292" spans="1:24" ht="28" customHeight="1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</row>
    <row r="293" spans="1:24" ht="28" customHeight="1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</row>
    <row r="294" spans="1:24" ht="28" customHeight="1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</row>
    <row r="295" spans="1:24" ht="28" customHeight="1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</row>
    <row r="296" spans="1:24" ht="28" customHeight="1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</row>
    <row r="297" spans="1:24" ht="28" customHeight="1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</row>
    <row r="298" spans="1:24" ht="28" customHeight="1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</row>
    <row r="299" spans="1:24" ht="28" customHeight="1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</row>
    <row r="300" spans="1:24" ht="28" customHeight="1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</row>
    <row r="301" spans="1:24" ht="28" customHeight="1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</row>
    <row r="302" spans="1:24" ht="28" customHeight="1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</row>
    <row r="303" spans="1:24" ht="28" customHeight="1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</row>
    <row r="304" spans="1:24" ht="28" customHeight="1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</row>
    <row r="305" spans="1:24" ht="28" customHeight="1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</row>
    <row r="306" spans="1:24" ht="28" customHeight="1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</row>
    <row r="307" spans="1:24" ht="28" customHeight="1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</row>
    <row r="308" spans="1:24" ht="28" customHeight="1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</row>
    <row r="309" spans="1:24" ht="28" customHeight="1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</row>
    <row r="310" spans="1:24" ht="28" customHeight="1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</row>
    <row r="311" spans="1:24" ht="28" customHeight="1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</row>
    <row r="312" spans="1:24" ht="28" customHeight="1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</row>
    <row r="313" spans="1:24" ht="28" customHeight="1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</row>
    <row r="314" spans="1:24" ht="28" customHeight="1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</row>
    <row r="315" spans="1:24" ht="28" customHeight="1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</row>
    <row r="316" spans="1:24" ht="28" customHeight="1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</row>
    <row r="317" spans="1:24" ht="28" customHeight="1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</row>
    <row r="318" spans="1:24" ht="28" customHeight="1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</row>
    <row r="319" spans="1:24" ht="28" customHeight="1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</row>
    <row r="320" spans="1:24" ht="28" customHeight="1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</row>
    <row r="321" spans="1:24" ht="28" customHeight="1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</row>
    <row r="322" spans="1:24" ht="28" customHeight="1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</row>
    <row r="323" spans="1:24" ht="28" customHeight="1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</row>
    <row r="324" spans="1:24" ht="28" customHeight="1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</row>
    <row r="325" spans="1:24" ht="28" customHeight="1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</row>
    <row r="326" spans="1:24" ht="28" customHeight="1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</row>
    <row r="327" spans="1:24" ht="28" customHeight="1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</row>
    <row r="328" spans="1:24" ht="28" customHeight="1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</row>
    <row r="329" spans="1:24" ht="28" customHeight="1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</row>
    <row r="330" spans="1:24" ht="28" customHeight="1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</row>
    <row r="331" spans="1:24" ht="28" customHeight="1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</row>
    <row r="332" spans="1:24" ht="28" customHeight="1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</row>
    <row r="333" spans="1:24" ht="28" customHeight="1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</row>
    <row r="334" spans="1:24" ht="28" customHeight="1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</row>
    <row r="335" spans="1:24" ht="28" customHeight="1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</row>
    <row r="336" spans="1:24" ht="28" customHeight="1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</row>
    <row r="337" spans="1:24" ht="28" customHeight="1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</row>
    <row r="338" spans="1:24" ht="28" customHeight="1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</row>
    <row r="339" spans="1:24" ht="28" customHeight="1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</row>
    <row r="340" spans="1:24" ht="28" customHeight="1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</row>
    <row r="341" spans="1:24" ht="28" customHeight="1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</row>
    <row r="342" spans="1:24" ht="28" customHeight="1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</row>
    <row r="343" spans="1:24" ht="28" customHeight="1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</row>
    <row r="344" spans="1:24" ht="28" customHeight="1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</row>
    <row r="345" spans="1:24" ht="28" customHeight="1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</row>
    <row r="346" spans="1:24" ht="28" customHeight="1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</row>
    <row r="347" spans="1:24" ht="28" customHeight="1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</row>
    <row r="348" spans="1:24" ht="28" customHeight="1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</row>
    <row r="349" spans="1:24" ht="28" customHeight="1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</row>
    <row r="350" spans="1:24" ht="28" customHeight="1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</row>
    <row r="351" spans="1:24" ht="28" customHeight="1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</row>
    <row r="352" spans="1:24" ht="28" customHeight="1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</row>
    <row r="353" spans="1:24" ht="28" customHeight="1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</row>
    <row r="354" spans="1:24" ht="28" customHeight="1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</row>
    <row r="355" spans="1:24" ht="28" customHeight="1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</row>
    <row r="356" spans="1:24" ht="28" customHeight="1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</row>
    <row r="357" spans="1:24" ht="28" customHeight="1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</row>
    <row r="358" spans="1:24" ht="28" customHeight="1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</row>
    <row r="359" spans="1:24" ht="28" customHeight="1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</row>
    <row r="360" spans="1:24" ht="28" customHeight="1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</row>
    <row r="361" spans="1:24" ht="28" customHeight="1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</row>
    <row r="362" spans="1:24" ht="28" customHeight="1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</row>
    <row r="363" spans="1:24" ht="28" customHeight="1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</row>
    <row r="364" spans="1:24" ht="28" customHeight="1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</row>
    <row r="365" spans="1:24" ht="28" customHeight="1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</row>
    <row r="366" spans="1:24" ht="28" customHeight="1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</row>
    <row r="367" spans="1:24" ht="28" customHeight="1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</row>
    <row r="368" spans="1:24" ht="28" customHeight="1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</row>
    <row r="369" spans="1:24" ht="28" customHeight="1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</row>
    <row r="370" spans="1:24" ht="28" customHeight="1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</row>
    <row r="371" spans="1:24" ht="28" customHeight="1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</row>
    <row r="372" spans="1:24" ht="28" customHeight="1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</row>
    <row r="373" spans="1:24" ht="28" customHeight="1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</row>
    <row r="374" spans="1:24" ht="28" customHeight="1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</row>
    <row r="375" spans="1:24" ht="28" customHeight="1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</row>
    <row r="376" spans="1:24" ht="28" customHeight="1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</row>
    <row r="377" spans="1:24" ht="28" customHeight="1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</row>
    <row r="378" spans="1:24" ht="28" customHeight="1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</row>
    <row r="379" spans="1:24" ht="28" customHeight="1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</row>
    <row r="380" spans="1:24" ht="28" customHeight="1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</row>
    <row r="381" spans="1:24" ht="28" customHeight="1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</row>
    <row r="382" spans="1:24" ht="28" customHeight="1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</row>
    <row r="383" spans="1:24" ht="28" customHeight="1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</row>
    <row r="384" spans="1:24" ht="28" customHeight="1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</row>
    <row r="385" spans="1:24" ht="28" customHeight="1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</row>
    <row r="386" spans="1:24" ht="28" customHeight="1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</row>
    <row r="387" spans="1:24" ht="28" customHeight="1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</row>
    <row r="388" spans="1:24" ht="28" customHeight="1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</row>
    <row r="389" spans="1:24" ht="28" customHeight="1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</row>
    <row r="390" spans="1:24" ht="28" customHeight="1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</row>
    <row r="391" spans="1:24" ht="28" customHeight="1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</row>
    <row r="392" spans="1:24" ht="28" customHeight="1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</row>
    <row r="393" spans="1:24" ht="28" customHeight="1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</row>
    <row r="394" spans="1:24" ht="28" customHeight="1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</row>
    <row r="395" spans="1:24" ht="28" customHeight="1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</row>
    <row r="396" spans="1:24" ht="28" customHeight="1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</row>
    <row r="397" spans="1:24" ht="28" customHeight="1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</row>
    <row r="398" spans="1:24" ht="28" customHeight="1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</row>
    <row r="399" spans="1:24" ht="28" customHeight="1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</row>
    <row r="400" spans="1:24" ht="28" customHeight="1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</row>
    <row r="401" spans="1:24" ht="28" customHeight="1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</row>
    <row r="402" spans="1:24" ht="28" customHeight="1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</row>
    <row r="403" spans="1:24" ht="28" customHeight="1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</row>
    <row r="404" spans="1:24" ht="28" customHeight="1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</row>
    <row r="405" spans="1:24" ht="28" customHeight="1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</row>
    <row r="406" spans="1:24" ht="28" customHeight="1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</row>
    <row r="407" spans="1:24" ht="28" customHeight="1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</row>
    <row r="408" spans="1:24" ht="28" customHeight="1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</row>
    <row r="409" spans="1:24" ht="28" customHeight="1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</row>
    <row r="410" spans="1:24" ht="28" customHeight="1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</row>
    <row r="411" spans="1:24" ht="28" customHeight="1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</row>
    <row r="412" spans="1:24" ht="28" customHeight="1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</row>
    <row r="413" spans="1:24" ht="28" customHeight="1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</row>
    <row r="414" spans="1:24" ht="28" customHeight="1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</row>
    <row r="415" spans="1:24" ht="28" customHeight="1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</row>
    <row r="416" spans="1:24" ht="28" customHeight="1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</row>
    <row r="417" spans="1:24" ht="28" customHeight="1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</row>
    <row r="418" spans="1:24" ht="28" customHeight="1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</row>
    <row r="419" spans="1:24" ht="28" customHeight="1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</row>
    <row r="420" spans="1:24" ht="28" customHeight="1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</row>
    <row r="421" spans="1:24" ht="28" customHeight="1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</row>
    <row r="422" spans="1:24" ht="28" customHeight="1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</row>
    <row r="423" spans="1:24" ht="28" customHeight="1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</row>
    <row r="424" spans="1:24" ht="28" customHeight="1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</row>
    <row r="425" spans="1:24" ht="28" customHeight="1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</row>
    <row r="426" spans="1:24" ht="28" customHeight="1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</row>
    <row r="427" spans="1:24" ht="28" customHeight="1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</row>
    <row r="428" spans="1:24" ht="28" customHeight="1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</row>
    <row r="429" spans="1:24" ht="28" customHeight="1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</row>
    <row r="430" spans="1:24" ht="28" customHeight="1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</row>
    <row r="431" spans="1:24" ht="28" customHeight="1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</row>
    <row r="432" spans="1:24" ht="28" customHeight="1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</row>
    <row r="433" spans="1:24" ht="28" customHeight="1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</row>
    <row r="434" spans="1:24" ht="28" customHeight="1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</row>
    <row r="435" spans="1:24" ht="28" customHeight="1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</row>
    <row r="436" spans="1:24" ht="28" customHeight="1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</row>
    <row r="437" spans="1:24" ht="28" customHeight="1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</row>
    <row r="438" spans="1:24" ht="28" customHeight="1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</row>
    <row r="439" spans="1:24" ht="28" customHeight="1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</row>
    <row r="440" spans="1:24" ht="28" customHeight="1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</row>
    <row r="441" spans="1:24" ht="28" customHeight="1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</row>
    <row r="442" spans="1:24" ht="28" customHeight="1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</row>
    <row r="443" spans="1:24" ht="28" customHeight="1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</row>
    <row r="444" spans="1:24" ht="28" customHeight="1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</row>
    <row r="445" spans="1:24" ht="28" customHeight="1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</row>
    <row r="446" spans="1:24" ht="28" customHeight="1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</row>
    <row r="447" spans="1:24" ht="28" customHeight="1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</row>
    <row r="448" spans="1:24" ht="28" customHeight="1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</row>
    <row r="449" spans="1:24" ht="28" customHeight="1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</row>
    <row r="450" spans="1:24" ht="28" customHeight="1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</row>
    <row r="451" spans="1:24" ht="28" customHeight="1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</row>
    <row r="452" spans="1:24" ht="28" customHeight="1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</row>
    <row r="453" spans="1:24" ht="28" customHeight="1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</row>
    <row r="454" spans="1:24" ht="28" customHeight="1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</row>
    <row r="455" spans="1:24" ht="28" customHeight="1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</row>
    <row r="456" spans="1:24" ht="28" customHeight="1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</row>
    <row r="457" spans="1:24" ht="28" customHeight="1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</row>
    <row r="458" spans="1:24" ht="28" customHeight="1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</row>
    <row r="459" spans="1:24" ht="28" customHeight="1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</row>
    <row r="460" spans="1:24" ht="28" customHeight="1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</row>
    <row r="461" spans="1:24" ht="28" customHeight="1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</row>
    <row r="462" spans="1:24" ht="28" customHeight="1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</row>
    <row r="463" spans="1:24" ht="28" customHeight="1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</row>
    <row r="464" spans="1:24" ht="28" customHeight="1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</row>
    <row r="465" spans="1:24" ht="28" customHeight="1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</row>
    <row r="466" spans="1:24" ht="28" customHeight="1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</row>
    <row r="467" spans="1:24" ht="28" customHeight="1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</row>
    <row r="468" spans="1:24" ht="28" customHeight="1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</row>
    <row r="469" spans="1:24" ht="28" customHeight="1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</row>
    <row r="470" spans="1:24" ht="28" customHeight="1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</row>
    <row r="471" spans="1:24" ht="28" customHeight="1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</row>
    <row r="472" spans="1:24" ht="28" customHeight="1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</row>
    <row r="473" spans="1:24" ht="28" customHeight="1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</row>
    <row r="474" spans="1:24" ht="28" customHeight="1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</row>
    <row r="475" spans="1:24" ht="28" customHeight="1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</row>
    <row r="476" spans="1:24" ht="28" customHeight="1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</row>
    <row r="477" spans="1:24" ht="28" customHeight="1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</row>
    <row r="478" spans="1:24" ht="28" customHeight="1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</row>
    <row r="479" spans="1:24" ht="28" customHeight="1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</row>
    <row r="480" spans="1:24" ht="28" customHeight="1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</row>
    <row r="481" spans="1:24" ht="28" customHeight="1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</row>
    <row r="482" spans="1:24" ht="28" customHeight="1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</row>
    <row r="483" spans="1:24" ht="28" customHeight="1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</row>
    <row r="484" spans="1:24" ht="28" customHeight="1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</row>
    <row r="485" spans="1:24" ht="28" customHeight="1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</row>
    <row r="486" spans="1:24" ht="28" customHeight="1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</row>
    <row r="487" spans="1:24" ht="28" customHeight="1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</row>
    <row r="488" spans="1:24" ht="28" customHeight="1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</row>
    <row r="489" spans="1:24" ht="28" customHeight="1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</row>
    <row r="490" spans="1:24" ht="28" customHeight="1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</row>
    <row r="491" spans="1:24" ht="28" customHeight="1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</row>
    <row r="492" spans="1:24" ht="28" customHeight="1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</row>
    <row r="493" spans="1:24" ht="28" customHeight="1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</row>
    <row r="494" spans="1:24" ht="28" customHeight="1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</row>
    <row r="495" spans="1:24" ht="28" customHeight="1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</row>
    <row r="496" spans="1:24" ht="28" customHeight="1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</row>
    <row r="497" spans="1:24" ht="28" customHeight="1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</row>
    <row r="498" spans="1:24" ht="28" customHeight="1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</row>
    <row r="499" spans="1:24" ht="28" customHeight="1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</row>
    <row r="500" spans="1:24" ht="28" customHeight="1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</row>
    <row r="501" spans="1:24" ht="28" customHeight="1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</row>
    <row r="502" spans="1:24" ht="28" customHeight="1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</row>
    <row r="503" spans="1:24" ht="28" customHeight="1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</row>
    <row r="504" spans="1:24" ht="28" customHeight="1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</row>
    <row r="505" spans="1:24" ht="28" customHeight="1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</row>
    <row r="506" spans="1:24" ht="28" customHeight="1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</row>
    <row r="507" spans="1:24" ht="28" customHeight="1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</row>
    <row r="508" spans="1:24" ht="28" customHeight="1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</row>
    <row r="509" spans="1:24" ht="28" customHeight="1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</row>
    <row r="510" spans="1:24" ht="28" customHeight="1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</row>
    <row r="511" spans="1:24" ht="28" customHeight="1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</row>
    <row r="512" spans="1:24" ht="28" customHeight="1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</row>
    <row r="513" spans="1:24" ht="28" customHeight="1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</row>
    <row r="514" spans="1:24" ht="28" customHeight="1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</row>
    <row r="515" spans="1:24" ht="28" customHeight="1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</row>
    <row r="516" spans="1:24" ht="28" customHeight="1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</row>
    <row r="517" spans="1:24" ht="28" customHeight="1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</row>
    <row r="518" spans="1:24" ht="28" customHeight="1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</row>
    <row r="519" spans="1:24" ht="28" customHeight="1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</row>
    <row r="520" spans="1:24" ht="28" customHeight="1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</row>
    <row r="521" spans="1:24" ht="28" customHeight="1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</row>
    <row r="522" spans="1:24" ht="28" customHeight="1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</row>
    <row r="523" spans="1:24" ht="28" customHeight="1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</row>
    <row r="524" spans="1:24" ht="28" customHeight="1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</row>
    <row r="525" spans="1:24" ht="28" customHeight="1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</row>
    <row r="526" spans="1:24" ht="28" customHeight="1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</row>
    <row r="527" spans="1:24" ht="28" customHeight="1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</row>
    <row r="528" spans="1:24" ht="28" customHeight="1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</row>
    <row r="529" spans="1:24" ht="28" customHeight="1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</row>
    <row r="530" spans="1:24" ht="28" customHeight="1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</row>
    <row r="531" spans="1:24" ht="28" customHeight="1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</row>
    <row r="532" spans="1:24" ht="28" customHeight="1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</row>
    <row r="533" spans="1:24" ht="28" customHeight="1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</row>
    <row r="534" spans="1:24" ht="28" customHeight="1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</row>
    <row r="535" spans="1:24" ht="28" customHeight="1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</row>
    <row r="536" spans="1:24" ht="28" customHeight="1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</row>
    <row r="537" spans="1:24" ht="28" customHeight="1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</row>
    <row r="538" spans="1:24" ht="28" customHeight="1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</row>
    <row r="539" spans="1:24" ht="28" customHeight="1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</row>
    <row r="540" spans="1:24" ht="28" customHeight="1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</row>
    <row r="541" spans="1:24" ht="28" customHeight="1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</row>
    <row r="542" spans="1:24" ht="28" customHeight="1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</row>
    <row r="543" spans="1:24" ht="28" customHeight="1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</row>
    <row r="544" spans="1:24" ht="28" customHeight="1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</row>
    <row r="545" spans="1:24" ht="28" customHeight="1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</row>
    <row r="546" spans="1:24" ht="28" customHeight="1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</row>
    <row r="547" spans="1:24" ht="28" customHeight="1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</row>
    <row r="548" spans="1:24" ht="28" customHeight="1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</row>
    <row r="549" spans="1:24" ht="28" customHeight="1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</row>
    <row r="550" spans="1:24" ht="28" customHeight="1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</row>
    <row r="551" spans="1:24" ht="28" customHeight="1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</row>
    <row r="552" spans="1:24" ht="28" customHeight="1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</row>
    <row r="553" spans="1:24" ht="28" customHeight="1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</row>
    <row r="554" spans="1:24" ht="28" customHeight="1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</row>
    <row r="555" spans="1:24" ht="28" customHeight="1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</row>
    <row r="556" spans="1:24" ht="28" customHeight="1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</row>
    <row r="557" spans="1:24" ht="28" customHeight="1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</row>
    <row r="558" spans="1:24" ht="28" customHeight="1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</row>
    <row r="559" spans="1:24" ht="28" customHeight="1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</row>
    <row r="560" spans="1:24" ht="28" customHeight="1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</row>
    <row r="561" spans="1:24" ht="28" customHeight="1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</row>
    <row r="562" spans="1:24" ht="28" customHeight="1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</row>
    <row r="563" spans="1:24" ht="28" customHeight="1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</row>
    <row r="564" spans="1:24" ht="28" customHeight="1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</row>
    <row r="565" spans="1:24" ht="28" customHeight="1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</row>
    <row r="566" spans="1:24" ht="28" customHeight="1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</row>
    <row r="567" spans="1:24" ht="28" customHeight="1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</row>
    <row r="568" spans="1:24" ht="28" customHeight="1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</row>
    <row r="569" spans="1:24" ht="28" customHeight="1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</row>
    <row r="570" spans="1:24" ht="28" customHeight="1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</row>
    <row r="571" spans="1:24" ht="28" customHeight="1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</row>
    <row r="572" spans="1:24" ht="28" customHeight="1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</row>
    <row r="573" spans="1:24" ht="28" customHeight="1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</row>
    <row r="574" spans="1:24" ht="28" customHeight="1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</row>
    <row r="575" spans="1:24" ht="28" customHeight="1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</row>
    <row r="576" spans="1:24" ht="28" customHeight="1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</row>
    <row r="577" spans="1:24" ht="28" customHeight="1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</row>
    <row r="578" spans="1:24" ht="28" customHeight="1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</row>
    <row r="579" spans="1:24" ht="28" customHeight="1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</row>
    <row r="580" spans="1:24" ht="28" customHeight="1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</row>
    <row r="581" spans="1:24" ht="28" customHeight="1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</row>
    <row r="582" spans="1:24" ht="28" customHeight="1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</row>
    <row r="583" spans="1:24" ht="28" customHeight="1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</row>
    <row r="584" spans="1:24" ht="28" customHeight="1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</row>
    <row r="585" spans="1:24" ht="28" customHeight="1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</row>
    <row r="586" spans="1:24" ht="28" customHeight="1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</row>
    <row r="587" spans="1:24" ht="28" customHeight="1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</row>
    <row r="588" spans="1:24" ht="28" customHeight="1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</row>
    <row r="589" spans="1:24" ht="28" customHeight="1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</row>
    <row r="590" spans="1:24" ht="28" customHeight="1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</row>
    <row r="591" spans="1:24" ht="28" customHeight="1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</row>
    <row r="592" spans="1:24" ht="28" customHeight="1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</row>
    <row r="593" spans="1:24" ht="28" customHeight="1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</row>
    <row r="594" spans="1:24" ht="28" customHeight="1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</row>
    <row r="595" spans="1:24" ht="28" customHeight="1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</row>
    <row r="596" spans="1:24" ht="28" customHeight="1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</row>
    <row r="597" spans="1:24" ht="28" customHeight="1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</row>
    <row r="598" spans="1:24" ht="28" customHeight="1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</row>
    <row r="599" spans="1:24" ht="28" customHeight="1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</row>
    <row r="600" spans="1:24" ht="28" customHeight="1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</row>
    <row r="601" spans="1:24" ht="28" customHeight="1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</row>
    <row r="602" spans="1:24" ht="28" customHeight="1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</row>
    <row r="603" spans="1:24" ht="28" customHeight="1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</row>
    <row r="604" spans="1:24" ht="28" customHeight="1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</row>
    <row r="605" spans="1:24" ht="28" customHeight="1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</row>
    <row r="606" spans="1:24" ht="28" customHeight="1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</row>
    <row r="607" spans="1:24" ht="28" customHeight="1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</row>
    <row r="608" spans="1:24" ht="28" customHeight="1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</row>
    <row r="609" spans="1:24" ht="28" customHeight="1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</row>
    <row r="610" spans="1:24" ht="28" customHeight="1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</row>
    <row r="611" spans="1:24" ht="28" customHeight="1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</row>
    <row r="612" spans="1:24" ht="28" customHeight="1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</row>
    <row r="613" spans="1:24" ht="28" customHeight="1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</row>
    <row r="614" spans="1:24" ht="28" customHeight="1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</row>
    <row r="615" spans="1:24" ht="28" customHeight="1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</row>
    <row r="616" spans="1:24" ht="28" customHeight="1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</row>
    <row r="617" spans="1:24" ht="28" customHeight="1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</row>
    <row r="618" spans="1:24" ht="28" customHeight="1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</row>
    <row r="619" spans="1:24" ht="28" customHeight="1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</row>
    <row r="620" spans="1:24" ht="28" customHeight="1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</row>
    <row r="621" spans="1:24" ht="28" customHeight="1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</row>
    <row r="622" spans="1:24" ht="28" customHeight="1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</row>
    <row r="623" spans="1:24" ht="28" customHeight="1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</row>
    <row r="624" spans="1:24" ht="28" customHeight="1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</row>
    <row r="625" spans="1:24" ht="28" customHeight="1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</row>
    <row r="626" spans="1:24" ht="28" customHeight="1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</row>
    <row r="627" spans="1:24" ht="28" customHeight="1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</row>
    <row r="628" spans="1:24" ht="28" customHeight="1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</row>
    <row r="629" spans="1:24" ht="28" customHeight="1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</row>
    <row r="630" spans="1:24" ht="28" customHeight="1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</row>
    <row r="631" spans="1:24" ht="28" customHeight="1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</row>
    <row r="632" spans="1:24" ht="28" customHeight="1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</row>
    <row r="633" spans="1:24" ht="28" customHeight="1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</row>
    <row r="634" spans="1:24" ht="28" customHeight="1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</row>
    <row r="635" spans="1:24" ht="28" customHeight="1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</row>
    <row r="636" spans="1:24" ht="28" customHeight="1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</row>
    <row r="637" spans="1:24" ht="28" customHeight="1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</row>
    <row r="638" spans="1:24" ht="28" customHeight="1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</row>
    <row r="639" spans="1:24" ht="28" customHeight="1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</row>
    <row r="640" spans="1:24" ht="28" customHeight="1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</row>
    <row r="641" spans="1:24" ht="28" customHeight="1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</row>
    <row r="642" spans="1:24" ht="28" customHeight="1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</row>
    <row r="643" spans="1:24" ht="28" customHeight="1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</row>
    <row r="644" spans="1:24" ht="28" customHeight="1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</row>
    <row r="645" spans="1:24" ht="28" customHeight="1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</row>
    <row r="646" spans="1:24" ht="28" customHeight="1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</row>
    <row r="647" spans="1:24" ht="28" customHeight="1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</row>
    <row r="648" spans="1:24" ht="28" customHeight="1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</row>
    <row r="649" spans="1:24" ht="28" customHeight="1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</row>
    <row r="650" spans="1:24" ht="28" customHeight="1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</row>
    <row r="651" spans="1:24" ht="28" customHeight="1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</row>
    <row r="652" spans="1:24" ht="28" customHeight="1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</row>
    <row r="653" spans="1:24" ht="28" customHeight="1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</row>
    <row r="654" spans="1:24" ht="28" customHeight="1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</row>
    <row r="655" spans="1:24" ht="28" customHeight="1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</row>
    <row r="656" spans="1:24" ht="28" customHeight="1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</row>
    <row r="657" spans="1:24" ht="28" customHeight="1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</row>
    <row r="658" spans="1:24" ht="28" customHeight="1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</row>
    <row r="659" spans="1:24" ht="28" customHeight="1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</row>
    <row r="660" spans="1:24" ht="28" customHeight="1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</row>
    <row r="661" spans="1:24" ht="28" customHeight="1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</row>
    <row r="662" spans="1:24" ht="28" customHeight="1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</row>
    <row r="663" spans="1:24" ht="28" customHeight="1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</row>
    <row r="664" spans="1:24" ht="28" customHeight="1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</row>
    <row r="665" spans="1:24" ht="28" customHeight="1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</row>
    <row r="666" spans="1:24" ht="28" customHeight="1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</row>
    <row r="667" spans="1:24" ht="28" customHeight="1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</row>
    <row r="668" spans="1:24" ht="28" customHeight="1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</row>
    <row r="669" spans="1:24" ht="28" customHeight="1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</row>
    <row r="670" spans="1:24" ht="28" customHeight="1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</row>
    <row r="671" spans="1:24" ht="28" customHeight="1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</row>
    <row r="672" spans="1:24" ht="28" customHeight="1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</row>
    <row r="673" spans="1:24" ht="28" customHeight="1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</row>
    <row r="674" spans="1:24" ht="28" customHeight="1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</row>
    <row r="675" spans="1:24" ht="28" customHeight="1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</row>
    <row r="676" spans="1:24" ht="28" customHeight="1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</row>
    <row r="677" spans="1:24" ht="28" customHeight="1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</row>
    <row r="678" spans="1:24" ht="28" customHeight="1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</row>
    <row r="679" spans="1:24" ht="28" customHeight="1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</row>
    <row r="680" spans="1:24" ht="28" customHeight="1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</row>
    <row r="681" spans="1:24" ht="28" customHeight="1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</row>
    <row r="682" spans="1:24" ht="28" customHeight="1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</row>
    <row r="683" spans="1:24" ht="28" customHeight="1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</row>
    <row r="684" spans="1:24" ht="28" customHeight="1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</row>
    <row r="685" spans="1:24" ht="28" customHeight="1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</row>
    <row r="686" spans="1:24" ht="28" customHeight="1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</row>
    <row r="687" spans="1:24" ht="28" customHeight="1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</row>
    <row r="688" spans="1:24" ht="28" customHeight="1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</row>
    <row r="689" spans="1:24" ht="28" customHeight="1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</row>
    <row r="690" spans="1:24" ht="28" customHeight="1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</row>
    <row r="691" spans="1:24" ht="28" customHeight="1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</row>
    <row r="692" spans="1:24" ht="28" customHeight="1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</row>
    <row r="693" spans="1:24" ht="28" customHeight="1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</row>
    <row r="694" spans="1:24" ht="28" customHeight="1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</row>
    <row r="695" spans="1:24" ht="28" customHeight="1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</row>
    <row r="696" spans="1:24" ht="28" customHeight="1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</row>
    <row r="697" spans="1:24" ht="28" customHeight="1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</row>
    <row r="698" spans="1:24" ht="28" customHeight="1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</row>
    <row r="699" spans="1:24" ht="28" customHeight="1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</row>
    <row r="700" spans="1:24" ht="28" customHeight="1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</row>
    <row r="701" spans="1:24" ht="28" customHeight="1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</row>
    <row r="702" spans="1:24" ht="28" customHeight="1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</row>
    <row r="703" spans="1:24" ht="28" customHeight="1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</row>
    <row r="704" spans="1:24" ht="28" customHeight="1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</row>
    <row r="705" spans="1:24" ht="28" customHeight="1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</row>
    <row r="706" spans="1:24" ht="28" customHeight="1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</row>
    <row r="707" spans="1:24" ht="28" customHeight="1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</row>
    <row r="708" spans="1:24" ht="28" customHeight="1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</row>
    <row r="709" spans="1:24" ht="28" customHeight="1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</row>
    <row r="710" spans="1:24" ht="28" customHeight="1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</row>
    <row r="711" spans="1:24" ht="28" customHeight="1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</row>
    <row r="712" spans="1:24" ht="28" customHeight="1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</row>
    <row r="713" spans="1:24" ht="28" customHeight="1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</row>
    <row r="714" spans="1:24" ht="28" customHeight="1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</row>
    <row r="715" spans="1:24" ht="28" customHeight="1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</row>
    <row r="716" spans="1:24" ht="28" customHeight="1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</row>
    <row r="717" spans="1:24" ht="28" customHeight="1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</row>
    <row r="718" spans="1:24" ht="28" customHeight="1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</row>
    <row r="719" spans="1:24" ht="28" customHeight="1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</row>
    <row r="720" spans="1:24" ht="28" customHeight="1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</row>
    <row r="721" spans="1:24" ht="28" customHeight="1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</row>
    <row r="722" spans="1:24" ht="28" customHeight="1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</row>
    <row r="723" spans="1:24" ht="28" customHeight="1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</row>
    <row r="724" spans="1:24" ht="28" customHeight="1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</row>
    <row r="725" spans="1:24" ht="28" customHeight="1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</row>
    <row r="726" spans="1:24" ht="28" customHeight="1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</row>
    <row r="727" spans="1:24" ht="28" customHeight="1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</row>
    <row r="728" spans="1:24" ht="28" customHeight="1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</row>
    <row r="729" spans="1:24" ht="28" customHeight="1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</row>
    <row r="730" spans="1:24" ht="28" customHeight="1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</row>
    <row r="731" spans="1:24" ht="28" customHeight="1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</row>
    <row r="732" spans="1:24" ht="28" customHeight="1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</row>
    <row r="733" spans="1:24" ht="28" customHeight="1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</row>
    <row r="734" spans="1:24" ht="28" customHeight="1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</row>
    <row r="735" spans="1:24" ht="28" customHeight="1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</row>
    <row r="736" spans="1:24" ht="28" customHeight="1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</row>
    <row r="737" spans="1:24" ht="28" customHeight="1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</row>
    <row r="738" spans="1:24" ht="28" customHeight="1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</row>
    <row r="739" spans="1:24" ht="28" customHeight="1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</row>
    <row r="740" spans="1:24" ht="28" customHeight="1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</row>
    <row r="741" spans="1:24" ht="28" customHeight="1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</row>
    <row r="742" spans="1:24" ht="28" customHeight="1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</row>
    <row r="743" spans="1:24" ht="28" customHeight="1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</row>
    <row r="744" spans="1:24" ht="28" customHeight="1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</row>
    <row r="745" spans="1:24" ht="28" customHeight="1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</row>
    <row r="746" spans="1:24" ht="28" customHeight="1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</row>
    <row r="747" spans="1:24" ht="28" customHeight="1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</row>
    <row r="748" spans="1:24" ht="28" customHeight="1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</row>
    <row r="749" spans="1:24" ht="28" customHeight="1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</row>
    <row r="750" spans="1:24" ht="28" customHeight="1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</row>
    <row r="751" spans="1:24" ht="28" customHeight="1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</row>
    <row r="752" spans="1:24" ht="28" customHeight="1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</row>
    <row r="753" spans="1:24" ht="28" customHeight="1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</row>
    <row r="754" spans="1:24" ht="28" customHeight="1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</row>
    <row r="755" spans="1:24" ht="28" customHeight="1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</row>
    <row r="756" spans="1:24" ht="28" customHeight="1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</row>
    <row r="757" spans="1:24" ht="28" customHeight="1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</row>
    <row r="758" spans="1:24" ht="28" customHeight="1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</row>
    <row r="759" spans="1:24" ht="28" customHeight="1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</row>
    <row r="760" spans="1:24" ht="28" customHeight="1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</row>
    <row r="761" spans="1:24" ht="28" customHeight="1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</row>
    <row r="762" spans="1:24" ht="28" customHeight="1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</row>
    <row r="763" spans="1:24" ht="28" customHeight="1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</row>
    <row r="764" spans="1:24" ht="28" customHeight="1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</row>
    <row r="765" spans="1:24" ht="28" customHeight="1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</row>
    <row r="766" spans="1:24" ht="28" customHeight="1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</row>
    <row r="767" spans="1:24" ht="28" customHeight="1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</row>
    <row r="768" spans="1:24" ht="28" customHeight="1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</row>
    <row r="769" spans="1:24" ht="28" customHeight="1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</row>
    <row r="770" spans="1:24" ht="28" customHeight="1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</row>
    <row r="771" spans="1:24" ht="28" customHeight="1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</row>
    <row r="772" spans="1:24" ht="28" customHeight="1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</row>
    <row r="773" spans="1:24" ht="28" customHeight="1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</row>
    <row r="774" spans="1:24" ht="28" customHeight="1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</row>
    <row r="775" spans="1:24" ht="28" customHeight="1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</row>
    <row r="776" spans="1:24" ht="28" customHeight="1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</row>
    <row r="777" spans="1:24" ht="28" customHeight="1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</row>
    <row r="778" spans="1:24" ht="28" customHeight="1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</row>
    <row r="779" spans="1:24" ht="28" customHeight="1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</row>
    <row r="780" spans="1:24" ht="28" customHeight="1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</row>
    <row r="781" spans="1:24" ht="28" customHeight="1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</row>
    <row r="782" spans="1:24" ht="28" customHeight="1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</row>
    <row r="783" spans="1:24" ht="28" customHeight="1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</row>
    <row r="784" spans="1:24" ht="28" customHeight="1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</row>
    <row r="785" spans="1:24" ht="28" customHeight="1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</row>
    <row r="786" spans="1:24" ht="28" customHeight="1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</row>
    <row r="787" spans="1:24" ht="28" customHeight="1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</row>
    <row r="788" spans="1:24" ht="28" customHeight="1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</row>
    <row r="789" spans="1:24" ht="28" customHeight="1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</row>
    <row r="790" spans="1:24" ht="28" customHeight="1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</row>
    <row r="791" spans="1:24" ht="28" customHeight="1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</row>
    <row r="792" spans="1:24" ht="28" customHeight="1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</row>
    <row r="793" spans="1:24" ht="28" customHeight="1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</row>
    <row r="794" spans="1:24" ht="28" customHeight="1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</row>
    <row r="795" spans="1:24" ht="28" customHeight="1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</row>
    <row r="796" spans="1:24" ht="28" customHeight="1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</row>
    <row r="797" spans="1:24" ht="28" customHeight="1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</row>
    <row r="798" spans="1:24" ht="28" customHeight="1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</row>
    <row r="799" spans="1:24" ht="28" customHeight="1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</row>
    <row r="800" spans="1:24" ht="28" customHeight="1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</row>
    <row r="801" spans="1:24" ht="28" customHeight="1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</row>
    <row r="802" spans="1:24" ht="28" customHeight="1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</row>
    <row r="803" spans="1:24" ht="28" customHeight="1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</row>
    <row r="804" spans="1:24" ht="28" customHeight="1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</row>
    <row r="805" spans="1:24" ht="28" customHeight="1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</row>
    <row r="806" spans="1:24" ht="28" customHeight="1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</row>
    <row r="807" spans="1:24" ht="28" customHeight="1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</row>
    <row r="808" spans="1:24" ht="28" customHeight="1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</row>
    <row r="809" spans="1:24" ht="28" customHeight="1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</row>
    <row r="810" spans="1:24" ht="28" customHeight="1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</row>
    <row r="811" spans="1:24" ht="28" customHeight="1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</row>
    <row r="812" spans="1:24" ht="28" customHeight="1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</row>
    <row r="813" spans="1:24" ht="28" customHeight="1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</row>
    <row r="814" spans="1:24" ht="28" customHeight="1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</row>
    <row r="815" spans="1:24" ht="28" customHeight="1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</row>
    <row r="816" spans="1:24" ht="28" customHeight="1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</row>
    <row r="817" spans="1:24" ht="28" customHeight="1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</row>
    <row r="818" spans="1:24" ht="28" customHeight="1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</row>
    <row r="819" spans="1:24" ht="28" customHeight="1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</row>
    <row r="820" spans="1:24" ht="28" customHeight="1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</row>
    <row r="821" spans="1:24" ht="28" customHeight="1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</row>
    <row r="822" spans="1:24" ht="28" customHeight="1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</row>
    <row r="823" spans="1:24" ht="28" customHeight="1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</row>
    <row r="824" spans="1:24" ht="28" customHeight="1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</row>
    <row r="825" spans="1:24" ht="28" customHeight="1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</row>
    <row r="826" spans="1:24" ht="28" customHeight="1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</row>
    <row r="827" spans="1:24" ht="28" customHeight="1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</row>
    <row r="828" spans="1:24" ht="28" customHeight="1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</row>
    <row r="829" spans="1:24" ht="28" customHeight="1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</row>
    <row r="830" spans="1:24" ht="28" customHeight="1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</row>
    <row r="831" spans="1:24" ht="28" customHeight="1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</row>
    <row r="832" spans="1:24" ht="28" customHeight="1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</row>
    <row r="833" spans="1:24" ht="28" customHeight="1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</row>
    <row r="834" spans="1:24" ht="28" customHeight="1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</row>
    <row r="835" spans="1:24" ht="28" customHeight="1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</row>
    <row r="836" spans="1:24" ht="28" customHeight="1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</row>
    <row r="837" spans="1:24" ht="28" customHeight="1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</row>
    <row r="838" spans="1:24" ht="28" customHeight="1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</row>
    <row r="839" spans="1:24" ht="28" customHeight="1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</row>
    <row r="840" spans="1:24" ht="28" customHeight="1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</row>
    <row r="841" spans="1:24" ht="28" customHeight="1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</row>
    <row r="842" spans="1:24" ht="28" customHeight="1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</row>
    <row r="843" spans="1:24" ht="28" customHeight="1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</row>
    <row r="844" spans="1:24" ht="28" customHeight="1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</row>
    <row r="845" spans="1:24" ht="28" customHeight="1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</row>
    <row r="846" spans="1:24" ht="28" customHeight="1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</row>
    <row r="847" spans="1:24" ht="28" customHeight="1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</row>
    <row r="848" spans="1:24" ht="28" customHeight="1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</row>
    <row r="849" spans="1:24" ht="28" customHeight="1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</row>
    <row r="850" spans="1:24" ht="28" customHeight="1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</row>
    <row r="851" spans="1:24" ht="28" customHeight="1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</row>
    <row r="852" spans="1:24" ht="28" customHeight="1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</row>
    <row r="853" spans="1:24" ht="28" customHeight="1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</row>
    <row r="854" spans="1:24" ht="28" customHeight="1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</row>
    <row r="855" spans="1:24" ht="28" customHeight="1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</row>
    <row r="856" spans="1:24" ht="28" customHeight="1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</row>
    <row r="857" spans="1:24" ht="28" customHeight="1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</row>
    <row r="858" spans="1:24" ht="28" customHeight="1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</row>
    <row r="859" spans="1:24" ht="28" customHeight="1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</row>
    <row r="860" spans="1:24" ht="28" customHeight="1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</row>
    <row r="861" spans="1:24" ht="28" customHeight="1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</row>
    <row r="862" spans="1:24" ht="28" customHeight="1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</row>
    <row r="863" spans="1:24" ht="28" customHeight="1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</row>
    <row r="864" spans="1:24" ht="28" customHeight="1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</row>
    <row r="865" spans="1:24" ht="28" customHeight="1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</row>
    <row r="866" spans="1:24" ht="28" customHeight="1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</row>
    <row r="867" spans="1:24" ht="28" customHeight="1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</row>
    <row r="868" spans="1:24" ht="28" customHeight="1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</row>
    <row r="869" spans="1:24" ht="28" customHeight="1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</row>
    <row r="870" spans="1:24" ht="28" customHeight="1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</row>
    <row r="871" spans="1:24" ht="28" customHeight="1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</row>
    <row r="872" spans="1:24" ht="28" customHeight="1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</row>
    <row r="873" spans="1:24" ht="28" customHeight="1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</row>
    <row r="874" spans="1:24" ht="28" customHeight="1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</row>
    <row r="875" spans="1:24" ht="28" customHeight="1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</row>
    <row r="876" spans="1:24" ht="28" customHeight="1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</row>
    <row r="877" spans="1:24" ht="28" customHeight="1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</row>
    <row r="878" spans="1:24" ht="28" customHeight="1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</row>
    <row r="879" spans="1:24" ht="28" customHeight="1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</row>
    <row r="880" spans="1:24" ht="28" customHeight="1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</row>
    <row r="881" spans="1:24" ht="28" customHeight="1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</row>
    <row r="882" spans="1:24" ht="28" customHeight="1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</row>
    <row r="883" spans="1:24" ht="28" customHeight="1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</row>
    <row r="884" spans="1:24" ht="28" customHeight="1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</row>
    <row r="885" spans="1:24" ht="28" customHeight="1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</row>
    <row r="886" spans="1:24" ht="28" customHeight="1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</row>
    <row r="887" spans="1:24" ht="28" customHeight="1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</row>
    <row r="888" spans="1:24" ht="28" customHeight="1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</row>
    <row r="889" spans="1:24" ht="28" customHeight="1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</row>
    <row r="890" spans="1:24" ht="28" customHeight="1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</row>
    <row r="891" spans="1:24" ht="28" customHeight="1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</row>
    <row r="892" spans="1:24" ht="28" customHeight="1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</row>
    <row r="893" spans="1:24" ht="28" customHeight="1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</row>
    <row r="894" spans="1:24" ht="28" customHeight="1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</row>
    <row r="895" spans="1:24" ht="28" customHeight="1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</row>
    <row r="896" spans="1:24" ht="28" customHeight="1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</row>
    <row r="897" spans="1:24" ht="28" customHeight="1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</row>
    <row r="898" spans="1:24" ht="28" customHeight="1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</row>
    <row r="899" spans="1:24" ht="28" customHeight="1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</row>
    <row r="900" spans="1:24" ht="28" customHeight="1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</row>
    <row r="901" spans="1:24" ht="28" customHeight="1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</row>
    <row r="902" spans="1:24" ht="28" customHeight="1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</row>
    <row r="903" spans="1:24" ht="28" customHeight="1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</row>
    <row r="904" spans="1:24" ht="28" customHeight="1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</row>
    <row r="905" spans="1:24" ht="28" customHeight="1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</row>
    <row r="906" spans="1:24" ht="28" customHeight="1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</row>
    <row r="907" spans="1:24" ht="28" customHeight="1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</row>
    <row r="908" spans="1:24" ht="28" customHeight="1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</row>
    <row r="909" spans="1:24" ht="28" customHeight="1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</row>
    <row r="910" spans="1:24" ht="28" customHeight="1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</row>
    <row r="911" spans="1:24" ht="28" customHeight="1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</row>
    <row r="912" spans="1:24" ht="28" customHeight="1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</row>
    <row r="913" spans="1:24" ht="28" customHeight="1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</row>
    <row r="914" spans="1:24" ht="28" customHeight="1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</row>
    <row r="915" spans="1:24" ht="28" customHeight="1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</row>
    <row r="916" spans="1:24" ht="28" customHeight="1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</row>
    <row r="917" spans="1:24" ht="28" customHeight="1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</row>
    <row r="918" spans="1:24" ht="28" customHeight="1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</row>
    <row r="919" spans="1:24" ht="28" customHeight="1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</row>
    <row r="920" spans="1:24" ht="28" customHeight="1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</row>
    <row r="921" spans="1:24" ht="28" customHeight="1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</row>
    <row r="922" spans="1:24" ht="28" customHeight="1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</row>
    <row r="923" spans="1:24" ht="28" customHeight="1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</row>
    <row r="924" spans="1:24" ht="28" customHeight="1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</row>
    <row r="925" spans="1:24" ht="28" customHeight="1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</row>
    <row r="926" spans="1:24" ht="28" customHeight="1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</row>
    <row r="927" spans="1:24" ht="28" customHeight="1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</row>
    <row r="928" spans="1:24" ht="28" customHeight="1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</row>
    <row r="929" spans="1:24" ht="28" customHeight="1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</row>
    <row r="930" spans="1:24" ht="28" customHeight="1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</row>
    <row r="931" spans="1:24" ht="28" customHeight="1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</row>
    <row r="932" spans="1:24" ht="28" customHeight="1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</row>
    <row r="933" spans="1:24" ht="28" customHeight="1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</row>
    <row r="934" spans="1:24" ht="28" customHeight="1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</row>
    <row r="935" spans="1:24" ht="28" customHeight="1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</row>
    <row r="936" spans="1:24" ht="28" customHeight="1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</row>
    <row r="937" spans="1:24" ht="28" customHeight="1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</row>
    <row r="938" spans="1:24" ht="28" customHeight="1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</row>
    <row r="939" spans="1:24" ht="28" customHeight="1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</row>
    <row r="940" spans="1:24" ht="28" customHeight="1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</row>
    <row r="941" spans="1:24" ht="28" customHeight="1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</row>
    <row r="942" spans="1:24" ht="28" customHeight="1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</row>
    <row r="943" spans="1:24" ht="28" customHeight="1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</row>
    <row r="944" spans="1:24" ht="28" customHeight="1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</row>
    <row r="945" spans="1:24" ht="28" customHeight="1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</row>
    <row r="946" spans="1:24" ht="28" customHeight="1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</row>
    <row r="947" spans="1:24" ht="28" customHeight="1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</row>
    <row r="948" spans="1:24" ht="28" customHeight="1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</row>
    <row r="949" spans="1:24" ht="28" customHeight="1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</row>
    <row r="950" spans="1:24" ht="28" customHeight="1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</row>
    <row r="951" spans="1:24" ht="28" customHeight="1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</row>
    <row r="952" spans="1:24" ht="28" customHeight="1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</row>
    <row r="953" spans="1:24" ht="28" customHeight="1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</row>
    <row r="954" spans="1:24" ht="28" customHeight="1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</row>
    <row r="955" spans="1:24" ht="28" customHeight="1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</row>
    <row r="956" spans="1:24" ht="28" customHeight="1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</row>
    <row r="957" spans="1:24" ht="28" customHeight="1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</row>
    <row r="958" spans="1:24" ht="28" customHeight="1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</row>
    <row r="959" spans="1:24" ht="28" customHeight="1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</row>
    <row r="960" spans="1:24" ht="28" customHeight="1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</row>
    <row r="961" spans="1:24" ht="28" customHeight="1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</row>
    <row r="962" spans="1:24" ht="28" customHeight="1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</row>
    <row r="963" spans="1:24" ht="28" customHeight="1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</row>
    <row r="964" spans="1:24" ht="28" customHeight="1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</row>
    <row r="965" spans="1:24" ht="28" customHeight="1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</row>
    <row r="966" spans="1:24" ht="28" customHeight="1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</row>
    <row r="967" spans="1:24" ht="28" customHeight="1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</row>
    <row r="968" spans="1:24" ht="28" customHeight="1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</row>
    <row r="969" spans="1:24" ht="28" customHeight="1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</row>
    <row r="970" spans="1:24" ht="28" customHeight="1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</row>
    <row r="971" spans="1:24" ht="28" customHeight="1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</row>
    <row r="972" spans="1:24" ht="28" customHeight="1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</row>
    <row r="973" spans="1:24" ht="28" customHeight="1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</row>
    <row r="974" spans="1:24" ht="28" customHeight="1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</row>
    <row r="975" spans="1:24" ht="28" customHeight="1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</row>
    <row r="976" spans="1:24" ht="28" customHeight="1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</row>
    <row r="977" spans="1:24" ht="28" customHeight="1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</row>
    <row r="978" spans="1:24" ht="28" customHeight="1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</row>
    <row r="979" spans="1:24" ht="28" customHeight="1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</row>
    <row r="980" spans="1:24" ht="28" customHeight="1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</row>
    <row r="981" spans="1:24" ht="28" customHeight="1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</row>
    <row r="982" spans="1:24" ht="28" customHeight="1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</row>
    <row r="983" spans="1:24" ht="28" customHeight="1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</row>
    <row r="984" spans="1:24" ht="28" customHeight="1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</row>
    <row r="985" spans="1:24" ht="28" customHeight="1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</row>
    <row r="986" spans="1:24" ht="28" customHeight="1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</row>
    <row r="987" spans="1:24" ht="28" customHeight="1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</row>
    <row r="988" spans="1:24" ht="28" customHeight="1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</row>
    <row r="989" spans="1:24" ht="28" customHeight="1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</row>
    <row r="990" spans="1:24" ht="28" customHeight="1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</row>
    <row r="991" spans="1:24" ht="28" customHeight="1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</row>
    <row r="992" spans="1:24" ht="28" customHeight="1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</row>
    <row r="993" spans="1:24" ht="28" customHeight="1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</row>
    <row r="994" spans="1:24" ht="28" customHeight="1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</row>
    <row r="995" spans="1:24" ht="28" customHeight="1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</row>
    <row r="996" spans="1:24" ht="28" customHeight="1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</row>
    <row r="997" spans="1:24" ht="28" customHeight="1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</row>
    <row r="998" spans="1:24" ht="28" customHeight="1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</row>
    <row r="999" spans="1:24" ht="28" customHeight="1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</row>
    <row r="1000" spans="1:24" ht="28" customHeight="1" x14ac:dyDescent="0.25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abSelected="1" topLeftCell="A7" workbookViewId="0">
      <selection activeCell="C17" sqref="C17"/>
    </sheetView>
  </sheetViews>
  <sheetFormatPr baseColWidth="10" defaultColWidth="15.83203125" defaultRowHeight="24" customHeight="1" x14ac:dyDescent="0.15"/>
  <cols>
    <col min="2" max="2" width="45.5" bestFit="1" customWidth="1"/>
  </cols>
  <sheetData>
    <row r="1" spans="1:25" ht="24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" customHeight="1" x14ac:dyDescent="0.25">
      <c r="A2" s="2"/>
      <c r="B2" s="36" t="s">
        <v>80</v>
      </c>
      <c r="C2" s="37">
        <v>2023</v>
      </c>
      <c r="D2" s="37">
        <v>2024</v>
      </c>
      <c r="E2" s="37">
        <v>2025</v>
      </c>
      <c r="F2" s="37">
        <v>2026</v>
      </c>
      <c r="G2" s="37">
        <v>2027</v>
      </c>
      <c r="H2" s="37">
        <v>2028</v>
      </c>
      <c r="I2" s="37">
        <v>2029</v>
      </c>
      <c r="J2" s="37">
        <v>2030</v>
      </c>
      <c r="K2" s="37">
        <v>2031</v>
      </c>
      <c r="L2" s="37">
        <v>2032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4" customHeight="1" x14ac:dyDescent="0.2">
      <c r="A3" s="2"/>
      <c r="B3" s="34" t="s">
        <v>81</v>
      </c>
      <c r="C3" s="35">
        <f>175+1749+13119.9</f>
        <v>15043.9</v>
      </c>
      <c r="D3" s="35">
        <f t="shared" ref="D3:L3" si="0">C5</f>
        <v>13293.9</v>
      </c>
      <c r="E3" s="35">
        <f t="shared" si="0"/>
        <v>12205.9</v>
      </c>
      <c r="F3" s="35">
        <f t="shared" si="0"/>
        <v>10955.9</v>
      </c>
      <c r="G3" s="35">
        <f t="shared" si="0"/>
        <v>10455.9</v>
      </c>
      <c r="H3" s="35">
        <f t="shared" si="0"/>
        <v>9955.9</v>
      </c>
      <c r="I3" s="35">
        <f t="shared" si="0"/>
        <v>7965.9</v>
      </c>
      <c r="J3" s="35">
        <f t="shared" si="0"/>
        <v>5975.9</v>
      </c>
      <c r="K3" s="35">
        <f t="shared" si="0"/>
        <v>3985.8999999999996</v>
      </c>
      <c r="L3" s="35">
        <f t="shared" si="0"/>
        <v>1995.8999999999996</v>
      </c>
      <c r="M3" s="2" t="s">
        <v>140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4" customHeight="1" x14ac:dyDescent="0.2">
      <c r="A4" s="2"/>
      <c r="B4" s="34" t="s">
        <v>82</v>
      </c>
      <c r="C4" s="34">
        <v>-1750</v>
      </c>
      <c r="D4" s="34">
        <v>-1088</v>
      </c>
      <c r="E4" s="34">
        <v>-1250</v>
      </c>
      <c r="F4" s="34">
        <v>-500</v>
      </c>
      <c r="G4" s="34">
        <v>-500</v>
      </c>
      <c r="H4" s="34">
        <v>-1990</v>
      </c>
      <c r="I4" s="34">
        <v>-1990</v>
      </c>
      <c r="J4" s="34">
        <v>-1990</v>
      </c>
      <c r="K4" s="34">
        <v>-1990</v>
      </c>
      <c r="L4" s="34">
        <v>-1990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4" customHeight="1" x14ac:dyDescent="0.2">
      <c r="A5" s="2"/>
      <c r="B5" s="34" t="s">
        <v>83</v>
      </c>
      <c r="C5" s="100">
        <f t="shared" ref="C5:L5" si="1">C3+C4</f>
        <v>13293.9</v>
      </c>
      <c r="D5" s="100">
        <f t="shared" si="1"/>
        <v>12205.9</v>
      </c>
      <c r="E5" s="100">
        <f t="shared" si="1"/>
        <v>10955.9</v>
      </c>
      <c r="F5" s="100">
        <f t="shared" si="1"/>
        <v>10455.9</v>
      </c>
      <c r="G5" s="100">
        <f t="shared" si="1"/>
        <v>9955.9</v>
      </c>
      <c r="H5" s="100">
        <f t="shared" si="1"/>
        <v>7965.9</v>
      </c>
      <c r="I5" s="100">
        <f t="shared" si="1"/>
        <v>5975.9</v>
      </c>
      <c r="J5" s="100">
        <f t="shared" si="1"/>
        <v>3985.8999999999996</v>
      </c>
      <c r="K5" s="100">
        <f t="shared" si="1"/>
        <v>1995.8999999999996</v>
      </c>
      <c r="L5" s="100">
        <f t="shared" si="1"/>
        <v>5.8999999999996362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" customHeight="1" x14ac:dyDescent="0.2">
      <c r="A6" s="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4" customHeight="1" thickBot="1" x14ac:dyDescent="0.25">
      <c r="A7" s="2"/>
      <c r="B7" s="38" t="s">
        <v>84</v>
      </c>
      <c r="C7" s="39">
        <f t="shared" ref="C7:L7" si="2">(C3+C5)/2</f>
        <v>14168.9</v>
      </c>
      <c r="D7" s="39">
        <f t="shared" si="2"/>
        <v>12749.9</v>
      </c>
      <c r="E7" s="39">
        <f t="shared" si="2"/>
        <v>11580.9</v>
      </c>
      <c r="F7" s="39">
        <f t="shared" si="2"/>
        <v>10705.9</v>
      </c>
      <c r="G7" s="39">
        <f t="shared" si="2"/>
        <v>10205.9</v>
      </c>
      <c r="H7" s="39">
        <f t="shared" si="2"/>
        <v>8960.9</v>
      </c>
      <c r="I7" s="39">
        <f t="shared" si="2"/>
        <v>6970.9</v>
      </c>
      <c r="J7" s="39">
        <f t="shared" si="2"/>
        <v>4980.8999999999996</v>
      </c>
      <c r="K7" s="39">
        <f t="shared" si="2"/>
        <v>2990.8999999999996</v>
      </c>
      <c r="L7" s="39">
        <f t="shared" si="2"/>
        <v>1000.8999999999996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4" customHeight="1" x14ac:dyDescent="0.2">
      <c r="A8" s="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4" customHeight="1" x14ac:dyDescent="0.2">
      <c r="A9" s="2"/>
      <c r="B9" s="40" t="s">
        <v>85</v>
      </c>
      <c r="C9" s="100">
        <f>C7*$C$11</f>
        <v>440.22772299999997</v>
      </c>
      <c r="D9" s="100">
        <f t="shared" ref="D9:L9" si="3">D7*$C$11</f>
        <v>396.13939299999998</v>
      </c>
      <c r="E9" s="100">
        <f t="shared" si="3"/>
        <v>359.81856299999998</v>
      </c>
      <c r="F9" s="100">
        <f t="shared" si="3"/>
        <v>332.63231300000001</v>
      </c>
      <c r="G9" s="100">
        <f t="shared" si="3"/>
        <v>317.09731299999999</v>
      </c>
      <c r="H9" s="100">
        <f t="shared" si="3"/>
        <v>278.41516300000001</v>
      </c>
      <c r="I9" s="100">
        <f t="shared" si="3"/>
        <v>216.58586299999999</v>
      </c>
      <c r="J9" s="100">
        <f t="shared" si="3"/>
        <v>154.756563</v>
      </c>
      <c r="K9" s="100">
        <f t="shared" si="3"/>
        <v>92.927262999999996</v>
      </c>
      <c r="L9" s="100">
        <f t="shared" si="3"/>
        <v>31.097962999999989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4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4" customHeight="1" x14ac:dyDescent="0.2">
      <c r="A11" s="2"/>
      <c r="B11" s="42" t="s">
        <v>86</v>
      </c>
      <c r="C11" s="41">
        <v>3.107E-2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4" customHeight="1" x14ac:dyDescent="0.2">
      <c r="A12" s="2"/>
      <c r="B12" s="2" t="s">
        <v>128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4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4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4" customHeight="1" x14ac:dyDescent="0.25">
      <c r="A15" s="2"/>
      <c r="B15" s="36" t="s">
        <v>87</v>
      </c>
      <c r="C15" s="37">
        <v>2023</v>
      </c>
      <c r="D15" s="37">
        <v>2024</v>
      </c>
      <c r="E15" s="37">
        <v>2025</v>
      </c>
      <c r="F15" s="37">
        <v>2026</v>
      </c>
      <c r="G15" s="37">
        <v>2027</v>
      </c>
      <c r="H15" s="37">
        <v>2028</v>
      </c>
      <c r="I15" s="37">
        <v>2029</v>
      </c>
      <c r="J15" s="37">
        <v>2030</v>
      </c>
      <c r="K15" s="37">
        <v>2031</v>
      </c>
      <c r="L15" s="37">
        <v>2032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4" customHeight="1" x14ac:dyDescent="0.2">
      <c r="A16" s="2"/>
      <c r="B16" s="34" t="s">
        <v>88</v>
      </c>
      <c r="C16" s="35">
        <f>6560.5+155.9</f>
        <v>6716.4</v>
      </c>
      <c r="D16" s="35">
        <f t="shared" ref="D16:L16" si="4">C19</f>
        <v>7447.8144399880603</v>
      </c>
      <c r="E16" s="35">
        <f t="shared" si="4"/>
        <v>8391.7069797105487</v>
      </c>
      <c r="F16" s="35">
        <f t="shared" si="4"/>
        <v>9586.2752086730216</v>
      </c>
      <c r="G16" s="35">
        <f t="shared" si="4"/>
        <v>11052.964503064524</v>
      </c>
      <c r="H16" s="35">
        <f t="shared" si="4"/>
        <v>12860.37792725812</v>
      </c>
      <c r="I16" s="35">
        <f t="shared" si="4"/>
        <v>15040.598658017712</v>
      </c>
      <c r="J16" s="35">
        <f t="shared" si="4"/>
        <v>17698.372295918736</v>
      </c>
      <c r="K16" s="35">
        <f t="shared" si="4"/>
        <v>20879.159101163674</v>
      </c>
      <c r="L16" s="35">
        <f t="shared" si="4"/>
        <v>24741.054180555773</v>
      </c>
      <c r="M16" s="2" t="s">
        <v>141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4" customHeight="1" x14ac:dyDescent="0.2">
      <c r="A17" s="2"/>
      <c r="B17" s="34" t="s">
        <v>89</v>
      </c>
      <c r="C17" s="43">
        <f>'Financial Statement'!G40</f>
        <v>2179.3144399880603</v>
      </c>
      <c r="D17" s="43">
        <f>'Financial Statement'!H40</f>
        <v>2575.2909363697586</v>
      </c>
      <c r="E17" s="43">
        <f>'Financial Statement'!I40</f>
        <v>3058.1978865590331</v>
      </c>
      <c r="F17" s="43">
        <f>'Financial Statement'!J40</f>
        <v>3615.452187578298</v>
      </c>
      <c r="G17" s="43">
        <f>'Financial Statement'!K40</f>
        <v>4307.5483766571651</v>
      </c>
      <c r="H17" s="43">
        <f>'Financial Statement'!L40</f>
        <v>5104.2037290495928</v>
      </c>
      <c r="I17" s="43">
        <f>'Financial Statement'!M40</f>
        <v>6098.443844408187</v>
      </c>
      <c r="J17" s="43">
        <f>'Financial Statement'!N40</f>
        <v>7239.821130840106</v>
      </c>
      <c r="K17" s="43">
        <f>'Financial Statement'!O40</f>
        <v>8671.7050762271083</v>
      </c>
      <c r="L17" s="43">
        <f>'Financial Statement'!P40</f>
        <v>10310.782618835061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4" customHeight="1" x14ac:dyDescent="0.2">
      <c r="A18" s="2"/>
      <c r="B18" s="34" t="s">
        <v>90</v>
      </c>
      <c r="C18" s="100">
        <f t="shared" ref="C18:L18" si="5">C22*$C$24</f>
        <v>1447.9</v>
      </c>
      <c r="D18" s="100">
        <f t="shared" si="5"/>
        <v>1631.3983966472699</v>
      </c>
      <c r="E18" s="100">
        <f t="shared" si="5"/>
        <v>1863.6296575965605</v>
      </c>
      <c r="F18" s="100">
        <f t="shared" si="5"/>
        <v>2148.7628931867944</v>
      </c>
      <c r="G18" s="100">
        <f t="shared" si="5"/>
        <v>2500.1349524635693</v>
      </c>
      <c r="H18" s="100">
        <f t="shared" si="5"/>
        <v>2923.9829982900005</v>
      </c>
      <c r="I18" s="100">
        <f t="shared" si="5"/>
        <v>3440.6702065071622</v>
      </c>
      <c r="J18" s="100">
        <f t="shared" si="5"/>
        <v>4059.0343255951689</v>
      </c>
      <c r="K18" s="100">
        <f t="shared" si="5"/>
        <v>4809.8099968350089</v>
      </c>
      <c r="L18" s="100">
        <f t="shared" si="5"/>
        <v>5705.1690276499157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4" customHeight="1" thickBot="1" x14ac:dyDescent="0.25">
      <c r="A19" s="2"/>
      <c r="B19" s="44" t="s">
        <v>83</v>
      </c>
      <c r="C19" s="45">
        <f t="shared" ref="C19:L19" si="6">C16+C17-C18</f>
        <v>7447.8144399880603</v>
      </c>
      <c r="D19" s="45">
        <f t="shared" si="6"/>
        <v>8391.7069797105487</v>
      </c>
      <c r="E19" s="45">
        <f t="shared" si="6"/>
        <v>9586.2752086730216</v>
      </c>
      <c r="F19" s="45">
        <f t="shared" si="6"/>
        <v>11052.964503064524</v>
      </c>
      <c r="G19" s="45">
        <f t="shared" si="6"/>
        <v>12860.37792725812</v>
      </c>
      <c r="H19" s="45">
        <f t="shared" si="6"/>
        <v>15040.598658017712</v>
      </c>
      <c r="I19" s="45">
        <f t="shared" si="6"/>
        <v>17698.372295918736</v>
      </c>
      <c r="J19" s="45">
        <f t="shared" si="6"/>
        <v>20879.159101163674</v>
      </c>
      <c r="K19" s="45">
        <f t="shared" si="6"/>
        <v>24741.054180555773</v>
      </c>
      <c r="L19" s="45">
        <f t="shared" si="6"/>
        <v>29346.667771740918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4" customHeight="1" thickTop="1" x14ac:dyDescent="0.2">
      <c r="A20" s="2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2">
      <c r="A21" s="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4" customHeight="1" thickBot="1" x14ac:dyDescent="0.25">
      <c r="A22" s="2"/>
      <c r="B22" s="38" t="s">
        <v>91</v>
      </c>
      <c r="C22" s="39">
        <f t="shared" ref="C22:L22" si="7">(C16+C17)*6/12</f>
        <v>4447.8572199940299</v>
      </c>
      <c r="D22" s="39">
        <f t="shared" si="7"/>
        <v>5011.5526881789092</v>
      </c>
      <c r="E22" s="39">
        <f t="shared" si="7"/>
        <v>5724.9524331347902</v>
      </c>
      <c r="F22" s="39">
        <f t="shared" si="7"/>
        <v>6600.8636981256595</v>
      </c>
      <c r="G22" s="39">
        <f t="shared" si="7"/>
        <v>7680.2564398608447</v>
      </c>
      <c r="H22" s="39">
        <f t="shared" si="7"/>
        <v>8982.2908281538566</v>
      </c>
      <c r="I22" s="39">
        <f t="shared" si="7"/>
        <v>10569.521251212949</v>
      </c>
      <c r="J22" s="39">
        <f t="shared" si="7"/>
        <v>12469.096713379424</v>
      </c>
      <c r="K22" s="39">
        <f t="shared" si="7"/>
        <v>14775.432088695388</v>
      </c>
      <c r="L22" s="39">
        <f t="shared" si="7"/>
        <v>17525.918399695416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4" customHeight="1" x14ac:dyDescent="0.2">
      <c r="A23" s="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4" customHeight="1" x14ac:dyDescent="0.2">
      <c r="A24" s="2"/>
      <c r="B24" s="47" t="s">
        <v>92</v>
      </c>
      <c r="C24" s="46">
        <f>'Financial Statement'!E38/C22</f>
        <v>0.32552753570672027</v>
      </c>
      <c r="D24" s="21"/>
      <c r="E24" s="21"/>
      <c r="F24" s="21"/>
      <c r="G24" s="21"/>
      <c r="H24" s="21"/>
      <c r="I24" s="21"/>
      <c r="J24" s="21"/>
      <c r="K24" s="21"/>
      <c r="L24" s="2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4" customHeight="1" x14ac:dyDescent="0.2">
      <c r="A25" s="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4" customHeight="1" x14ac:dyDescent="0.2">
      <c r="A26" s="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4" customHeight="1" x14ac:dyDescent="0.2">
      <c r="A27" s="2"/>
      <c r="B27" s="21" t="s">
        <v>93</v>
      </c>
      <c r="C27" s="22">
        <f>((6369.5+349.9)+(C16))/2</f>
        <v>6717.9</v>
      </c>
      <c r="D27" s="21"/>
      <c r="E27" s="21"/>
      <c r="F27" s="21"/>
      <c r="G27" s="21"/>
      <c r="H27" s="21"/>
      <c r="I27" s="21"/>
      <c r="J27" s="21"/>
      <c r="K27" s="21"/>
      <c r="L27" s="2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4" customHeight="1" x14ac:dyDescent="0.2">
      <c r="A28" s="2"/>
      <c r="B28" s="21" t="s">
        <v>94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4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4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4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4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4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4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4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4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4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4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4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4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4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4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4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4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4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24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4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4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24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24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24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4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4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4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24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4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24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24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24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24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24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4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4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4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24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24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24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24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24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24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24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24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24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24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24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24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4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4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4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24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4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4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24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4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24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24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4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4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4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24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24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24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4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24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24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24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4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4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4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4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4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24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4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24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24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24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24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24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24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24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24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24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24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24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24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24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24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24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24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24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24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24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24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24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24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24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24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24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24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24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24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24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24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24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24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24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24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24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24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24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24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24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24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24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24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24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24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24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24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24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24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24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24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24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24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24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24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24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24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24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24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24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24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24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24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24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24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24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24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24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24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24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24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24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24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24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24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24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24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24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24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24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24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24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24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24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24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24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24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24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24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24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24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24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24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24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24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24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24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24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24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24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24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24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24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24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24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24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24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24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24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24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24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24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24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24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24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24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24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24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24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24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24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24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24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24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24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24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24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24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24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24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24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24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24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24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24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24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24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24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24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24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24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24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24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24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24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24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24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24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24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24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24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24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24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24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24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24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24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24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24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24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24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24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24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24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24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24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24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24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24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24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24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24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24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24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24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24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24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24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24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24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24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24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24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24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24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24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24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24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24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24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24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24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24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24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24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24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24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24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24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24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24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24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24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24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24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24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24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24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24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24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24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24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24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24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24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24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24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24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24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24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24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24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24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24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24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24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24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24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24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24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24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24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24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24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24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24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24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24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24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24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24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24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24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24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24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24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24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24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24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24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24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24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24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24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24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24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24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24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24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24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24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24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24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24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24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24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24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24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24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24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24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24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24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24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24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24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24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24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24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24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24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24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24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24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24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24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24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24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24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24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24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24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24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24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24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24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24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24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24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24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24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24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24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24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24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24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24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24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24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24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24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24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24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24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24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24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24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24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24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24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24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24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24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24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24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24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24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24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24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24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24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24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24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24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24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24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24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24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24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24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24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24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24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24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24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24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24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24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24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24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24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24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24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24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24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24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24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24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24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24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24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24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24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24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24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24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24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24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24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24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24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24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24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24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24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24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24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24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24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24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24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24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24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24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24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24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24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24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24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24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24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24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24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24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24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24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24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24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24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24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24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24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24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24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24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24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24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24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24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24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24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24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24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24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24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24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24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24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24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24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24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24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24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24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24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24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24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24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24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24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24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24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24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24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24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24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24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24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24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24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24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24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24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24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24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24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24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24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24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24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24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24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24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24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24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24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24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24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24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24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24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24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24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24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24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24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24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24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24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24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24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24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24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24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24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24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24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24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24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24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24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24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24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24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24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24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24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24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24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24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24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24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24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24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24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24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24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24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24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24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24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24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24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24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24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24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24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24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24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24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24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24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24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24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24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24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24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24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24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24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24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24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24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24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24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24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24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24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24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24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24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24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24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24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24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24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24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24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24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24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24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24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24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24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24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24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24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24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24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24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24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24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24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24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24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24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24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24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24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24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24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24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24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24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24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24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24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24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24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24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24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24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24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24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24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24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24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24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24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24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24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24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24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24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24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24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24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24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24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24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24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24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24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24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24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24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24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24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24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24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24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24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24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24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24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24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24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24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24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24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24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24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24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24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24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24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24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24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24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24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24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24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24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24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24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24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24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24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24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24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24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24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24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24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24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24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24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24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24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24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24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24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24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24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24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24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24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24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24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24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24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24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24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24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24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24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24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24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24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24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24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24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24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24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24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24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24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24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24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24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24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24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24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24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24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24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24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24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24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24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24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24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24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24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24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24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24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24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24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24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24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24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24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24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24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24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24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24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24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24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24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24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24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24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24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24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24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24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24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24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24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24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24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24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24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24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24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24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24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24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24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24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24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24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24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24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24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24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24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24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24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24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24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24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24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24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24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24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24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24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24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24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24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24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24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24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24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24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24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24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24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24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24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24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24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24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24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24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24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24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24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24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24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24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24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24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24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24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24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24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24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24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24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24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24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24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24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24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24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24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24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24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24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24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24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24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24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24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24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24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24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24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24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24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24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24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24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24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24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24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24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24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24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24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24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24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24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24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24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24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24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24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24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24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24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24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24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24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24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24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24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24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24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24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24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24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24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24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24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24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24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24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24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24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24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24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24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24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24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24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24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24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24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24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24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24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24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24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24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24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24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24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24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24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24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24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24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24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24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24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24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24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24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24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24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24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24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24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24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24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24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24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24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24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24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24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24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24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24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24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24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24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24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24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24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24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24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24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24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24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24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24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24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24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24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24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24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24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6"/>
  <sheetViews>
    <sheetView showGridLines="0" zoomScale="94" workbookViewId="0">
      <selection activeCell="E13" sqref="E13"/>
    </sheetView>
  </sheetViews>
  <sheetFormatPr baseColWidth="10" defaultColWidth="18.83203125" defaultRowHeight="24" customHeight="1" x14ac:dyDescent="0.15"/>
  <cols>
    <col min="1" max="1" width="64" bestFit="1" customWidth="1"/>
  </cols>
  <sheetData>
    <row r="1" spans="1:26" s="33" customFormat="1" ht="24" customHeight="1" x14ac:dyDescent="0.3">
      <c r="A1" s="133" t="s">
        <v>108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2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x14ac:dyDescent="0.25">
      <c r="A3" s="70" t="s">
        <v>127</v>
      </c>
      <c r="B3" s="71">
        <v>2019</v>
      </c>
      <c r="C3" s="71">
        <v>2020</v>
      </c>
      <c r="D3" s="71">
        <v>2021</v>
      </c>
      <c r="E3" s="71">
        <v>2022</v>
      </c>
      <c r="F3" s="1"/>
      <c r="G3" s="71">
        <v>2023</v>
      </c>
      <c r="H3" s="71">
        <v>2024</v>
      </c>
      <c r="I3" s="71">
        <v>2025</v>
      </c>
      <c r="J3" s="71">
        <v>2026</v>
      </c>
      <c r="K3" s="71">
        <v>2027</v>
      </c>
      <c r="L3" s="71">
        <v>2028</v>
      </c>
      <c r="M3" s="71">
        <v>2029</v>
      </c>
      <c r="N3" s="71">
        <v>2030</v>
      </c>
      <c r="O3" s="71">
        <v>2031</v>
      </c>
      <c r="P3" s="71">
        <v>2032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x14ac:dyDescent="0.2">
      <c r="A4" s="1" t="s">
        <v>75</v>
      </c>
      <c r="B4" s="74">
        <v>21544.400000000001</v>
      </c>
      <c r="C4" s="74">
        <v>19164.599999999999</v>
      </c>
      <c r="D4" s="74">
        <v>24607</v>
      </c>
      <c r="E4" s="74">
        <v>26576.1</v>
      </c>
      <c r="F4" s="27"/>
      <c r="G4" s="75">
        <f>G17*G21</f>
        <v>31680.055844837596</v>
      </c>
      <c r="H4" s="75">
        <f t="shared" ref="H4:P4" si="0">H17*H21</f>
        <v>37474.609160270054</v>
      </c>
      <c r="I4" s="75">
        <f t="shared" si="0"/>
        <v>44329.035863863246</v>
      </c>
      <c r="J4" s="75">
        <f t="shared" si="0"/>
        <v>52437.195868155999</v>
      </c>
      <c r="K4" s="75">
        <f t="shared" si="0"/>
        <v>62028.407722642623</v>
      </c>
      <c r="L4" s="75">
        <f t="shared" si="0"/>
        <v>73373.934301908579</v>
      </c>
      <c r="M4" s="75">
        <f t="shared" si="0"/>
        <v>86794.654781627411</v>
      </c>
      <c r="N4" s="75">
        <f t="shared" si="0"/>
        <v>102670.13988462008</v>
      </c>
      <c r="O4" s="75">
        <f t="shared" si="0"/>
        <v>121449.38706708</v>
      </c>
      <c r="P4" s="75">
        <f t="shared" si="0"/>
        <v>143663.51926222464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x14ac:dyDescent="0.2">
      <c r="A5" s="1" t="s">
        <v>120</v>
      </c>
      <c r="B5" s="74">
        <v>2875</v>
      </c>
      <c r="C5" s="74">
        <v>2327.1</v>
      </c>
      <c r="D5" s="74">
        <v>2683.6</v>
      </c>
      <c r="E5" s="74">
        <v>3655.5</v>
      </c>
      <c r="F5" s="27"/>
      <c r="G5" s="75">
        <f t="shared" ref="G5:P5" si="1">G18*G22</f>
        <v>4588.2108609985353</v>
      </c>
      <c r="H5" s="75">
        <f t="shared" si="1"/>
        <v>5750.3126546575295</v>
      </c>
      <c r="I5" s="75">
        <f t="shared" si="1"/>
        <v>7379.7660119953025</v>
      </c>
      <c r="J5" s="75">
        <f t="shared" si="1"/>
        <v>9061.6466178705159</v>
      </c>
      <c r="K5" s="75">
        <f t="shared" si="1"/>
        <v>11629.4253442217</v>
      </c>
      <c r="L5" s="75">
        <f t="shared" si="1"/>
        <v>14279.821699895834</v>
      </c>
      <c r="M5" s="75">
        <f t="shared" si="1"/>
        <v>18326.263138559807</v>
      </c>
      <c r="N5" s="75">
        <f t="shared" si="1"/>
        <v>22502.897804321514</v>
      </c>
      <c r="O5" s="75">
        <f t="shared" si="1"/>
        <v>28879.494100764863</v>
      </c>
      <c r="P5" s="75">
        <f t="shared" si="1"/>
        <v>35461.255765919806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x14ac:dyDescent="0.2">
      <c r="A6" s="1" t="s">
        <v>121</v>
      </c>
      <c r="B6" s="74">
        <v>2089.1999999999998</v>
      </c>
      <c r="C6" s="74">
        <v>2026.3</v>
      </c>
      <c r="D6" s="74">
        <v>1770</v>
      </c>
      <c r="E6" s="74">
        <v>2018.7</v>
      </c>
      <c r="F6" s="27"/>
      <c r="G6" s="75">
        <v>2018.7</v>
      </c>
      <c r="H6" s="75">
        <v>2018.7</v>
      </c>
      <c r="I6" s="75">
        <v>2018.7</v>
      </c>
      <c r="J6" s="75">
        <v>2018.7</v>
      </c>
      <c r="K6" s="75">
        <v>2018.7</v>
      </c>
      <c r="L6" s="75">
        <v>2018.7</v>
      </c>
      <c r="M6" s="75">
        <v>2018.7</v>
      </c>
      <c r="N6" s="75">
        <v>2018.7</v>
      </c>
      <c r="O6" s="75">
        <v>2018.7</v>
      </c>
      <c r="P6" s="75">
        <v>2018.7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x14ac:dyDescent="0.2">
      <c r="A7" s="1" t="s">
        <v>109</v>
      </c>
      <c r="B7" s="23"/>
      <c r="C7" s="24">
        <f t="shared" ref="C7:E7" si="2">C6/B6-1</f>
        <v>-3.0107218073903819E-2</v>
      </c>
      <c r="D7" s="24">
        <f t="shared" si="2"/>
        <v>-0.12648669989636285</v>
      </c>
      <c r="E7" s="24">
        <f t="shared" si="2"/>
        <v>0.14050847457627125</v>
      </c>
      <c r="F7" s="93">
        <f>AVERAGE(B7:E7)</f>
        <v>-5.3618144646651418E-3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x14ac:dyDescent="0.2">
      <c r="A8" s="1" t="s">
        <v>110</v>
      </c>
      <c r="B8" s="26">
        <f t="shared" ref="B8:E8" si="3">SUM(B4:B6)</f>
        <v>26508.600000000002</v>
      </c>
      <c r="C8" s="26">
        <f t="shared" si="3"/>
        <v>23517.999999999996</v>
      </c>
      <c r="D8" s="26">
        <f t="shared" si="3"/>
        <v>29060.6</v>
      </c>
      <c r="E8" s="26">
        <f t="shared" si="3"/>
        <v>32250.3</v>
      </c>
      <c r="F8" s="27"/>
      <c r="G8" s="26">
        <f t="shared" ref="G8:P8" si="4">SUM(G4:G6)</f>
        <v>38286.96670583613</v>
      </c>
      <c r="H8" s="26">
        <f t="shared" si="4"/>
        <v>45243.621814927581</v>
      </c>
      <c r="I8" s="26">
        <f t="shared" si="4"/>
        <v>53727.501875858543</v>
      </c>
      <c r="J8" s="26">
        <f t="shared" si="4"/>
        <v>63517.542486026512</v>
      </c>
      <c r="K8" s="26">
        <f t="shared" si="4"/>
        <v>75676.533066864315</v>
      </c>
      <c r="L8" s="26">
        <f t="shared" si="4"/>
        <v>89672.456001804414</v>
      </c>
      <c r="M8" s="26">
        <f t="shared" si="4"/>
        <v>107139.61792018721</v>
      </c>
      <c r="N8" s="26">
        <f t="shared" si="4"/>
        <v>127191.73768894159</v>
      </c>
      <c r="O8" s="26">
        <f t="shared" si="4"/>
        <v>152347.58116784488</v>
      </c>
      <c r="P8" s="26">
        <f t="shared" si="4"/>
        <v>181143.47502814446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x14ac:dyDescent="0.2">
      <c r="A9" s="1"/>
      <c r="B9" s="27"/>
      <c r="C9" s="27"/>
      <c r="D9" s="27"/>
      <c r="E9" s="27"/>
      <c r="F9" s="27"/>
      <c r="G9" s="27"/>
      <c r="H9" s="27"/>
      <c r="I9" s="27"/>
      <c r="J9" s="27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x14ac:dyDescent="0.25">
      <c r="A10" s="70" t="s">
        <v>111</v>
      </c>
      <c r="B10" s="71">
        <v>2019</v>
      </c>
      <c r="C10" s="71">
        <v>2020</v>
      </c>
      <c r="D10" s="71">
        <v>2021</v>
      </c>
      <c r="E10" s="71">
        <v>2022</v>
      </c>
      <c r="F10" s="77" t="s">
        <v>112</v>
      </c>
      <c r="G10" s="71">
        <v>2023</v>
      </c>
      <c r="H10" s="71">
        <v>2024</v>
      </c>
      <c r="I10" s="71">
        <v>2025</v>
      </c>
      <c r="J10" s="71">
        <v>2026</v>
      </c>
      <c r="K10" s="71">
        <v>2027</v>
      </c>
      <c r="L10" s="71">
        <v>2028</v>
      </c>
      <c r="M10" s="71">
        <v>2029</v>
      </c>
      <c r="N10" s="71">
        <v>2030</v>
      </c>
      <c r="O10" s="71">
        <v>2031</v>
      </c>
      <c r="P10" s="71">
        <v>2032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x14ac:dyDescent="0.2">
      <c r="A11" s="1" t="s">
        <v>75</v>
      </c>
      <c r="B11" s="74">
        <v>15834</v>
      </c>
      <c r="C11" s="74">
        <v>16637</v>
      </c>
      <c r="D11" s="74">
        <v>17133</v>
      </c>
      <c r="E11" s="74">
        <v>18253</v>
      </c>
      <c r="F11" s="27"/>
      <c r="G11" s="76">
        <f>E11+(E11*F12)</f>
        <v>19140.68989277209</v>
      </c>
      <c r="H11" s="76">
        <f>G11+(G11*H12)</f>
        <v>20071.550406577968</v>
      </c>
      <c r="I11" s="76">
        <f t="shared" ref="I11:P11" si="5">H11+(H11*H12)</f>
        <v>21047.681038703362</v>
      </c>
      <c r="J11" s="76">
        <f t="shared" si="5"/>
        <v>22071.283390335848</v>
      </c>
      <c r="K11" s="76">
        <f t="shared" si="5"/>
        <v>23144.666132137725</v>
      </c>
      <c r="L11" s="76">
        <f t="shared" si="5"/>
        <v>24270.25021130735</v>
      </c>
      <c r="M11" s="76">
        <f t="shared" si="5"/>
        <v>25450.574311873133</v>
      </c>
      <c r="N11" s="76">
        <f t="shared" si="5"/>
        <v>26688.300580535535</v>
      </c>
      <c r="O11" s="76">
        <f t="shared" si="5"/>
        <v>27986.220630971347</v>
      </c>
      <c r="P11" s="76">
        <f t="shared" si="5"/>
        <v>29347.261840142608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x14ac:dyDescent="0.2">
      <c r="A12" s="13" t="s">
        <v>113</v>
      </c>
      <c r="B12" s="28"/>
      <c r="C12" s="24">
        <f t="shared" ref="C12:E12" si="6">C11/B11-1</f>
        <v>5.0713654161929966E-2</v>
      </c>
      <c r="D12" s="24">
        <f t="shared" si="6"/>
        <v>2.9813067259722326E-2</v>
      </c>
      <c r="E12" s="24">
        <f t="shared" si="6"/>
        <v>6.5370921613260968E-2</v>
      </c>
      <c r="F12" s="94">
        <f>AVERAGE(C12:E12)</f>
        <v>4.8632547678304418E-2</v>
      </c>
      <c r="G12" s="24">
        <v>4.8632547678304418E-2</v>
      </c>
      <c r="H12" s="24">
        <v>4.8632547678304418E-2</v>
      </c>
      <c r="I12" s="24">
        <v>4.8632547678304418E-2</v>
      </c>
      <c r="J12" s="24">
        <v>4.8632547678304418E-2</v>
      </c>
      <c r="K12" s="24">
        <v>4.8632547678304418E-2</v>
      </c>
      <c r="L12" s="24">
        <v>4.8632547678304418E-2</v>
      </c>
      <c r="M12" s="24">
        <v>4.8632547678304418E-2</v>
      </c>
      <c r="N12" s="24">
        <v>4.8632547678304418E-2</v>
      </c>
      <c r="O12" s="24">
        <v>4.8632547678304418E-2</v>
      </c>
      <c r="P12" s="24">
        <v>4.8632547678304418E-2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" customHeight="1" x14ac:dyDescent="0.2">
      <c r="A13" s="1" t="s">
        <v>120</v>
      </c>
      <c r="B13" s="74">
        <v>15422</v>
      </c>
      <c r="C13" s="74">
        <v>16023</v>
      </c>
      <c r="D13" s="74">
        <v>16700</v>
      </c>
      <c r="E13" s="74">
        <v>17458</v>
      </c>
      <c r="F13" s="28"/>
      <c r="G13" s="76">
        <f>E13+(E13*F14)</f>
        <v>18194.793281728169</v>
      </c>
      <c r="H13" s="76">
        <f>G13+(G13*H14)</f>
        <v>18962.682011961308</v>
      </c>
      <c r="I13" s="76">
        <f>G13+(G13*H14)</f>
        <v>18962.682011961308</v>
      </c>
      <c r="J13" s="76">
        <f>I13+(I13*J14)</f>
        <v>19762.978535615832</v>
      </c>
      <c r="K13" s="76">
        <f>I13+(I13*J14)</f>
        <v>19762.978535615832</v>
      </c>
      <c r="L13" s="76">
        <f>K13+(K13*L14)</f>
        <v>20597.05058350103</v>
      </c>
      <c r="M13" s="76">
        <f>K13+(K13*L14)</f>
        <v>20597.05058350103</v>
      </c>
      <c r="N13" s="76">
        <f>M13+(M13*N14)</f>
        <v>21466.323609812109</v>
      </c>
      <c r="O13" s="76">
        <f>M13+(M13*N14)</f>
        <v>21466.323609812109</v>
      </c>
      <c r="P13" s="76">
        <f>O13+(O13*P14)</f>
        <v>22372.283228274267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" customHeight="1" x14ac:dyDescent="0.2">
      <c r="A14" s="13" t="s">
        <v>113</v>
      </c>
      <c r="B14" s="28"/>
      <c r="C14" s="24">
        <f t="shared" ref="C14:E14" si="7">C13/B13-1</f>
        <v>3.8970302165737269E-2</v>
      </c>
      <c r="D14" s="24">
        <f t="shared" si="7"/>
        <v>4.2251763090557226E-2</v>
      </c>
      <c r="E14" s="24">
        <f t="shared" si="7"/>
        <v>4.5389221556886294E-2</v>
      </c>
      <c r="F14" s="94">
        <f>AVERAGE(C14:E14)</f>
        <v>4.2203762271060263E-2</v>
      </c>
      <c r="G14" s="29">
        <f t="shared" ref="G14:P14" si="8">$F$14</f>
        <v>4.2203762271060263E-2</v>
      </c>
      <c r="H14" s="29">
        <f t="shared" si="8"/>
        <v>4.2203762271060263E-2</v>
      </c>
      <c r="I14" s="29">
        <f t="shared" si="8"/>
        <v>4.2203762271060263E-2</v>
      </c>
      <c r="J14" s="29">
        <f t="shared" si="8"/>
        <v>4.2203762271060263E-2</v>
      </c>
      <c r="K14" s="29">
        <f t="shared" si="8"/>
        <v>4.2203762271060263E-2</v>
      </c>
      <c r="L14" s="29">
        <f t="shared" si="8"/>
        <v>4.2203762271060263E-2</v>
      </c>
      <c r="M14" s="29">
        <f t="shared" si="8"/>
        <v>4.2203762271060263E-2</v>
      </c>
      <c r="N14" s="29">
        <f t="shared" si="8"/>
        <v>4.2203762271060263E-2</v>
      </c>
      <c r="O14" s="29">
        <f t="shared" si="8"/>
        <v>4.2203762271060263E-2</v>
      </c>
      <c r="P14" s="29">
        <f t="shared" si="8"/>
        <v>4.2203762271060263E-2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" customHeight="1" x14ac:dyDescent="0.2">
      <c r="A15" s="1"/>
      <c r="B15" s="27"/>
      <c r="C15" s="27"/>
      <c r="D15" s="27"/>
      <c r="E15" s="27"/>
      <c r="F15" s="27"/>
      <c r="G15" s="27"/>
      <c r="H15" s="27"/>
      <c r="I15" s="27"/>
      <c r="J15" s="27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" customHeight="1" x14ac:dyDescent="0.25">
      <c r="A16" s="70" t="s">
        <v>114</v>
      </c>
      <c r="B16" s="71">
        <v>2019</v>
      </c>
      <c r="C16" s="71">
        <v>2020</v>
      </c>
      <c r="D16" s="71">
        <v>2021</v>
      </c>
      <c r="E16" s="71">
        <v>2022</v>
      </c>
      <c r="F16" s="95"/>
      <c r="G16" s="71">
        <v>2023</v>
      </c>
      <c r="H16" s="71">
        <v>2024</v>
      </c>
      <c r="I16" s="71">
        <v>2025</v>
      </c>
      <c r="J16" s="71">
        <v>2026</v>
      </c>
      <c r="K16" s="71">
        <v>2027</v>
      </c>
      <c r="L16" s="71">
        <v>2028</v>
      </c>
      <c r="M16" s="71">
        <v>2029</v>
      </c>
      <c r="N16" s="71">
        <v>2030</v>
      </c>
      <c r="O16" s="71">
        <v>2031</v>
      </c>
      <c r="P16" s="71">
        <v>2032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" customHeight="1" x14ac:dyDescent="0.2">
      <c r="A17" s="1" t="s">
        <v>75</v>
      </c>
      <c r="B17" s="27"/>
      <c r="C17" s="27">
        <f t="shared" ref="C17:E17" si="9">AVERAGE(B11:C11)</f>
        <v>16235.5</v>
      </c>
      <c r="D17" s="27">
        <f t="shared" si="9"/>
        <v>16885</v>
      </c>
      <c r="E17" s="27">
        <f t="shared" si="9"/>
        <v>17693</v>
      </c>
      <c r="F17" s="27"/>
      <c r="G17" s="30">
        <f>AVERAGE(E11,G11)</f>
        <v>18696.844946386045</v>
      </c>
      <c r="H17" s="30">
        <f t="shared" ref="H17:P17" si="10">AVERAGE(G11:H11)</f>
        <v>19606.120149675029</v>
      </c>
      <c r="I17" s="30">
        <f t="shared" si="10"/>
        <v>20559.615722640665</v>
      </c>
      <c r="J17" s="30">
        <f t="shared" si="10"/>
        <v>21559.482214519605</v>
      </c>
      <c r="K17" s="30">
        <f t="shared" si="10"/>
        <v>22607.974761236786</v>
      </c>
      <c r="L17" s="30">
        <f t="shared" si="10"/>
        <v>23707.458171722537</v>
      </c>
      <c r="M17" s="30">
        <f t="shared" si="10"/>
        <v>24860.412261590242</v>
      </c>
      <c r="N17" s="30">
        <f t="shared" si="10"/>
        <v>26069.437446204334</v>
      </c>
      <c r="O17" s="30">
        <f t="shared" si="10"/>
        <v>27337.260605753443</v>
      </c>
      <c r="P17" s="30">
        <f t="shared" si="10"/>
        <v>28666.741235556976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 x14ac:dyDescent="0.2">
      <c r="A18" s="1" t="s">
        <v>120</v>
      </c>
      <c r="B18" s="27"/>
      <c r="C18" s="27">
        <f t="shared" ref="C18:E18" si="11">AVERAGE(B13:C13)</f>
        <v>15722.5</v>
      </c>
      <c r="D18" s="27">
        <f t="shared" si="11"/>
        <v>16361.5</v>
      </c>
      <c r="E18" s="27">
        <f t="shared" si="11"/>
        <v>17079</v>
      </c>
      <c r="F18" s="27"/>
      <c r="G18" s="30">
        <f>AVERAGE(E13,G13)</f>
        <v>17826.396640864084</v>
      </c>
      <c r="H18" s="30">
        <f t="shared" ref="H18:P18" si="12">AVERAGE(G13,H13)</f>
        <v>18578.73764684474</v>
      </c>
      <c r="I18" s="30">
        <f t="shared" si="12"/>
        <v>18962.682011961308</v>
      </c>
      <c r="J18" s="30">
        <f t="shared" si="12"/>
        <v>19362.830273788568</v>
      </c>
      <c r="K18" s="30">
        <f t="shared" si="12"/>
        <v>19762.978535615832</v>
      </c>
      <c r="L18" s="30">
        <f t="shared" si="12"/>
        <v>20180.014559558433</v>
      </c>
      <c r="M18" s="30">
        <f t="shared" si="12"/>
        <v>20597.05058350103</v>
      </c>
      <c r="N18" s="30">
        <f t="shared" si="12"/>
        <v>21031.687096656569</v>
      </c>
      <c r="O18" s="30">
        <f t="shared" si="12"/>
        <v>21466.323609812109</v>
      </c>
      <c r="P18" s="30">
        <f t="shared" si="12"/>
        <v>21919.303419043186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" customHeight="1" x14ac:dyDescent="0.2">
      <c r="A19" s="1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" customHeight="1" x14ac:dyDescent="0.25">
      <c r="A20" s="70" t="s">
        <v>126</v>
      </c>
      <c r="B20" s="71">
        <v>2019</v>
      </c>
      <c r="C20" s="71">
        <v>2020</v>
      </c>
      <c r="D20" s="71">
        <v>2021</v>
      </c>
      <c r="E20" s="71">
        <v>2022</v>
      </c>
      <c r="F20" s="77" t="s">
        <v>112</v>
      </c>
      <c r="G20" s="71">
        <v>2023</v>
      </c>
      <c r="H20" s="71">
        <v>2024</v>
      </c>
      <c r="I20" s="71">
        <v>2025</v>
      </c>
      <c r="J20" s="71">
        <v>2026</v>
      </c>
      <c r="K20" s="71">
        <v>2027</v>
      </c>
      <c r="L20" s="71">
        <v>2028</v>
      </c>
      <c r="M20" s="71">
        <v>2029</v>
      </c>
      <c r="N20" s="71">
        <v>2030</v>
      </c>
      <c r="O20" s="71">
        <v>2031</v>
      </c>
      <c r="P20" s="71">
        <v>2032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" customHeight="1" x14ac:dyDescent="0.2">
      <c r="A21" s="1" t="s">
        <v>75</v>
      </c>
      <c r="B21" s="27"/>
      <c r="C21" s="31">
        <f t="shared" ref="C21:E21" si="13">C4/C17</f>
        <v>1.1804132918604293</v>
      </c>
      <c r="D21" s="31">
        <f t="shared" si="13"/>
        <v>1.4573289902280131</v>
      </c>
      <c r="E21" s="31">
        <f t="shared" si="13"/>
        <v>1.5020686147063809</v>
      </c>
      <c r="F21" s="78">
        <f t="shared" ref="F21:F22" si="14">(E21/C21)^(1/2)-1</f>
        <v>0.12804867643862061</v>
      </c>
      <c r="G21" s="76">
        <f>E21*(1+$F$21)</f>
        <v>1.6944065127395254</v>
      </c>
      <c r="H21" s="76">
        <f t="shared" ref="H21:P21" si="15">G21*(1+$F$21)</f>
        <v>1.9113730240448004</v>
      </c>
      <c r="I21" s="76">
        <f t="shared" si="15"/>
        <v>2.1561218099542208</v>
      </c>
      <c r="J21" s="76">
        <f t="shared" si="15"/>
        <v>2.4322103539593019</v>
      </c>
      <c r="K21" s="76">
        <f t="shared" si="15"/>
        <v>2.7436516706040992</v>
      </c>
      <c r="L21" s="76">
        <f t="shared" si="15"/>
        <v>3.0949726356335643</v>
      </c>
      <c r="M21" s="76">
        <f t="shared" si="15"/>
        <v>3.4912797852401916</v>
      </c>
      <c r="N21" s="76">
        <f t="shared" si="15"/>
        <v>3.9383335408171098</v>
      </c>
      <c r="O21" s="76">
        <f t="shared" si="15"/>
        <v>4.4426319380925667</v>
      </c>
      <c r="P21" s="76">
        <f t="shared" si="15"/>
        <v>5.0115050776692636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" customHeight="1" x14ac:dyDescent="0.2">
      <c r="A22" s="1" t="s">
        <v>120</v>
      </c>
      <c r="B22" s="2"/>
      <c r="C22" s="32">
        <f t="shared" ref="C22:E22" si="16">C5/C18</f>
        <v>0.14801081252981396</v>
      </c>
      <c r="D22" s="32">
        <f t="shared" si="16"/>
        <v>0.16401919139443205</v>
      </c>
      <c r="E22" s="32">
        <f t="shared" si="16"/>
        <v>0.21403477955383804</v>
      </c>
      <c r="F22" s="79">
        <f t="shared" si="14"/>
        <v>0.20252870905097153</v>
      </c>
      <c r="G22" s="76">
        <f>E22*(1+$F$22)</f>
        <v>0.25738296714888614</v>
      </c>
      <c r="H22" s="76">
        <f>G22*(1+$F$22)</f>
        <v>0.30951040721725864</v>
      </c>
      <c r="I22" s="76">
        <f>H22*(1+$G$22)</f>
        <v>0.38917311419029665</v>
      </c>
      <c r="J22" s="76">
        <f>I22*(1+$F$22)</f>
        <v>0.46799184260460375</v>
      </c>
      <c r="K22" s="76">
        <f>J22*(1+$G$22)</f>
        <v>0.58844497165565113</v>
      </c>
      <c r="L22" s="76">
        <f>K22*(1+$F$22)</f>
        <v>0.70762197211260569</v>
      </c>
      <c r="M22" s="76">
        <f>L22*(1+$G$22)</f>
        <v>0.88975181491469446</v>
      </c>
      <c r="N22" s="76">
        <f>M22*(1+$F$22)</f>
        <v>1.0699521013651265</v>
      </c>
      <c r="O22" s="76">
        <f>N22*(1+$G$22)</f>
        <v>1.3453395479216685</v>
      </c>
      <c r="P22" s="76">
        <f>O22*(1+$F$22)</f>
        <v>1.6178094297974617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" customHeight="1" x14ac:dyDescent="0.2">
      <c r="A27" s="2"/>
      <c r="B27" s="2"/>
      <c r="C27" s="2"/>
      <c r="D27" s="2"/>
      <c r="E27" s="2"/>
      <c r="F27" s="72" t="s">
        <v>108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4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4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4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4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4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4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4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4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4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4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4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4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4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4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4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4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4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4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4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4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4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4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4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4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4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4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4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4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4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4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4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4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4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4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4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4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4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4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4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4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4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4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4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4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4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4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4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4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4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4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4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4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4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4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4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4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4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4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4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4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4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4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4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4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4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4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4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4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4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4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4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4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4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4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4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4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4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4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4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4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4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4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4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4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4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4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4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4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4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4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4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4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4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4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4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4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4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4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4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4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4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4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4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4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4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4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4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4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4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4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4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4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4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4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4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4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4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4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4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4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4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4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4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4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4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4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4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4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4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4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4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4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4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4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4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4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4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4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4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4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4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4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4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4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4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4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4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4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4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4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4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4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4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4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4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4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4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4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4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4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4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4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4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4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4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4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4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4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4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4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4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4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4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4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4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4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4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4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4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4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4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4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4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4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4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4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4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4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4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4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4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4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4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4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4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4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4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4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4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4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4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4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4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4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4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4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4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4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4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4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4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4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4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4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4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4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4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4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4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4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4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4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4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4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4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4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4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4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4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4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4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4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4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4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4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4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4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4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4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4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4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4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4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4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4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4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4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4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4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4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4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4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4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4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4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4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4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4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4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4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4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4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4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4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4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4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4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4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4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4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4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4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4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4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4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4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4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4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4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4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4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4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4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4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4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4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4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4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4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4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4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4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4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4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4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4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4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4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4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4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4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4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4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4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4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4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4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4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4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4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4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4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4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4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4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4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4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4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4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4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4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4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4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4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4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4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4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4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4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4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4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4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4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4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4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4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4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4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4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4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4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4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4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4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4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4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4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4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4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4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4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4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4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4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4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4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4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4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4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4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4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4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4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4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4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4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4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4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4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4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4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4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4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4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4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4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4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4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4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4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4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4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4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4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4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4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4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4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4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4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4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4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4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4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4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4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4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4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4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4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4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4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4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4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4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4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4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4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4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4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4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4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4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4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4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4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4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4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4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4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4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4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4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4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4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4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4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4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4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4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4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4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4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4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4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4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4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4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4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4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4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4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4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4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4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4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4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4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4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4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4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4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4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4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4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4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4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4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4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4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4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4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4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4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4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4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4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4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4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4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4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4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4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4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4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4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4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4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4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4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4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4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4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4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4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4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4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4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4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4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4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4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4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4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4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4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4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4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4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4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4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4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4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4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4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4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4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4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4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4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4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4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4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4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4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4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4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4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4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4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4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4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4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4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4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4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4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4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4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4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4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4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4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4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4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4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4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4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4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4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4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4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4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4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4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4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4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4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4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4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4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4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4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4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4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4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4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4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4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4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4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4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4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4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4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4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4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4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4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4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4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4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4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4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4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4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4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4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4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4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4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4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4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4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4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4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4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4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4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4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4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4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4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4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4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4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4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4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4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4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4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4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4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4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4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4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4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4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4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4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4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4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4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4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4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4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4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4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4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4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4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4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4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4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4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4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4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4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4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4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4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4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4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4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4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4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4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4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4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4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4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4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4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4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4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4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4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4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4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4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4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4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4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4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4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4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4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4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4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4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4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4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4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4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4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4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4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4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4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4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4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4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4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4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4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4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4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4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4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4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4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4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4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4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4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4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4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4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4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4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4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4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4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4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4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4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4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4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4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4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4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4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4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4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4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4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4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4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4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4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4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4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4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4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4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4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4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4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4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4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4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4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4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4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4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4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4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4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4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4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4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4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4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4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4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4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4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4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4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4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4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4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4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4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4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4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4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4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4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4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4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4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4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4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4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4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4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4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4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4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4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4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4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4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4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4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4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4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4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4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4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4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4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4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4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4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4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4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4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4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4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24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24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24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24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24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24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mergeCells count="1">
    <mergeCell ref="A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S62"/>
  <sheetViews>
    <sheetView showGridLines="0" topLeftCell="F51" workbookViewId="0">
      <selection activeCell="R82" sqref="R82"/>
    </sheetView>
  </sheetViews>
  <sheetFormatPr baseColWidth="10" defaultColWidth="12.6640625" defaultRowHeight="15.75" customHeight="1" x14ac:dyDescent="0.15"/>
  <cols>
    <col min="1" max="1" width="21.6640625" customWidth="1"/>
    <col min="12" max="12" width="21.6640625" customWidth="1"/>
    <col min="13" max="19" width="16.83203125" bestFit="1" customWidth="1"/>
  </cols>
  <sheetData>
    <row r="2" spans="1:9" ht="15.75" customHeight="1" x14ac:dyDescent="0.15">
      <c r="A2" s="14"/>
      <c r="B2" s="15">
        <v>2020</v>
      </c>
      <c r="C2" s="15">
        <v>2021</v>
      </c>
      <c r="D2" s="15">
        <v>2022</v>
      </c>
      <c r="E2" s="15">
        <v>2023</v>
      </c>
      <c r="F2" s="15">
        <v>2024</v>
      </c>
      <c r="G2" s="15">
        <v>2025</v>
      </c>
      <c r="H2" s="15">
        <v>2026</v>
      </c>
      <c r="I2" s="15">
        <v>2027</v>
      </c>
    </row>
    <row r="3" spans="1:9" ht="15.75" customHeight="1" x14ac:dyDescent="0.15">
      <c r="A3" s="16" t="s">
        <v>75</v>
      </c>
      <c r="B3" s="17">
        <v>19164.599999999999</v>
      </c>
      <c r="C3" s="17">
        <v>24607</v>
      </c>
      <c r="D3" s="17">
        <v>26576.1</v>
      </c>
      <c r="E3" s="18">
        <v>31680.055844837596</v>
      </c>
      <c r="F3" s="18">
        <v>37474.609160270054</v>
      </c>
      <c r="G3" s="18">
        <v>44329.035863863246</v>
      </c>
      <c r="H3" s="18">
        <v>52437.195868155999</v>
      </c>
      <c r="I3" s="18">
        <v>62028.407722642623</v>
      </c>
    </row>
    <row r="4" spans="1:9" ht="15.75" customHeight="1" x14ac:dyDescent="0.15">
      <c r="A4" s="16" t="s">
        <v>76</v>
      </c>
      <c r="B4" s="17">
        <v>2327.1</v>
      </c>
      <c r="C4" s="17">
        <v>2683.6</v>
      </c>
      <c r="D4" s="17">
        <v>3655.5</v>
      </c>
      <c r="E4" s="19">
        <v>4588.2108609985353</v>
      </c>
      <c r="F4" s="19">
        <v>5750.3126546575295</v>
      </c>
      <c r="G4" s="19">
        <v>7379.7660119953025</v>
      </c>
      <c r="H4" s="19">
        <v>9061.6466178705159</v>
      </c>
      <c r="I4" s="19">
        <v>11629.4253442217</v>
      </c>
    </row>
    <row r="16" spans="1:9" ht="15.75" customHeight="1" x14ac:dyDescent="0.15">
      <c r="A16" s="14" t="s">
        <v>77</v>
      </c>
    </row>
    <row r="30" spans="1:12" ht="15.75" customHeight="1" x14ac:dyDescent="0.15">
      <c r="A30" s="14" t="s">
        <v>78</v>
      </c>
      <c r="B30" s="20">
        <v>2020</v>
      </c>
      <c r="C30" s="20">
        <v>2021</v>
      </c>
      <c r="D30" s="20">
        <v>2022</v>
      </c>
      <c r="E30" s="20">
        <v>2023</v>
      </c>
      <c r="F30" s="20">
        <v>2024</v>
      </c>
      <c r="G30" s="20">
        <v>2025</v>
      </c>
      <c r="H30" s="20">
        <v>2026</v>
      </c>
      <c r="I30" s="20">
        <v>2027</v>
      </c>
      <c r="K30" s="101" t="s">
        <v>130</v>
      </c>
    </row>
    <row r="31" spans="1:12" ht="15.75" customHeight="1" x14ac:dyDescent="0.15">
      <c r="A31" s="14" t="s">
        <v>79</v>
      </c>
      <c r="B31" s="14">
        <v>5673.9999999999964</v>
      </c>
      <c r="C31" s="14">
        <v>6731.800000000002</v>
      </c>
      <c r="D31" s="14">
        <v>4328.5000000000018</v>
      </c>
      <c r="E31" s="14">
        <v>4644.0122158465092</v>
      </c>
      <c r="F31" s="14">
        <v>6329.8793155608582</v>
      </c>
      <c r="G31" s="14">
        <v>8743.7811079278981</v>
      </c>
      <c r="H31" s="14">
        <v>12927.959218569144</v>
      </c>
      <c r="I31" s="14">
        <v>18443.977865003526</v>
      </c>
      <c r="K31" s="101" t="s">
        <v>131</v>
      </c>
      <c r="L31" s="14">
        <v>108</v>
      </c>
    </row>
    <row r="32" spans="1:12" ht="15.75" customHeight="1" x14ac:dyDescent="0.15">
      <c r="K32" s="101" t="s">
        <v>133</v>
      </c>
      <c r="L32">
        <f>L33-L31</f>
        <v>46</v>
      </c>
    </row>
    <row r="33" spans="1:12" ht="15.75" customHeight="1" x14ac:dyDescent="0.15">
      <c r="K33" s="101" t="s">
        <v>132</v>
      </c>
      <c r="L33">
        <v>154</v>
      </c>
    </row>
    <row r="38" spans="1:12" ht="15.75" customHeight="1" x14ac:dyDescent="0.15">
      <c r="B38" s="20">
        <v>2020</v>
      </c>
      <c r="C38" s="20">
        <v>2021</v>
      </c>
      <c r="D38" s="20">
        <v>2022</v>
      </c>
      <c r="E38" s="20">
        <v>2023</v>
      </c>
      <c r="F38" s="20">
        <v>2024</v>
      </c>
      <c r="G38" s="20">
        <v>2025</v>
      </c>
      <c r="H38" s="20">
        <v>2026</v>
      </c>
      <c r="I38" s="20">
        <v>2027</v>
      </c>
    </row>
    <row r="39" spans="1:12" ht="15.75" customHeight="1" x14ac:dyDescent="0.2">
      <c r="A39" s="101" t="s">
        <v>138</v>
      </c>
      <c r="B39" s="2">
        <v>1923.5</v>
      </c>
      <c r="C39" s="2">
        <v>2119</v>
      </c>
      <c r="D39" s="2">
        <v>2263.3000000000002</v>
      </c>
      <c r="E39" s="75">
        <v>2455.0881484279898</v>
      </c>
      <c r="F39" s="75">
        <v>2663.12809461918</v>
      </c>
      <c r="G39" s="75">
        <v>2888.79698795793</v>
      </c>
      <c r="H39" s="75">
        <v>3133.58867509831</v>
      </c>
      <c r="I39" s="75">
        <v>3399.1235886899899</v>
      </c>
    </row>
    <row r="61" spans="1:19" ht="15.75" customHeight="1" x14ac:dyDescent="0.15">
      <c r="B61" s="15">
        <v>2020</v>
      </c>
      <c r="C61" s="15">
        <v>2021</v>
      </c>
      <c r="D61" s="15">
        <v>2022</v>
      </c>
      <c r="E61" s="15">
        <v>2023</v>
      </c>
      <c r="F61" s="15">
        <v>2024</v>
      </c>
      <c r="G61" s="15">
        <v>2025</v>
      </c>
      <c r="H61" s="15">
        <v>2026</v>
      </c>
      <c r="I61" s="15">
        <v>2027</v>
      </c>
      <c r="L61" s="15">
        <v>2020</v>
      </c>
      <c r="M61" s="15">
        <v>2021</v>
      </c>
      <c r="N61" s="15">
        <v>2022</v>
      </c>
      <c r="O61" s="15">
        <v>2023</v>
      </c>
      <c r="P61" s="15">
        <v>2024</v>
      </c>
      <c r="Q61" s="15">
        <v>2025</v>
      </c>
      <c r="R61" s="15">
        <v>2026</v>
      </c>
      <c r="S61" s="15">
        <v>2027</v>
      </c>
    </row>
    <row r="62" spans="1:19" ht="15.75" customHeight="1" x14ac:dyDescent="0.15">
      <c r="A62" s="101" t="s">
        <v>22</v>
      </c>
      <c r="B62">
        <v>2312.4999999999964</v>
      </c>
      <c r="C62">
        <v>4562.6000000000022</v>
      </c>
      <c r="D62">
        <v>4543.2000000000025</v>
      </c>
      <c r="E62">
        <v>4958.8607962886708</v>
      </c>
      <c r="F62">
        <v>6024.139437723903</v>
      </c>
      <c r="G62">
        <v>7309.500703788075</v>
      </c>
      <c r="H62">
        <v>8781.1196170554722</v>
      </c>
      <c r="I62">
        <v>10594.432823937565</v>
      </c>
      <c r="K62" s="101" t="s">
        <v>139</v>
      </c>
      <c r="L62" s="107">
        <v>23517.999999999996</v>
      </c>
      <c r="M62" s="107">
        <v>29060.6</v>
      </c>
      <c r="N62" s="107">
        <v>32250.3</v>
      </c>
      <c r="O62" s="107">
        <v>38286.96670583613</v>
      </c>
      <c r="P62" s="107">
        <v>45243.621814927581</v>
      </c>
      <c r="Q62" s="107">
        <v>53727.501875858543</v>
      </c>
      <c r="R62" s="107">
        <v>63517.542486026512</v>
      </c>
      <c r="S62" s="107">
        <v>75676.533066864315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Visualisation</vt:lpstr>
      <vt:lpstr>Financial Statement</vt:lpstr>
      <vt:lpstr>Free Cash Flow</vt:lpstr>
      <vt:lpstr>Worksheet</vt:lpstr>
      <vt:lpstr>sales proejction</vt:lpstr>
      <vt:lpstr>workings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Shivani Rawat</cp:lastModifiedBy>
  <dcterms:created xsi:type="dcterms:W3CDTF">2023-04-20T07:47:21Z</dcterms:created>
  <dcterms:modified xsi:type="dcterms:W3CDTF">2023-04-20T08:42:19Z</dcterms:modified>
</cp:coreProperties>
</file>