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3b0517787c3d01/Documents/"/>
    </mc:Choice>
  </mc:AlternateContent>
  <xr:revisionPtr revIDLastSave="3157" documentId="8_{BAB58436-8D57-4A15-8E50-F8AEFD7BB9E0}" xr6:coauthVersionLast="47" xr6:coauthVersionMax="47" xr10:uidLastSave="{EDEEB595-47BA-4B60-996D-5FEECC3D5FF6}"/>
  <bookViews>
    <workbookView xWindow="-110" yWindow="-110" windowWidth="19420" windowHeight="10300" tabRatio="893" firstSheet="4" activeTab="10" xr2:uid="{85E2FD47-3F7A-4E2B-9D69-D22D1E957026}"/>
  </bookViews>
  <sheets>
    <sheet name="Cover&gt;" sheetId="1" r:id="rId1"/>
    <sheet name="Control Sheet" sheetId="4" r:id="rId2"/>
    <sheet name="Schedules" sheetId="11" r:id="rId3"/>
    <sheet name="3 Statement Model" sheetId="12" r:id="rId4"/>
    <sheet name="Common Size Statement" sheetId="13" r:id="rId5"/>
    <sheet name="Ratio Analysis" sheetId="14" r:id="rId6"/>
    <sheet name="DCF&gt;" sheetId="15" r:id="rId7"/>
    <sheet name="DCF Val" sheetId="17" r:id="rId8"/>
    <sheet name="Client Data&gt;" sheetId="10" r:id="rId9"/>
    <sheet name="Audited Balance Sheet" sheetId="2" r:id="rId10"/>
    <sheet name="Audited Income Statement" sheetId="3" r:id="rId11"/>
  </sheets>
  <calcPr calcId="191029" iterate="1" iterateDelta="9.9999999999999998E-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4" l="1"/>
  <c r="F89" i="17"/>
  <c r="G89" i="17" s="1"/>
  <c r="H89" i="17" s="1"/>
  <c r="I89" i="17" s="1"/>
  <c r="J89" i="17" s="1"/>
  <c r="E89" i="17"/>
  <c r="C91" i="17"/>
  <c r="C92" i="17" s="1"/>
  <c r="C93" i="17" s="1"/>
  <c r="C94" i="17" s="1"/>
  <c r="C95" i="17" s="1"/>
  <c r="C96" i="17" s="1"/>
  <c r="E77" i="17"/>
  <c r="F77" i="17" s="1"/>
  <c r="G77" i="17" s="1"/>
  <c r="H77" i="17" s="1"/>
  <c r="I77" i="17" s="1"/>
  <c r="J77" i="17" s="1"/>
  <c r="C79" i="17"/>
  <c r="C80" i="17" s="1"/>
  <c r="C81" i="17" s="1"/>
  <c r="C82" i="17" s="1"/>
  <c r="C83" i="17" s="1"/>
  <c r="C84" i="17" s="1"/>
  <c r="C53" i="17"/>
  <c r="C68" i="17" s="1"/>
  <c r="C52" i="17"/>
  <c r="C67" i="17" s="1"/>
  <c r="C36" i="17"/>
  <c r="C42" i="17" s="1"/>
  <c r="C26" i="17" s="1"/>
  <c r="E6" i="17"/>
  <c r="F6" i="17" s="1"/>
  <c r="G6" i="17" s="1"/>
  <c r="H6" i="17" s="1"/>
  <c r="I6" i="17" s="1"/>
  <c r="J6" i="17" s="1"/>
  <c r="B2" i="17"/>
  <c r="E90" i="14"/>
  <c r="E92" i="14" s="1"/>
  <c r="F90" i="14"/>
  <c r="E91" i="14"/>
  <c r="F91" i="14"/>
  <c r="F92" i="14"/>
  <c r="D90" i="14"/>
  <c r="D91" i="14"/>
  <c r="F88" i="14"/>
  <c r="E88" i="14"/>
  <c r="F85" i="14"/>
  <c r="F86" i="14"/>
  <c r="H87" i="14"/>
  <c r="I87" i="14"/>
  <c r="J87" i="14"/>
  <c r="K87" i="14"/>
  <c r="G87" i="14"/>
  <c r="F87" i="14"/>
  <c r="E87" i="14"/>
  <c r="E86" i="14"/>
  <c r="E85" i="14"/>
  <c r="D82" i="14"/>
  <c r="D81" i="14"/>
  <c r="E75" i="14"/>
  <c r="F75" i="14"/>
  <c r="G75" i="14"/>
  <c r="H75" i="14"/>
  <c r="I75" i="14"/>
  <c r="J75" i="14"/>
  <c r="K75" i="14"/>
  <c r="D75" i="14"/>
  <c r="F57" i="14"/>
  <c r="F61" i="14" s="1"/>
  <c r="D57" i="14"/>
  <c r="D61" i="14" s="1"/>
  <c r="E41" i="14"/>
  <c r="E43" i="14" s="1"/>
  <c r="F41" i="14"/>
  <c r="E42" i="14"/>
  <c r="E46" i="14" s="1"/>
  <c r="F42" i="14"/>
  <c r="F46" i="14" s="1"/>
  <c r="E45" i="14"/>
  <c r="F45" i="14"/>
  <c r="E49" i="14"/>
  <c r="F49" i="14"/>
  <c r="E53" i="14"/>
  <c r="E57" i="14" s="1"/>
  <c r="E61" i="14" s="1"/>
  <c r="E63" i="14" s="1"/>
  <c r="F53" i="14"/>
  <c r="D53" i="14"/>
  <c r="D49" i="14"/>
  <c r="D45" i="14"/>
  <c r="D47" i="14" s="1"/>
  <c r="D42" i="14"/>
  <c r="D46" i="14" s="1"/>
  <c r="D50" i="14" s="1"/>
  <c r="D54" i="14" s="1"/>
  <c r="D41" i="14"/>
  <c r="D36" i="14"/>
  <c r="D58" i="14" s="1"/>
  <c r="D68" i="14" s="1"/>
  <c r="E32" i="14"/>
  <c r="E36" i="14" s="1"/>
  <c r="F32" i="14"/>
  <c r="F36" i="14" s="1"/>
  <c r="D32" i="14"/>
  <c r="E28" i="14"/>
  <c r="E35" i="14" s="1"/>
  <c r="E62" i="14" s="1"/>
  <c r="F28" i="14"/>
  <c r="F29" i="14" s="1"/>
  <c r="D28" i="14"/>
  <c r="D35" i="14" s="1"/>
  <c r="E27" i="14"/>
  <c r="E31" i="14" s="1"/>
  <c r="F27" i="14"/>
  <c r="F31" i="14" s="1"/>
  <c r="F33" i="14" s="1"/>
  <c r="D27" i="14"/>
  <c r="D31" i="14" s="1"/>
  <c r="E29" i="14"/>
  <c r="D29" i="14"/>
  <c r="E20" i="14"/>
  <c r="E23" i="14" s="1"/>
  <c r="F20" i="14"/>
  <c r="F23" i="14" s="1"/>
  <c r="G20" i="14"/>
  <c r="H20" i="14"/>
  <c r="I20" i="14"/>
  <c r="J20" i="14"/>
  <c r="K20" i="14"/>
  <c r="E21" i="14"/>
  <c r="F21" i="14"/>
  <c r="E22" i="14"/>
  <c r="F22" i="14"/>
  <c r="G22" i="14"/>
  <c r="H22" i="14"/>
  <c r="I22" i="14"/>
  <c r="J22" i="14"/>
  <c r="K22" i="14"/>
  <c r="D22" i="14"/>
  <c r="D21" i="14"/>
  <c r="D20" i="14"/>
  <c r="D23" i="14" s="1"/>
  <c r="E15" i="14"/>
  <c r="E76" i="14" s="1"/>
  <c r="E77" i="14" s="1"/>
  <c r="F15" i="14"/>
  <c r="F76" i="14" s="1"/>
  <c r="F77" i="14" s="1"/>
  <c r="G15" i="14"/>
  <c r="G76" i="14" s="1"/>
  <c r="G77" i="14" s="1"/>
  <c r="H15" i="14"/>
  <c r="H76" i="14" s="1"/>
  <c r="I15" i="14"/>
  <c r="I76" i="14" s="1"/>
  <c r="I77" i="14" s="1"/>
  <c r="J15" i="14"/>
  <c r="J76" i="14" s="1"/>
  <c r="J77" i="14" s="1"/>
  <c r="K15" i="14"/>
  <c r="K76" i="14" s="1"/>
  <c r="K77" i="14" s="1"/>
  <c r="E16" i="14"/>
  <c r="F16" i="14"/>
  <c r="D16" i="14"/>
  <c r="D15" i="14"/>
  <c r="D76" i="14" s="1"/>
  <c r="E11" i="14"/>
  <c r="E17" i="14" s="1"/>
  <c r="F11" i="14"/>
  <c r="F17" i="14" s="1"/>
  <c r="D11" i="14"/>
  <c r="E10" i="14"/>
  <c r="E14" i="14" s="1"/>
  <c r="F10" i="14"/>
  <c r="F14" i="14" s="1"/>
  <c r="F18" i="14" s="1"/>
  <c r="D10" i="14"/>
  <c r="D14" i="14" s="1"/>
  <c r="E6" i="14"/>
  <c r="F6" i="14" s="1"/>
  <c r="G6" i="14" s="1"/>
  <c r="H6" i="14" s="1"/>
  <c r="I6" i="14" s="1"/>
  <c r="J6" i="14" s="1"/>
  <c r="K6" i="14" s="1"/>
  <c r="B2" i="14"/>
  <c r="F60" i="13"/>
  <c r="E60" i="13"/>
  <c r="D60" i="13"/>
  <c r="F59" i="13"/>
  <c r="E59" i="13"/>
  <c r="D59" i="13"/>
  <c r="F58" i="13"/>
  <c r="E58" i="13"/>
  <c r="D58" i="13"/>
  <c r="F57" i="13"/>
  <c r="E57" i="13"/>
  <c r="D57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9" i="13"/>
  <c r="E69" i="13"/>
  <c r="D69" i="13"/>
  <c r="F68" i="13"/>
  <c r="E68" i="13"/>
  <c r="D68" i="13"/>
  <c r="F67" i="13"/>
  <c r="E67" i="13"/>
  <c r="D67" i="13"/>
  <c r="E71" i="13"/>
  <c r="F71" i="13"/>
  <c r="D71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51" i="13"/>
  <c r="E51" i="13"/>
  <c r="D51" i="13"/>
  <c r="E53" i="13"/>
  <c r="F53" i="13"/>
  <c r="D53" i="13"/>
  <c r="D34" i="13"/>
  <c r="E34" i="13"/>
  <c r="F34" i="13"/>
  <c r="E33" i="13"/>
  <c r="F33" i="13"/>
  <c r="D33" i="13"/>
  <c r="D30" i="13"/>
  <c r="E30" i="13"/>
  <c r="F30" i="13"/>
  <c r="D31" i="13"/>
  <c r="E31" i="13"/>
  <c r="F31" i="13"/>
  <c r="E29" i="13"/>
  <c r="F29" i="13"/>
  <c r="D29" i="13"/>
  <c r="D25" i="13"/>
  <c r="E25" i="13"/>
  <c r="F25" i="13"/>
  <c r="D26" i="13"/>
  <c r="E26" i="13"/>
  <c r="F26" i="13"/>
  <c r="E24" i="13"/>
  <c r="F24" i="13"/>
  <c r="D24" i="13"/>
  <c r="D16" i="13"/>
  <c r="E16" i="13"/>
  <c r="F16" i="13"/>
  <c r="D17" i="13"/>
  <c r="E17" i="13"/>
  <c r="F17" i="13"/>
  <c r="D18" i="13"/>
  <c r="E18" i="13"/>
  <c r="F18" i="13"/>
  <c r="D19" i="13"/>
  <c r="E19" i="13"/>
  <c r="F19" i="13"/>
  <c r="D20" i="13"/>
  <c r="E20" i="13"/>
  <c r="F20" i="13"/>
  <c r="D21" i="13"/>
  <c r="E21" i="13"/>
  <c r="F21" i="13"/>
  <c r="E15" i="13"/>
  <c r="F15" i="13"/>
  <c r="D15" i="13"/>
  <c r="D11" i="13"/>
  <c r="E11" i="13"/>
  <c r="F11" i="13"/>
  <c r="D12" i="13"/>
  <c r="E12" i="13"/>
  <c r="F12" i="13"/>
  <c r="E10" i="13"/>
  <c r="F10" i="13"/>
  <c r="D10" i="13"/>
  <c r="E6" i="13"/>
  <c r="B2" i="13"/>
  <c r="E353" i="11"/>
  <c r="F349" i="11"/>
  <c r="G349" i="11" s="1"/>
  <c r="H349" i="11" s="1"/>
  <c r="I349" i="11" s="1"/>
  <c r="J349" i="11" s="1"/>
  <c r="F337" i="11"/>
  <c r="E337" i="11"/>
  <c r="E339" i="11" s="1"/>
  <c r="E332" i="11"/>
  <c r="G112" i="12"/>
  <c r="B306" i="11"/>
  <c r="B307" i="11"/>
  <c r="B305" i="11"/>
  <c r="B300" i="11"/>
  <c r="B301" i="11"/>
  <c r="B302" i="11"/>
  <c r="B299" i="11"/>
  <c r="D74" i="12"/>
  <c r="D73" i="12"/>
  <c r="D75" i="12" s="1"/>
  <c r="D70" i="12"/>
  <c r="D69" i="12"/>
  <c r="D68" i="12"/>
  <c r="D71" i="12" s="1"/>
  <c r="D65" i="12"/>
  <c r="D87" i="12" s="1"/>
  <c r="D64" i="12"/>
  <c r="D88" i="12" s="1"/>
  <c r="D63" i="12"/>
  <c r="D66" i="12" s="1"/>
  <c r="D56" i="12"/>
  <c r="D55" i="12"/>
  <c r="D54" i="12"/>
  <c r="D53" i="12"/>
  <c r="D57" i="12" s="1"/>
  <c r="D50" i="12"/>
  <c r="D86" i="12" s="1"/>
  <c r="D49" i="12"/>
  <c r="D85" i="12" s="1"/>
  <c r="D48" i="12"/>
  <c r="D82" i="12" s="1"/>
  <c r="D47" i="12"/>
  <c r="D83" i="12" s="1"/>
  <c r="D46" i="12"/>
  <c r="D51" i="12" s="1"/>
  <c r="D81" i="12" s="1"/>
  <c r="D29" i="12"/>
  <c r="D25" i="12"/>
  <c r="D24" i="12"/>
  <c r="D33" i="12"/>
  <c r="D16" i="12"/>
  <c r="D17" i="12"/>
  <c r="D18" i="12"/>
  <c r="D19" i="12"/>
  <c r="D20" i="12"/>
  <c r="D15" i="12"/>
  <c r="D11" i="12"/>
  <c r="D10" i="12"/>
  <c r="D36" i="12" s="1"/>
  <c r="E6" i="12"/>
  <c r="E73" i="12" s="1"/>
  <c r="B2" i="12"/>
  <c r="E351" i="11"/>
  <c r="E244" i="11" s="1"/>
  <c r="E345" i="11"/>
  <c r="F344" i="11"/>
  <c r="G344" i="11" s="1"/>
  <c r="H344" i="11" s="1"/>
  <c r="I344" i="11" s="1"/>
  <c r="J344" i="11" s="1"/>
  <c r="E328" i="11"/>
  <c r="J327" i="11"/>
  <c r="J326" i="11"/>
  <c r="I326" i="11"/>
  <c r="I325" i="11"/>
  <c r="J325" i="11"/>
  <c r="H325" i="11"/>
  <c r="H324" i="11"/>
  <c r="I324" i="11"/>
  <c r="J324" i="11"/>
  <c r="G324" i="11"/>
  <c r="G323" i="11"/>
  <c r="H323" i="11"/>
  <c r="I323" i="11"/>
  <c r="J323" i="11"/>
  <c r="F323" i="11"/>
  <c r="F322" i="11"/>
  <c r="G322" i="11" s="1"/>
  <c r="H322" i="11" s="1"/>
  <c r="I322" i="11" s="1"/>
  <c r="J322" i="11" s="1"/>
  <c r="E317" i="11"/>
  <c r="F314" i="11" s="1"/>
  <c r="B295" i="11"/>
  <c r="B290" i="11"/>
  <c r="B280" i="11"/>
  <c r="B275" i="11"/>
  <c r="B270" i="11"/>
  <c r="E294" i="11"/>
  <c r="E289" i="11"/>
  <c r="E284" i="11"/>
  <c r="E279" i="11"/>
  <c r="E274" i="11"/>
  <c r="E269" i="11"/>
  <c r="E264" i="11"/>
  <c r="E256" i="11"/>
  <c r="F253" i="11" s="1"/>
  <c r="E246" i="11"/>
  <c r="E230" i="11"/>
  <c r="E236" i="11" s="1"/>
  <c r="E219" i="11"/>
  <c r="E225" i="11" s="1"/>
  <c r="E214" i="11"/>
  <c r="F211" i="11" s="1"/>
  <c r="E209" i="11"/>
  <c r="F206" i="11" s="1"/>
  <c r="E199" i="11"/>
  <c r="E194" i="11"/>
  <c r="B200" i="11"/>
  <c r="B195" i="11"/>
  <c r="K248" i="4"/>
  <c r="J258" i="11" s="1"/>
  <c r="J248" i="4"/>
  <c r="I258" i="11" s="1"/>
  <c r="I248" i="4"/>
  <c r="H258" i="11" s="1"/>
  <c r="H248" i="4"/>
  <c r="G258" i="11" s="1"/>
  <c r="G248" i="4"/>
  <c r="F258" i="11" s="1"/>
  <c r="B248" i="4"/>
  <c r="K240" i="4"/>
  <c r="J240" i="4"/>
  <c r="I240" i="4"/>
  <c r="H240" i="4"/>
  <c r="G240" i="4"/>
  <c r="B240" i="4"/>
  <c r="K232" i="4"/>
  <c r="J347" i="11" s="1"/>
  <c r="J232" i="4"/>
  <c r="I347" i="11" s="1"/>
  <c r="I232" i="4"/>
  <c r="H347" i="11" s="1"/>
  <c r="H232" i="4"/>
  <c r="G347" i="11" s="1"/>
  <c r="G232" i="4"/>
  <c r="F347" i="11" s="1"/>
  <c r="F343" i="11" s="1"/>
  <c r="B232" i="4"/>
  <c r="K224" i="4"/>
  <c r="J224" i="4"/>
  <c r="I224" i="4"/>
  <c r="H224" i="4"/>
  <c r="G224" i="4"/>
  <c r="B224" i="4"/>
  <c r="K216" i="4"/>
  <c r="J249" i="11" s="1"/>
  <c r="J216" i="4"/>
  <c r="I249" i="11" s="1"/>
  <c r="I216" i="4"/>
  <c r="H249" i="11" s="1"/>
  <c r="H216" i="4"/>
  <c r="G249" i="11" s="1"/>
  <c r="G216" i="4"/>
  <c r="F249" i="11" s="1"/>
  <c r="B216" i="4"/>
  <c r="K208" i="4"/>
  <c r="J200" i="11" s="1"/>
  <c r="J208" i="4"/>
  <c r="I200" i="11" s="1"/>
  <c r="I208" i="4"/>
  <c r="H200" i="11" s="1"/>
  <c r="H208" i="4"/>
  <c r="G200" i="11" s="1"/>
  <c r="G208" i="4"/>
  <c r="F200" i="11" s="1"/>
  <c r="B208" i="4"/>
  <c r="B204" i="4"/>
  <c r="K200" i="4"/>
  <c r="J195" i="11" s="1"/>
  <c r="J200" i="4"/>
  <c r="I195" i="11" s="1"/>
  <c r="I200" i="4"/>
  <c r="H195" i="11" s="1"/>
  <c r="H200" i="4"/>
  <c r="G195" i="11" s="1"/>
  <c r="G200" i="4"/>
  <c r="F195" i="11" s="1"/>
  <c r="B200" i="4"/>
  <c r="B196" i="4"/>
  <c r="E181" i="11"/>
  <c r="B181" i="11"/>
  <c r="B175" i="11"/>
  <c r="B174" i="11"/>
  <c r="B170" i="11"/>
  <c r="B169" i="11"/>
  <c r="B165" i="11"/>
  <c r="B160" i="11"/>
  <c r="B159" i="11"/>
  <c r="B2" i="11"/>
  <c r="E134" i="11"/>
  <c r="B134" i="11"/>
  <c r="K190" i="4"/>
  <c r="J184" i="11" s="1"/>
  <c r="J190" i="4"/>
  <c r="I184" i="11" s="1"/>
  <c r="I190" i="4"/>
  <c r="H184" i="11" s="1"/>
  <c r="H190" i="4"/>
  <c r="G184" i="11" s="1"/>
  <c r="G190" i="4"/>
  <c r="F184" i="11" s="1"/>
  <c r="B190" i="4"/>
  <c r="K184" i="4"/>
  <c r="J183" i="11" s="1"/>
  <c r="J184" i="4"/>
  <c r="I183" i="11" s="1"/>
  <c r="I184" i="4"/>
  <c r="H183" i="11" s="1"/>
  <c r="H184" i="4"/>
  <c r="G183" i="11" s="1"/>
  <c r="G184" i="4"/>
  <c r="F183" i="11" s="1"/>
  <c r="F179" i="11" s="1"/>
  <c r="B184" i="4"/>
  <c r="K176" i="4"/>
  <c r="J175" i="11" s="1"/>
  <c r="J176" i="4"/>
  <c r="I175" i="11" s="1"/>
  <c r="I176" i="4"/>
  <c r="H175" i="11" s="1"/>
  <c r="H176" i="4"/>
  <c r="G175" i="11" s="1"/>
  <c r="G176" i="4"/>
  <c r="F175" i="11" s="1"/>
  <c r="B176" i="4"/>
  <c r="K170" i="4"/>
  <c r="J170" i="11" s="1"/>
  <c r="J170" i="4"/>
  <c r="I170" i="11" s="1"/>
  <c r="I170" i="4"/>
  <c r="H170" i="11" s="1"/>
  <c r="H170" i="4"/>
  <c r="G170" i="11" s="1"/>
  <c r="G170" i="4"/>
  <c r="F170" i="11" s="1"/>
  <c r="B170" i="4"/>
  <c r="K164" i="4"/>
  <c r="J165" i="11" s="1"/>
  <c r="J164" i="4"/>
  <c r="I165" i="11" s="1"/>
  <c r="I164" i="4"/>
  <c r="H165" i="11" s="1"/>
  <c r="H164" i="4"/>
  <c r="G165" i="11" s="1"/>
  <c r="G164" i="4"/>
  <c r="F165" i="11" s="1"/>
  <c r="B164" i="4"/>
  <c r="K158" i="4"/>
  <c r="J160" i="11" s="1"/>
  <c r="J158" i="4"/>
  <c r="I160" i="11" s="1"/>
  <c r="I158" i="4"/>
  <c r="H160" i="11" s="1"/>
  <c r="H158" i="4"/>
  <c r="G160" i="11" s="1"/>
  <c r="G158" i="4"/>
  <c r="F160" i="11" s="1"/>
  <c r="K152" i="4"/>
  <c r="J137" i="11" s="1"/>
  <c r="J152" i="4"/>
  <c r="I137" i="11" s="1"/>
  <c r="I152" i="4"/>
  <c r="H137" i="11" s="1"/>
  <c r="H152" i="4"/>
  <c r="G137" i="11" s="1"/>
  <c r="G152" i="4"/>
  <c r="F137" i="11" s="1"/>
  <c r="F133" i="11" s="1"/>
  <c r="B158" i="4"/>
  <c r="B152" i="4"/>
  <c r="B2" i="4"/>
  <c r="K146" i="4"/>
  <c r="J136" i="11" s="1"/>
  <c r="J146" i="4"/>
  <c r="I136" i="11" s="1"/>
  <c r="I146" i="4"/>
  <c r="H136" i="11" s="1"/>
  <c r="H146" i="4"/>
  <c r="G136" i="11" s="1"/>
  <c r="G146" i="4"/>
  <c r="F136" i="11" s="1"/>
  <c r="F132" i="11" s="1"/>
  <c r="B146" i="4"/>
  <c r="E98" i="11"/>
  <c r="E101" i="11" s="1"/>
  <c r="E73" i="11"/>
  <c r="E82" i="11" s="1"/>
  <c r="B122" i="11"/>
  <c r="B121" i="11"/>
  <c r="B114" i="11"/>
  <c r="B94" i="11"/>
  <c r="B93" i="11"/>
  <c r="B87" i="11"/>
  <c r="B69" i="11"/>
  <c r="B68" i="11"/>
  <c r="B62" i="11"/>
  <c r="E48" i="11"/>
  <c r="E60" i="11" s="1"/>
  <c r="K136" i="4"/>
  <c r="J120" i="11" s="1"/>
  <c r="J136" i="4"/>
  <c r="I120" i="11" s="1"/>
  <c r="I136" i="4"/>
  <c r="H120" i="11" s="1"/>
  <c r="H136" i="4"/>
  <c r="G120" i="11" s="1"/>
  <c r="G136" i="4"/>
  <c r="F120" i="11" s="1"/>
  <c r="B136" i="4"/>
  <c r="K130" i="4"/>
  <c r="J119" i="11" s="1"/>
  <c r="J130" i="4"/>
  <c r="I119" i="11" s="1"/>
  <c r="I130" i="4"/>
  <c r="H119" i="11" s="1"/>
  <c r="H130" i="4"/>
  <c r="G119" i="11" s="1"/>
  <c r="G130" i="4"/>
  <c r="F119" i="11" s="1"/>
  <c r="F109" i="11" s="1"/>
  <c r="B130" i="4"/>
  <c r="K124" i="4"/>
  <c r="J118" i="11" s="1"/>
  <c r="J124" i="4"/>
  <c r="I118" i="11" s="1"/>
  <c r="I124" i="4"/>
  <c r="H118" i="11" s="1"/>
  <c r="H124" i="4"/>
  <c r="G118" i="11" s="1"/>
  <c r="G124" i="4"/>
  <c r="F118" i="11" s="1"/>
  <c r="F106" i="11" s="1"/>
  <c r="B124" i="4"/>
  <c r="K118" i="4"/>
  <c r="J117" i="11" s="1"/>
  <c r="J118" i="4"/>
  <c r="I117" i="11" s="1"/>
  <c r="I118" i="4"/>
  <c r="H117" i="11" s="1"/>
  <c r="H118" i="4"/>
  <c r="G117" i="11" s="1"/>
  <c r="G118" i="4"/>
  <c r="F117" i="11" s="1"/>
  <c r="F103" i="11" s="1"/>
  <c r="B118" i="4"/>
  <c r="K112" i="4"/>
  <c r="J116" i="11" s="1"/>
  <c r="J112" i="4"/>
  <c r="I116" i="11" s="1"/>
  <c r="I112" i="4"/>
  <c r="H116" i="11" s="1"/>
  <c r="H112" i="4"/>
  <c r="G116" i="11" s="1"/>
  <c r="G112" i="4"/>
  <c r="F116" i="11" s="1"/>
  <c r="F100" i="11" s="1"/>
  <c r="B112" i="4"/>
  <c r="K104" i="4"/>
  <c r="J92" i="11" s="1"/>
  <c r="J104" i="4"/>
  <c r="I92" i="11" s="1"/>
  <c r="I104" i="4"/>
  <c r="H92" i="11" s="1"/>
  <c r="H104" i="4"/>
  <c r="G92" i="11" s="1"/>
  <c r="G104" i="4"/>
  <c r="F92" i="11" s="1"/>
  <c r="F84" i="11" s="1"/>
  <c r="B104" i="4"/>
  <c r="K98" i="4"/>
  <c r="J91" i="11" s="1"/>
  <c r="J98" i="4"/>
  <c r="I91" i="11" s="1"/>
  <c r="I98" i="4"/>
  <c r="H91" i="11" s="1"/>
  <c r="H98" i="4"/>
  <c r="G91" i="11" s="1"/>
  <c r="G98" i="4"/>
  <c r="F91" i="11" s="1"/>
  <c r="F81" i="11" s="1"/>
  <c r="B98" i="4"/>
  <c r="K92" i="4"/>
  <c r="J90" i="11" s="1"/>
  <c r="J92" i="4"/>
  <c r="I90" i="11" s="1"/>
  <c r="I92" i="4"/>
  <c r="H90" i="11" s="1"/>
  <c r="H92" i="4"/>
  <c r="G90" i="11" s="1"/>
  <c r="G92" i="4"/>
  <c r="F90" i="11" s="1"/>
  <c r="F78" i="11" s="1"/>
  <c r="B92" i="4"/>
  <c r="K86" i="4"/>
  <c r="J89" i="11" s="1"/>
  <c r="J86" i="4"/>
  <c r="I89" i="11" s="1"/>
  <c r="I86" i="4"/>
  <c r="H89" i="11" s="1"/>
  <c r="H86" i="4"/>
  <c r="G89" i="11" s="1"/>
  <c r="G86" i="4"/>
  <c r="F89" i="11" s="1"/>
  <c r="F75" i="11" s="1"/>
  <c r="B86" i="4"/>
  <c r="K78" i="4"/>
  <c r="J67" i="11" s="1"/>
  <c r="J78" i="4"/>
  <c r="I67" i="11" s="1"/>
  <c r="I78" i="4"/>
  <c r="H67" i="11" s="1"/>
  <c r="H78" i="4"/>
  <c r="G67" i="11" s="1"/>
  <c r="G78" i="4"/>
  <c r="F67" i="11" s="1"/>
  <c r="F59" i="11" s="1"/>
  <c r="B78" i="4"/>
  <c r="K72" i="4"/>
  <c r="J66" i="11" s="1"/>
  <c r="J72" i="4"/>
  <c r="I66" i="11" s="1"/>
  <c r="I72" i="4"/>
  <c r="H66" i="11" s="1"/>
  <c r="H72" i="4"/>
  <c r="G66" i="11" s="1"/>
  <c r="G72" i="4"/>
  <c r="F66" i="11" s="1"/>
  <c r="F56" i="11" s="1"/>
  <c r="B72" i="4"/>
  <c r="K66" i="4"/>
  <c r="J65" i="11" s="1"/>
  <c r="J66" i="4"/>
  <c r="I65" i="11" s="1"/>
  <c r="I66" i="4"/>
  <c r="H65" i="11" s="1"/>
  <c r="H66" i="4"/>
  <c r="G65" i="11" s="1"/>
  <c r="G66" i="4"/>
  <c r="F65" i="11" s="1"/>
  <c r="F53" i="11" s="1"/>
  <c r="B66" i="4"/>
  <c r="K60" i="4"/>
  <c r="J64" i="11" s="1"/>
  <c r="J60" i="4"/>
  <c r="I64" i="11" s="1"/>
  <c r="I60" i="4"/>
  <c r="H64" i="11" s="1"/>
  <c r="H60" i="4"/>
  <c r="G64" i="11" s="1"/>
  <c r="G60" i="4"/>
  <c r="F64" i="11" s="1"/>
  <c r="F50" i="11" s="1"/>
  <c r="B60" i="4"/>
  <c r="E34" i="11"/>
  <c r="E112" i="11" s="1"/>
  <c r="E24" i="11"/>
  <c r="E14" i="11"/>
  <c r="K50" i="4"/>
  <c r="J37" i="11" s="1"/>
  <c r="J50" i="4"/>
  <c r="I37" i="11" s="1"/>
  <c r="I50" i="4"/>
  <c r="H37" i="11" s="1"/>
  <c r="H50" i="4"/>
  <c r="G37" i="11" s="1"/>
  <c r="G50" i="4"/>
  <c r="F37" i="11" s="1"/>
  <c r="F33" i="11" s="1"/>
  <c r="F98" i="11" s="1"/>
  <c r="K44" i="4"/>
  <c r="J36" i="11" s="1"/>
  <c r="J44" i="4"/>
  <c r="I36" i="11" s="1"/>
  <c r="I44" i="4"/>
  <c r="H36" i="11" s="1"/>
  <c r="H44" i="4"/>
  <c r="G36" i="11" s="1"/>
  <c r="G44" i="4"/>
  <c r="F36" i="11" s="1"/>
  <c r="F32" i="11" s="1"/>
  <c r="K36" i="4"/>
  <c r="J27" i="11" s="1"/>
  <c r="J36" i="4"/>
  <c r="I27" i="11" s="1"/>
  <c r="I36" i="4"/>
  <c r="H27" i="11" s="1"/>
  <c r="H36" i="4"/>
  <c r="G27" i="11" s="1"/>
  <c r="G36" i="4"/>
  <c r="F27" i="11" s="1"/>
  <c r="F23" i="11" s="1"/>
  <c r="F73" i="11" s="1"/>
  <c r="K30" i="4"/>
  <c r="J26" i="11" s="1"/>
  <c r="J30" i="4"/>
  <c r="I26" i="11" s="1"/>
  <c r="I30" i="4"/>
  <c r="H26" i="11" s="1"/>
  <c r="H30" i="4"/>
  <c r="G26" i="11" s="1"/>
  <c r="G30" i="4"/>
  <c r="F26" i="11" s="1"/>
  <c r="F22" i="11" s="1"/>
  <c r="K22" i="4"/>
  <c r="J17" i="11" s="1"/>
  <c r="J22" i="4"/>
  <c r="I17" i="11" s="1"/>
  <c r="I22" i="4"/>
  <c r="H17" i="11" s="1"/>
  <c r="H22" i="4"/>
  <c r="G17" i="11" s="1"/>
  <c r="G22" i="4"/>
  <c r="F17" i="11" s="1"/>
  <c r="F13" i="11" s="1"/>
  <c r="F48" i="11" s="1"/>
  <c r="H16" i="4"/>
  <c r="G16" i="11" s="1"/>
  <c r="I16" i="4"/>
  <c r="H16" i="11" s="1"/>
  <c r="J16" i="4"/>
  <c r="I16" i="11" s="1"/>
  <c r="K16" i="4"/>
  <c r="J16" i="11" s="1"/>
  <c r="F16" i="11"/>
  <c r="F12" i="11" s="1"/>
  <c r="B38" i="11"/>
  <c r="B34" i="11"/>
  <c r="B28" i="11"/>
  <c r="B24" i="11"/>
  <c r="B18" i="11"/>
  <c r="B14" i="11"/>
  <c r="E6" i="11"/>
  <c r="F6" i="11" s="1"/>
  <c r="G6" i="11" s="1"/>
  <c r="H6" i="11" s="1"/>
  <c r="I6" i="11" s="1"/>
  <c r="J6" i="11" s="1"/>
  <c r="B50" i="4"/>
  <c r="B36" i="4"/>
  <c r="B22" i="4"/>
  <c r="B44" i="4"/>
  <c r="B43" i="4"/>
  <c r="B42" i="4"/>
  <c r="B41" i="4"/>
  <c r="B29" i="4"/>
  <c r="B28" i="4"/>
  <c r="B27" i="4"/>
  <c r="B30" i="4"/>
  <c r="B16" i="4"/>
  <c r="F6" i="4"/>
  <c r="G6" i="4" s="1"/>
  <c r="H6" i="4" s="1"/>
  <c r="I6" i="4" s="1"/>
  <c r="J6" i="4" s="1"/>
  <c r="K6" i="4" s="1"/>
  <c r="G24" i="3"/>
  <c r="G22" i="3"/>
  <c r="F22" i="3"/>
  <c r="E22" i="3"/>
  <c r="G10" i="3"/>
  <c r="F10" i="3"/>
  <c r="F24" i="3" s="1"/>
  <c r="E10" i="3"/>
  <c r="E24" i="3" s="1"/>
  <c r="G38" i="2"/>
  <c r="F38" i="2"/>
  <c r="E38" i="2"/>
  <c r="G34" i="2"/>
  <c r="F34" i="2"/>
  <c r="E34" i="2"/>
  <c r="G29" i="2"/>
  <c r="G40" i="2" s="1"/>
  <c r="F29" i="2"/>
  <c r="F40" i="2" s="1"/>
  <c r="E29" i="2"/>
  <c r="E40" i="2" s="1"/>
  <c r="G20" i="2"/>
  <c r="F20" i="2"/>
  <c r="E20" i="2"/>
  <c r="G14" i="2"/>
  <c r="G22" i="2" s="1"/>
  <c r="F14" i="2"/>
  <c r="F22" i="2" s="1"/>
  <c r="E14" i="2"/>
  <c r="E22" i="2" s="1"/>
  <c r="F25" i="17" l="1"/>
  <c r="D83" i="14"/>
  <c r="D51" i="14"/>
  <c r="F63" i="14"/>
  <c r="E37" i="14"/>
  <c r="E58" i="14"/>
  <c r="D62" i="14"/>
  <c r="D37" i="14"/>
  <c r="F58" i="14"/>
  <c r="F37" i="14"/>
  <c r="D67" i="14"/>
  <c r="D69" i="14" s="1"/>
  <c r="D55" i="14"/>
  <c r="D59" i="14"/>
  <c r="F59" i="14"/>
  <c r="D92" i="14"/>
  <c r="F35" i="14"/>
  <c r="F62" i="14" s="1"/>
  <c r="D33" i="14"/>
  <c r="D43" i="14"/>
  <c r="F43" i="14"/>
  <c r="E18" i="14"/>
  <c r="H77" i="14"/>
  <c r="D77" i="14"/>
  <c r="D63" i="14"/>
  <c r="E50" i="14"/>
  <c r="E47" i="14"/>
  <c r="F47" i="14"/>
  <c r="F50" i="14"/>
  <c r="F54" i="14" s="1"/>
  <c r="E33" i="14"/>
  <c r="D18" i="14"/>
  <c r="D12" i="14"/>
  <c r="D17" i="14"/>
  <c r="E12" i="14"/>
  <c r="F12" i="14"/>
  <c r="F6" i="13"/>
  <c r="E335" i="11"/>
  <c r="F332" i="11" s="1"/>
  <c r="D59" i="12"/>
  <c r="D77" i="12"/>
  <c r="D79" i="12" s="1"/>
  <c r="E70" i="12"/>
  <c r="D84" i="12"/>
  <c r="E47" i="12"/>
  <c r="E53" i="12"/>
  <c r="E63" i="12"/>
  <c r="E69" i="12"/>
  <c r="E48" i="12"/>
  <c r="E82" i="12" s="1"/>
  <c r="E54" i="12"/>
  <c r="E64" i="12"/>
  <c r="E50" i="12"/>
  <c r="E56" i="12"/>
  <c r="E68" i="12"/>
  <c r="E71" i="12" s="1"/>
  <c r="E74" i="12"/>
  <c r="E75" i="12" s="1"/>
  <c r="E46" i="12"/>
  <c r="E49" i="12"/>
  <c r="E85" i="12" s="1"/>
  <c r="E55" i="12"/>
  <c r="E65" i="12"/>
  <c r="E243" i="11"/>
  <c r="B322" i="11"/>
  <c r="B323" i="11" s="1"/>
  <c r="B324" i="11" s="1"/>
  <c r="B325" i="11" s="1"/>
  <c r="B326" i="11" s="1"/>
  <c r="B327" i="11" s="1"/>
  <c r="J328" i="11"/>
  <c r="J316" i="11" s="1"/>
  <c r="F345" i="11"/>
  <c r="G343" i="11"/>
  <c r="E24" i="12"/>
  <c r="E25" i="12"/>
  <c r="E29" i="12"/>
  <c r="E19" i="12"/>
  <c r="E16" i="12"/>
  <c r="F6" i="12"/>
  <c r="E15" i="12"/>
  <c r="D12" i="12"/>
  <c r="E11" i="12"/>
  <c r="E18" i="12"/>
  <c r="E10" i="12"/>
  <c r="E36" i="12" s="1"/>
  <c r="E20" i="12"/>
  <c r="E33" i="12"/>
  <c r="E17" i="12"/>
  <c r="G328" i="11"/>
  <c r="G316" i="11" s="1"/>
  <c r="I328" i="11"/>
  <c r="I316" i="11" s="1"/>
  <c r="F328" i="11"/>
  <c r="F316" i="11" s="1"/>
  <c r="F317" i="11" s="1"/>
  <c r="G68" i="12" s="1"/>
  <c r="H328" i="11"/>
  <c r="H316" i="11" s="1"/>
  <c r="F219" i="11"/>
  <c r="G219" i="11" s="1"/>
  <c r="H219" i="11" s="1"/>
  <c r="I219" i="11" s="1"/>
  <c r="J219" i="11" s="1"/>
  <c r="F230" i="11"/>
  <c r="G230" i="11" s="1"/>
  <c r="B219" i="11"/>
  <c r="B220" i="11" s="1"/>
  <c r="B221" i="11" s="1"/>
  <c r="B222" i="11" s="1"/>
  <c r="B223" i="11" s="1"/>
  <c r="B224" i="11" s="1"/>
  <c r="B230" i="11"/>
  <c r="B231" i="11" s="1"/>
  <c r="B232" i="11" s="1"/>
  <c r="B233" i="11" s="1"/>
  <c r="B234" i="11" s="1"/>
  <c r="B235" i="11" s="1"/>
  <c r="E180" i="11"/>
  <c r="G179" i="11"/>
  <c r="H179" i="11" s="1"/>
  <c r="G132" i="11"/>
  <c r="H132" i="11" s="1"/>
  <c r="I132" i="11" s="1"/>
  <c r="J132" i="11" s="1"/>
  <c r="F134" i="11"/>
  <c r="G133" i="11"/>
  <c r="H133" i="11" s="1"/>
  <c r="I133" i="11" s="1"/>
  <c r="J133" i="11" s="1"/>
  <c r="F76" i="11"/>
  <c r="G78" i="11"/>
  <c r="H78" i="11" s="1"/>
  <c r="F57" i="11"/>
  <c r="G100" i="11"/>
  <c r="H100" i="11" s="1"/>
  <c r="I100" i="11" s="1"/>
  <c r="F60" i="11"/>
  <c r="G59" i="11"/>
  <c r="G53" i="11"/>
  <c r="F54" i="11"/>
  <c r="G50" i="11"/>
  <c r="F51" i="11"/>
  <c r="E51" i="11"/>
  <c r="E57" i="11"/>
  <c r="F104" i="11"/>
  <c r="G56" i="11"/>
  <c r="F85" i="11"/>
  <c r="E54" i="11"/>
  <c r="F110" i="11"/>
  <c r="G103" i="11"/>
  <c r="F101" i="11"/>
  <c r="G75" i="11"/>
  <c r="E104" i="11"/>
  <c r="E76" i="11"/>
  <c r="E79" i="11"/>
  <c r="E85" i="11"/>
  <c r="F107" i="11"/>
  <c r="G106" i="11"/>
  <c r="G109" i="11"/>
  <c r="E110" i="11"/>
  <c r="E107" i="11"/>
  <c r="F82" i="11"/>
  <c r="G81" i="11"/>
  <c r="F79" i="11"/>
  <c r="G84" i="11"/>
  <c r="E41" i="11"/>
  <c r="G12" i="11"/>
  <c r="H12" i="11" s="1"/>
  <c r="G13" i="11"/>
  <c r="G33" i="11"/>
  <c r="G22" i="11"/>
  <c r="H22" i="11" s="1"/>
  <c r="I22" i="11" s="1"/>
  <c r="F24" i="11"/>
  <c r="F28" i="11" s="1"/>
  <c r="G32" i="11"/>
  <c r="F34" i="11"/>
  <c r="F112" i="11" s="1"/>
  <c r="G23" i="11"/>
  <c r="G73" i="11" s="1"/>
  <c r="G79" i="11" s="1"/>
  <c r="F14" i="11"/>
  <c r="E27" i="3"/>
  <c r="E26" i="3"/>
  <c r="F26" i="3"/>
  <c r="F27" i="3" s="1"/>
  <c r="G26" i="3"/>
  <c r="G27" i="3" s="1"/>
  <c r="G25" i="17" l="1"/>
  <c r="F27" i="17"/>
  <c r="E59" i="14"/>
  <c r="E68" i="14"/>
  <c r="E72" i="14"/>
  <c r="F67" i="14"/>
  <c r="F55" i="14"/>
  <c r="F68" i="14"/>
  <c r="F72" i="14"/>
  <c r="F51" i="14"/>
  <c r="E51" i="14"/>
  <c r="E54" i="14"/>
  <c r="G6" i="13"/>
  <c r="H6" i="13" s="1"/>
  <c r="I6" i="13" s="1"/>
  <c r="J6" i="13" s="1"/>
  <c r="K6" i="13" s="1"/>
  <c r="F10" i="12"/>
  <c r="F74" i="12"/>
  <c r="F68" i="12"/>
  <c r="F56" i="12"/>
  <c r="G56" i="12" s="1"/>
  <c r="H56" i="12" s="1"/>
  <c r="I56" i="12" s="1"/>
  <c r="J56" i="12" s="1"/>
  <c r="K56" i="12" s="1"/>
  <c r="F50" i="12"/>
  <c r="F86" i="12" s="1"/>
  <c r="F69" i="12"/>
  <c r="F63" i="12"/>
  <c r="F53" i="12"/>
  <c r="F57" i="12" s="1"/>
  <c r="F47" i="12"/>
  <c r="F83" i="12" s="1"/>
  <c r="F46" i="12"/>
  <c r="F55" i="12"/>
  <c r="F49" i="12"/>
  <c r="F85" i="12" s="1"/>
  <c r="F70" i="12"/>
  <c r="G70" i="12" s="1"/>
  <c r="H70" i="12" s="1"/>
  <c r="I70" i="12" s="1"/>
  <c r="J70" i="12" s="1"/>
  <c r="K70" i="12" s="1"/>
  <c r="F64" i="12"/>
  <c r="F54" i="12"/>
  <c r="F48" i="12"/>
  <c r="F82" i="12" s="1"/>
  <c r="F65" i="12"/>
  <c r="F87" i="12" s="1"/>
  <c r="F73" i="12"/>
  <c r="E66" i="12"/>
  <c r="E77" i="12" s="1"/>
  <c r="E84" i="12"/>
  <c r="E57" i="12"/>
  <c r="E87" i="12"/>
  <c r="E86" i="12"/>
  <c r="E83" i="12"/>
  <c r="E51" i="12"/>
  <c r="E81" i="12" s="1"/>
  <c r="E88" i="12"/>
  <c r="H343" i="11"/>
  <c r="G345" i="11"/>
  <c r="F36" i="12"/>
  <c r="D21" i="12"/>
  <c r="D37" i="12"/>
  <c r="F11" i="12"/>
  <c r="E12" i="12"/>
  <c r="F33" i="12"/>
  <c r="F19" i="12"/>
  <c r="G6" i="12"/>
  <c r="H6" i="12" s="1"/>
  <c r="I6" i="12" s="1"/>
  <c r="J6" i="12" s="1"/>
  <c r="K6" i="12" s="1"/>
  <c r="F29" i="12"/>
  <c r="F24" i="12"/>
  <c r="F25" i="12"/>
  <c r="F20" i="12"/>
  <c r="F15" i="12"/>
  <c r="F17" i="12"/>
  <c r="F18" i="12"/>
  <c r="F16" i="12"/>
  <c r="G314" i="11"/>
  <c r="F351" i="11"/>
  <c r="F244" i="11" s="1"/>
  <c r="G29" i="12" s="1"/>
  <c r="G93" i="12" s="1"/>
  <c r="G106" i="12" s="1"/>
  <c r="F319" i="11"/>
  <c r="F318" i="11"/>
  <c r="E293" i="11"/>
  <c r="E295" i="11" s="1"/>
  <c r="F295" i="11" s="1"/>
  <c r="G295" i="11" s="1"/>
  <c r="H295" i="11" s="1"/>
  <c r="I295" i="11" s="1"/>
  <c r="J295" i="11" s="1"/>
  <c r="E263" i="11"/>
  <c r="E265" i="11" s="1"/>
  <c r="F265" i="11" s="1"/>
  <c r="G265" i="11" s="1"/>
  <c r="H265" i="11" s="1"/>
  <c r="I265" i="11" s="1"/>
  <c r="J265" i="11" s="1"/>
  <c r="E288" i="11"/>
  <c r="E290" i="11" s="1"/>
  <c r="F290" i="11" s="1"/>
  <c r="G290" i="11" s="1"/>
  <c r="H290" i="11" s="1"/>
  <c r="I290" i="11" s="1"/>
  <c r="J290" i="11" s="1"/>
  <c r="E273" i="11"/>
  <c r="E275" i="11" s="1"/>
  <c r="F275" i="11" s="1"/>
  <c r="G275" i="11" s="1"/>
  <c r="H275" i="11" s="1"/>
  <c r="I275" i="11" s="1"/>
  <c r="J275" i="11" s="1"/>
  <c r="E278" i="11"/>
  <c r="E280" i="11" s="1"/>
  <c r="F280" i="11" s="1"/>
  <c r="G280" i="11" s="1"/>
  <c r="H280" i="11" s="1"/>
  <c r="I280" i="11" s="1"/>
  <c r="J280" i="11" s="1"/>
  <c r="E200" i="11"/>
  <c r="E240" i="11"/>
  <c r="H230" i="11"/>
  <c r="E184" i="11"/>
  <c r="E185" i="11"/>
  <c r="E195" i="11"/>
  <c r="I179" i="11"/>
  <c r="J134" i="11"/>
  <c r="E175" i="11"/>
  <c r="E165" i="11"/>
  <c r="E170" i="11"/>
  <c r="E160" i="11"/>
  <c r="E139" i="11"/>
  <c r="E143" i="11"/>
  <c r="E144" i="11"/>
  <c r="G134" i="11"/>
  <c r="F138" i="11"/>
  <c r="I134" i="11"/>
  <c r="H134" i="11"/>
  <c r="F114" i="11"/>
  <c r="E114" i="11"/>
  <c r="E62" i="11"/>
  <c r="H33" i="11"/>
  <c r="G98" i="11"/>
  <c r="G101" i="11" s="1"/>
  <c r="H103" i="11"/>
  <c r="I103" i="11" s="1"/>
  <c r="H50" i="11"/>
  <c r="H59" i="11"/>
  <c r="F18" i="11"/>
  <c r="H53" i="11"/>
  <c r="H56" i="11"/>
  <c r="G76" i="11"/>
  <c r="F62" i="11"/>
  <c r="F68" i="11" s="1"/>
  <c r="F69" i="11" s="1"/>
  <c r="H75" i="11"/>
  <c r="I75" i="11" s="1"/>
  <c r="F87" i="11"/>
  <c r="F93" i="11" s="1"/>
  <c r="F94" i="11" s="1"/>
  <c r="E87" i="11"/>
  <c r="E93" i="11" s="1"/>
  <c r="E94" i="11" s="1"/>
  <c r="H109" i="11"/>
  <c r="H106" i="11"/>
  <c r="J100" i="11"/>
  <c r="H81" i="11"/>
  <c r="G82" i="11"/>
  <c r="I78" i="11"/>
  <c r="G85" i="11"/>
  <c r="H84" i="11"/>
  <c r="H23" i="11"/>
  <c r="H13" i="11"/>
  <c r="H14" i="11" s="1"/>
  <c r="G48" i="11"/>
  <c r="G57" i="11" s="1"/>
  <c r="I12" i="11"/>
  <c r="J12" i="11" s="1"/>
  <c r="G14" i="11"/>
  <c r="G34" i="11"/>
  <c r="G24" i="11"/>
  <c r="G28" i="11" s="1"/>
  <c r="F38" i="11"/>
  <c r="F41" i="11"/>
  <c r="G10" i="12" s="1"/>
  <c r="H32" i="11"/>
  <c r="J22" i="11"/>
  <c r="G29" i="13" l="1"/>
  <c r="G10" i="13"/>
  <c r="G11" i="13"/>
  <c r="G42" i="14"/>
  <c r="G46" i="14" s="1"/>
  <c r="G50" i="14" s="1"/>
  <c r="G54" i="14" s="1"/>
  <c r="H25" i="17"/>
  <c r="G27" i="17"/>
  <c r="E55" i="14"/>
  <c r="E67" i="14"/>
  <c r="E71" i="14"/>
  <c r="E73" i="14" s="1"/>
  <c r="F82" i="14"/>
  <c r="E82" i="14"/>
  <c r="F81" i="14"/>
  <c r="F83" i="14" s="1"/>
  <c r="E69" i="14"/>
  <c r="E81" i="14"/>
  <c r="E83" i="14" s="1"/>
  <c r="F69" i="14"/>
  <c r="F71" i="14"/>
  <c r="F73" i="14" s="1"/>
  <c r="E79" i="12"/>
  <c r="F66" i="12"/>
  <c r="F84" i="12"/>
  <c r="F71" i="12"/>
  <c r="F12" i="12"/>
  <c r="F37" i="12" s="1"/>
  <c r="G104" i="12"/>
  <c r="G73" i="12"/>
  <c r="H73" i="12" s="1"/>
  <c r="I73" i="12" s="1"/>
  <c r="J73" i="12" s="1"/>
  <c r="K73" i="12" s="1"/>
  <c r="F75" i="12"/>
  <c r="F88" i="12"/>
  <c r="F51" i="12"/>
  <c r="F81" i="12" s="1"/>
  <c r="F59" i="12"/>
  <c r="E59" i="12"/>
  <c r="G36" i="12"/>
  <c r="I343" i="11"/>
  <c r="H345" i="11"/>
  <c r="D26" i="12"/>
  <c r="D38" i="12"/>
  <c r="E21" i="12"/>
  <c r="E37" i="12"/>
  <c r="G317" i="11"/>
  <c r="F240" i="11"/>
  <c r="F263" i="11"/>
  <c r="F264" i="11" s="1"/>
  <c r="F278" i="11"/>
  <c r="F279" i="11" s="1"/>
  <c r="F288" i="11"/>
  <c r="F289" i="11" s="1"/>
  <c r="F293" i="11"/>
  <c r="F294" i="11" s="1"/>
  <c r="F273" i="11"/>
  <c r="F274" i="11" s="1"/>
  <c r="E121" i="11"/>
  <c r="E122" i="11" s="1"/>
  <c r="E124" i="11"/>
  <c r="F121" i="11"/>
  <c r="F122" i="11" s="1"/>
  <c r="F124" i="11"/>
  <c r="G11" i="12" s="1"/>
  <c r="G12" i="12" s="1"/>
  <c r="I230" i="11"/>
  <c r="F180" i="11"/>
  <c r="F181" i="11" s="1"/>
  <c r="F199" i="11"/>
  <c r="F194" i="11"/>
  <c r="J179" i="11"/>
  <c r="F169" i="11"/>
  <c r="G15" i="12" s="1"/>
  <c r="G15" i="13" s="1"/>
  <c r="F164" i="11"/>
  <c r="G19" i="12" s="1"/>
  <c r="G19" i="13" s="1"/>
  <c r="F159" i="11"/>
  <c r="G20" i="12" s="1"/>
  <c r="G20" i="13" s="1"/>
  <c r="F174" i="11"/>
  <c r="G17" i="12" s="1"/>
  <c r="G17" i="13" s="1"/>
  <c r="F42" i="11"/>
  <c r="F144" i="11"/>
  <c r="F143" i="11"/>
  <c r="F147" i="11"/>
  <c r="J147" i="11"/>
  <c r="G147" i="11"/>
  <c r="E147" i="11"/>
  <c r="E150" i="11" s="1"/>
  <c r="H147" i="11"/>
  <c r="I147" i="11"/>
  <c r="G146" i="11"/>
  <c r="H146" i="11"/>
  <c r="I146" i="11"/>
  <c r="E146" i="11"/>
  <c r="E149" i="11" s="1"/>
  <c r="F146" i="11"/>
  <c r="J146" i="11"/>
  <c r="H138" i="11"/>
  <c r="I138" i="11"/>
  <c r="G138" i="11"/>
  <c r="J138" i="11"/>
  <c r="F139" i="11"/>
  <c r="G38" i="11"/>
  <c r="G112" i="11"/>
  <c r="E68" i="11"/>
  <c r="E69" i="11" s="1"/>
  <c r="G107" i="11"/>
  <c r="G104" i="11"/>
  <c r="G110" i="11"/>
  <c r="I33" i="11"/>
  <c r="H98" i="11"/>
  <c r="H107" i="11" s="1"/>
  <c r="H34" i="11"/>
  <c r="H24" i="11"/>
  <c r="H28" i="11" s="1"/>
  <c r="H73" i="11"/>
  <c r="H85" i="11" s="1"/>
  <c r="G54" i="11"/>
  <c r="G60" i="11"/>
  <c r="I56" i="11"/>
  <c r="G51" i="11"/>
  <c r="I50" i="11"/>
  <c r="I53" i="11"/>
  <c r="I59" i="11"/>
  <c r="I109" i="11"/>
  <c r="J103" i="11"/>
  <c r="I106" i="11"/>
  <c r="J75" i="11"/>
  <c r="J78" i="11"/>
  <c r="I84" i="11"/>
  <c r="G87" i="11"/>
  <c r="G93" i="11" s="1"/>
  <c r="G94" i="11" s="1"/>
  <c r="I81" i="11"/>
  <c r="I23" i="11"/>
  <c r="I73" i="11" s="1"/>
  <c r="I79" i="11" s="1"/>
  <c r="I13" i="11"/>
  <c r="H48" i="11"/>
  <c r="H54" i="11" s="1"/>
  <c r="H18" i="11"/>
  <c r="G18" i="11"/>
  <c r="G41" i="11"/>
  <c r="H10" i="12" s="1"/>
  <c r="H38" i="11"/>
  <c r="I32" i="11"/>
  <c r="J32" i="11" s="1"/>
  <c r="G67" i="14" l="1"/>
  <c r="G71" i="14"/>
  <c r="H29" i="13"/>
  <c r="H10" i="13"/>
  <c r="H11" i="13"/>
  <c r="H42" i="14"/>
  <c r="H46" i="14" s="1"/>
  <c r="H50" i="14" s="1"/>
  <c r="H54" i="14" s="1"/>
  <c r="G41" i="14"/>
  <c r="G43" i="14" s="1"/>
  <c r="G12" i="13"/>
  <c r="I25" i="17"/>
  <c r="H27" i="17"/>
  <c r="F212" i="11"/>
  <c r="H231" i="11" s="1"/>
  <c r="G101" i="12"/>
  <c r="F22" i="17" s="1"/>
  <c r="F207" i="11"/>
  <c r="H220" i="11" s="1"/>
  <c r="G100" i="12"/>
  <c r="F21" i="17" s="1"/>
  <c r="F21" i="12"/>
  <c r="F77" i="12"/>
  <c r="F79" i="12" s="1"/>
  <c r="G49" i="12"/>
  <c r="F301" i="11"/>
  <c r="G48" i="12"/>
  <c r="G82" i="12" s="1"/>
  <c r="G21" i="14" s="1"/>
  <c r="G23" i="14" s="1"/>
  <c r="F300" i="11"/>
  <c r="G65" i="12"/>
  <c r="G87" i="12" s="1"/>
  <c r="F307" i="11"/>
  <c r="G64" i="12"/>
  <c r="G88" i="12" s="1"/>
  <c r="F306" i="11"/>
  <c r="G50" i="12"/>
  <c r="G86" i="12" s="1"/>
  <c r="F302" i="11"/>
  <c r="G351" i="11"/>
  <c r="G244" i="11" s="1"/>
  <c r="H29" i="12" s="1"/>
  <c r="H93" i="12" s="1"/>
  <c r="H106" i="12" s="1"/>
  <c r="H68" i="12"/>
  <c r="G37" i="12"/>
  <c r="J343" i="11"/>
  <c r="J345" i="11" s="1"/>
  <c r="I345" i="11"/>
  <c r="F185" i="11"/>
  <c r="G16" i="12"/>
  <c r="G16" i="13" s="1"/>
  <c r="H36" i="12"/>
  <c r="F26" i="12"/>
  <c r="F38" i="12"/>
  <c r="E26" i="12"/>
  <c r="E38" i="12"/>
  <c r="D31" i="12"/>
  <c r="D39" i="12"/>
  <c r="H314" i="11"/>
  <c r="G319" i="11"/>
  <c r="G318" i="11"/>
  <c r="E241" i="11"/>
  <c r="E283" i="11"/>
  <c r="E285" i="11" s="1"/>
  <c r="F285" i="11" s="1"/>
  <c r="G285" i="11" s="1"/>
  <c r="H285" i="11" s="1"/>
  <c r="I285" i="11" s="1"/>
  <c r="J285" i="11" s="1"/>
  <c r="E268" i="11"/>
  <c r="E270" i="11" s="1"/>
  <c r="F270" i="11" s="1"/>
  <c r="G270" i="11" s="1"/>
  <c r="H270" i="11" s="1"/>
  <c r="I270" i="11" s="1"/>
  <c r="J270" i="11" s="1"/>
  <c r="G240" i="11"/>
  <c r="G288" i="11"/>
  <c r="G289" i="11" s="1"/>
  <c r="G263" i="11"/>
  <c r="G264" i="11" s="1"/>
  <c r="G293" i="11"/>
  <c r="G294" i="11" s="1"/>
  <c r="G273" i="11"/>
  <c r="G274" i="11" s="1"/>
  <c r="G278" i="11"/>
  <c r="G279" i="11" s="1"/>
  <c r="F241" i="11"/>
  <c r="F283" i="11"/>
  <c r="F268" i="11"/>
  <c r="E125" i="11"/>
  <c r="E126" i="11" s="1"/>
  <c r="F125" i="11"/>
  <c r="F126" i="11" s="1"/>
  <c r="J230" i="11"/>
  <c r="G180" i="11"/>
  <c r="G181" i="11" s="1"/>
  <c r="G199" i="11"/>
  <c r="G194" i="11"/>
  <c r="G169" i="11"/>
  <c r="H15" i="12" s="1"/>
  <c r="H15" i="13" s="1"/>
  <c r="G164" i="11"/>
  <c r="H19" i="12" s="1"/>
  <c r="H19" i="13" s="1"/>
  <c r="G159" i="11"/>
  <c r="H20" i="12" s="1"/>
  <c r="H20" i="13" s="1"/>
  <c r="G174" i="11"/>
  <c r="H17" i="12" s="1"/>
  <c r="H17" i="13" s="1"/>
  <c r="F149" i="11"/>
  <c r="E152" i="11"/>
  <c r="F150" i="11"/>
  <c r="G42" i="11"/>
  <c r="G143" i="11"/>
  <c r="G149" i="11" s="1"/>
  <c r="G144" i="11"/>
  <c r="G150" i="11" s="1"/>
  <c r="G139" i="11"/>
  <c r="H41" i="11"/>
  <c r="I10" i="12" s="1"/>
  <c r="H112" i="11"/>
  <c r="G114" i="11"/>
  <c r="H57" i="11"/>
  <c r="H110" i="11"/>
  <c r="H51" i="11"/>
  <c r="H60" i="11"/>
  <c r="J59" i="11"/>
  <c r="J56" i="11"/>
  <c r="H79" i="11"/>
  <c r="H76" i="11"/>
  <c r="H82" i="11"/>
  <c r="J50" i="11"/>
  <c r="H101" i="11"/>
  <c r="H104" i="11"/>
  <c r="I76" i="11"/>
  <c r="J53" i="11"/>
  <c r="G62" i="11"/>
  <c r="J33" i="11"/>
  <c r="J98" i="11" s="1"/>
  <c r="J101" i="11" s="1"/>
  <c r="I98" i="11"/>
  <c r="I107" i="11" s="1"/>
  <c r="J106" i="11"/>
  <c r="J109" i="11"/>
  <c r="I82" i="11"/>
  <c r="J81" i="11"/>
  <c r="I85" i="11"/>
  <c r="J84" i="11"/>
  <c r="J23" i="11"/>
  <c r="J73" i="11" s="1"/>
  <c r="J76" i="11" s="1"/>
  <c r="I24" i="11"/>
  <c r="I28" i="11" s="1"/>
  <c r="J13" i="11"/>
  <c r="I48" i="11"/>
  <c r="I57" i="11" s="1"/>
  <c r="I14" i="11"/>
  <c r="I34" i="11"/>
  <c r="I112" i="11" s="1"/>
  <c r="H71" i="14" l="1"/>
  <c r="H67" i="14"/>
  <c r="I42" i="14"/>
  <c r="I46" i="14" s="1"/>
  <c r="I50" i="14" s="1"/>
  <c r="I54" i="14" s="1"/>
  <c r="I11" i="13"/>
  <c r="I29" i="13"/>
  <c r="I10" i="13"/>
  <c r="G85" i="12"/>
  <c r="G16" i="14"/>
  <c r="J25" i="17"/>
  <c r="J27" i="17" s="1"/>
  <c r="I27" i="17"/>
  <c r="J231" i="11"/>
  <c r="F231" i="11"/>
  <c r="F236" i="11" s="1"/>
  <c r="G25" i="12" s="1"/>
  <c r="F220" i="11"/>
  <c r="F225" i="11" s="1"/>
  <c r="G24" i="12" s="1"/>
  <c r="G231" i="11"/>
  <c r="G102" i="12"/>
  <c r="I231" i="11"/>
  <c r="G212" i="11"/>
  <c r="H232" i="11" s="1"/>
  <c r="H101" i="12"/>
  <c r="G22" i="17" s="1"/>
  <c r="I220" i="11"/>
  <c r="J220" i="11"/>
  <c r="G220" i="11"/>
  <c r="G207" i="11"/>
  <c r="H221" i="11" s="1"/>
  <c r="H100" i="12"/>
  <c r="G21" i="17" s="1"/>
  <c r="H104" i="12"/>
  <c r="H48" i="12"/>
  <c r="H82" i="12" s="1"/>
  <c r="H21" i="14" s="1"/>
  <c r="H23" i="14" s="1"/>
  <c r="G300" i="11"/>
  <c r="H50" i="12"/>
  <c r="H86" i="12" s="1"/>
  <c r="G302" i="11"/>
  <c r="H64" i="12"/>
  <c r="H88" i="12" s="1"/>
  <c r="G306" i="11"/>
  <c r="H49" i="12"/>
  <c r="G301" i="11"/>
  <c r="H65" i="12"/>
  <c r="H87" i="12" s="1"/>
  <c r="G307" i="11"/>
  <c r="G185" i="11"/>
  <c r="H16" i="12"/>
  <c r="H16" i="13" s="1"/>
  <c r="I36" i="12"/>
  <c r="F31" i="12"/>
  <c r="F39" i="12"/>
  <c r="E31" i="12"/>
  <c r="E39" i="12"/>
  <c r="D34" i="12"/>
  <c r="D41" i="12" s="1"/>
  <c r="D40" i="12"/>
  <c r="H317" i="11"/>
  <c r="F269" i="11"/>
  <c r="F284" i="11"/>
  <c r="H240" i="11"/>
  <c r="H293" i="11"/>
  <c r="H294" i="11" s="1"/>
  <c r="H273" i="11"/>
  <c r="H274" i="11" s="1"/>
  <c r="H288" i="11"/>
  <c r="H289" i="11" s="1"/>
  <c r="H263" i="11"/>
  <c r="H264" i="11" s="1"/>
  <c r="H278" i="11"/>
  <c r="H279" i="11" s="1"/>
  <c r="G121" i="11"/>
  <c r="G122" i="11" s="1"/>
  <c r="G124" i="11"/>
  <c r="H11" i="12" s="1"/>
  <c r="H180" i="11"/>
  <c r="H181" i="11" s="1"/>
  <c r="H199" i="11"/>
  <c r="H194" i="11"/>
  <c r="H174" i="11"/>
  <c r="I17" i="12" s="1"/>
  <c r="I17" i="13" s="1"/>
  <c r="H169" i="11"/>
  <c r="I15" i="12" s="1"/>
  <c r="I15" i="13" s="1"/>
  <c r="H164" i="11"/>
  <c r="I19" i="12" s="1"/>
  <c r="I19" i="13" s="1"/>
  <c r="H159" i="11"/>
  <c r="I20" i="12" s="1"/>
  <c r="I20" i="13" s="1"/>
  <c r="F152" i="11"/>
  <c r="E153" i="11"/>
  <c r="E155" i="11"/>
  <c r="E187" i="11" s="1"/>
  <c r="E242" i="11" s="1"/>
  <c r="E245" i="11" s="1"/>
  <c r="E247" i="11" s="1"/>
  <c r="H143" i="11"/>
  <c r="H149" i="11" s="1"/>
  <c r="H144" i="11"/>
  <c r="H150" i="11" s="1"/>
  <c r="G152" i="11"/>
  <c r="J82" i="11"/>
  <c r="H42" i="11"/>
  <c r="H139" i="11"/>
  <c r="J107" i="11"/>
  <c r="H114" i="11"/>
  <c r="H62" i="11"/>
  <c r="H68" i="11" s="1"/>
  <c r="H69" i="11" s="1"/>
  <c r="H87" i="11"/>
  <c r="H93" i="11" s="1"/>
  <c r="H94" i="11" s="1"/>
  <c r="I60" i="11"/>
  <c r="I51" i="11"/>
  <c r="J110" i="11"/>
  <c r="I54" i="11"/>
  <c r="J85" i="11"/>
  <c r="I110" i="11"/>
  <c r="J79" i="11"/>
  <c r="J104" i="11"/>
  <c r="I101" i="11"/>
  <c r="I104" i="11"/>
  <c r="G68" i="11"/>
  <c r="G69" i="11" s="1"/>
  <c r="J34" i="11"/>
  <c r="I87" i="11"/>
  <c r="I93" i="11" s="1"/>
  <c r="I94" i="11" s="1"/>
  <c r="J24" i="11"/>
  <c r="J28" i="11" s="1"/>
  <c r="I18" i="11"/>
  <c r="J48" i="11"/>
  <c r="J60" i="11" s="1"/>
  <c r="J14" i="11"/>
  <c r="I38" i="11"/>
  <c r="I41" i="11"/>
  <c r="J10" i="12" s="1"/>
  <c r="I67" i="14" l="1"/>
  <c r="I71" i="14"/>
  <c r="H85" i="12"/>
  <c r="H16" i="14"/>
  <c r="G95" i="12"/>
  <c r="F11" i="17"/>
  <c r="F16" i="17" s="1"/>
  <c r="G24" i="13"/>
  <c r="J11" i="13"/>
  <c r="J29" i="13"/>
  <c r="J42" i="14"/>
  <c r="J46" i="14" s="1"/>
  <c r="J50" i="14" s="1"/>
  <c r="J54" i="14" s="1"/>
  <c r="J10" i="13"/>
  <c r="G96" i="12"/>
  <c r="F12" i="17"/>
  <c r="F17" i="17" s="1"/>
  <c r="G25" i="13"/>
  <c r="F243" i="11"/>
  <c r="F213" i="11"/>
  <c r="F214" i="11" s="1"/>
  <c r="G54" i="12" s="1"/>
  <c r="F208" i="11"/>
  <c r="F209" i="11" s="1"/>
  <c r="G53" i="12" s="1"/>
  <c r="G232" i="11"/>
  <c r="G236" i="11" s="1"/>
  <c r="H25" i="12" s="1"/>
  <c r="I232" i="11"/>
  <c r="J232" i="11"/>
  <c r="G221" i="11"/>
  <c r="G225" i="11" s="1"/>
  <c r="H24" i="12" s="1"/>
  <c r="J221" i="11"/>
  <c r="H102" i="12"/>
  <c r="I221" i="11"/>
  <c r="H212" i="11"/>
  <c r="J233" i="11" s="1"/>
  <c r="I101" i="12"/>
  <c r="H22" i="17" s="1"/>
  <c r="H207" i="11"/>
  <c r="I222" i="11" s="1"/>
  <c r="I100" i="12"/>
  <c r="H21" i="17" s="1"/>
  <c r="I50" i="12"/>
  <c r="I86" i="12" s="1"/>
  <c r="H302" i="11"/>
  <c r="I65" i="12"/>
  <c r="I87" i="12" s="1"/>
  <c r="H307" i="11"/>
  <c r="I48" i="12"/>
  <c r="I82" i="12" s="1"/>
  <c r="I21" i="14" s="1"/>
  <c r="I23" i="14" s="1"/>
  <c r="H300" i="11"/>
  <c r="I64" i="12"/>
  <c r="I88" i="12" s="1"/>
  <c r="H306" i="11"/>
  <c r="G63" i="12"/>
  <c r="G66" i="12" s="1"/>
  <c r="G11" i="14" s="1"/>
  <c r="G17" i="14" s="1"/>
  <c r="F305" i="11"/>
  <c r="F308" i="11" s="1"/>
  <c r="I49" i="12"/>
  <c r="H301" i="11"/>
  <c r="G47" i="12"/>
  <c r="G83" i="12" s="1"/>
  <c r="F299" i="11"/>
  <c r="F303" i="11" s="1"/>
  <c r="F310" i="11" s="1"/>
  <c r="G97" i="12" s="1"/>
  <c r="F20" i="17" s="1"/>
  <c r="H351" i="11"/>
  <c r="H244" i="11" s="1"/>
  <c r="I29" i="12" s="1"/>
  <c r="I93" i="12" s="1"/>
  <c r="I106" i="12" s="1"/>
  <c r="I68" i="12"/>
  <c r="H185" i="11"/>
  <c r="I16" i="12"/>
  <c r="I16" i="13" s="1"/>
  <c r="H12" i="12"/>
  <c r="G211" i="11"/>
  <c r="J36" i="12"/>
  <c r="G206" i="11"/>
  <c r="E34" i="12"/>
  <c r="E41" i="12" s="1"/>
  <c r="E40" i="12"/>
  <c r="F34" i="12"/>
  <c r="F40" i="12"/>
  <c r="I314" i="11"/>
  <c r="H319" i="11"/>
  <c r="H318" i="11"/>
  <c r="G241" i="11"/>
  <c r="G268" i="11"/>
  <c r="G269" i="11" s="1"/>
  <c r="G283" i="11"/>
  <c r="G284" i="11" s="1"/>
  <c r="I240" i="11"/>
  <c r="I278" i="11"/>
  <c r="I279" i="11" s="1"/>
  <c r="I293" i="11"/>
  <c r="I294" i="11" s="1"/>
  <c r="I273" i="11"/>
  <c r="I274" i="11" s="1"/>
  <c r="I263" i="11"/>
  <c r="I264" i="11" s="1"/>
  <c r="I288" i="11"/>
  <c r="I289" i="11" s="1"/>
  <c r="G125" i="11"/>
  <c r="G126" i="11" s="1"/>
  <c r="E188" i="11"/>
  <c r="H121" i="11"/>
  <c r="H122" i="11" s="1"/>
  <c r="H124" i="11"/>
  <c r="I11" i="12" s="1"/>
  <c r="I12" i="12" s="1"/>
  <c r="I180" i="11"/>
  <c r="I181" i="11" s="1"/>
  <c r="I194" i="11"/>
  <c r="I199" i="11"/>
  <c r="F153" i="11"/>
  <c r="F155" i="11"/>
  <c r="I174" i="11"/>
  <c r="J17" i="12" s="1"/>
  <c r="J17" i="13" s="1"/>
  <c r="I159" i="11"/>
  <c r="J20" i="12" s="1"/>
  <c r="J20" i="13" s="1"/>
  <c r="I169" i="11"/>
  <c r="J15" i="12" s="1"/>
  <c r="J15" i="13" s="1"/>
  <c r="I164" i="11"/>
  <c r="J19" i="12" s="1"/>
  <c r="J19" i="13" s="1"/>
  <c r="G153" i="11"/>
  <c r="G155" i="11"/>
  <c r="I139" i="11"/>
  <c r="I143" i="11"/>
  <c r="I149" i="11" s="1"/>
  <c r="I144" i="11"/>
  <c r="I150" i="11" s="1"/>
  <c r="H152" i="11"/>
  <c r="J38" i="11"/>
  <c r="J112" i="11"/>
  <c r="J114" i="11" s="1"/>
  <c r="I114" i="11"/>
  <c r="I62" i="11"/>
  <c r="I68" i="11" s="1"/>
  <c r="I69" i="11" s="1"/>
  <c r="J87" i="11"/>
  <c r="J93" i="11" s="1"/>
  <c r="J94" i="11" s="1"/>
  <c r="J54" i="11"/>
  <c r="J51" i="11"/>
  <c r="J57" i="11"/>
  <c r="J41" i="11"/>
  <c r="K10" i="12" s="1"/>
  <c r="J18" i="11"/>
  <c r="I42" i="11"/>
  <c r="H95" i="12" l="1"/>
  <c r="H24" i="13"/>
  <c r="G11" i="17"/>
  <c r="G16" i="17" s="1"/>
  <c r="J67" i="14"/>
  <c r="J71" i="14"/>
  <c r="H41" i="14"/>
  <c r="H43" i="14" s="1"/>
  <c r="H12" i="13"/>
  <c r="I85" i="12"/>
  <c r="I16" i="14"/>
  <c r="K29" i="13"/>
  <c r="K10" i="13"/>
  <c r="K11" i="13"/>
  <c r="K42" i="14"/>
  <c r="K46" i="14" s="1"/>
  <c r="K50" i="14" s="1"/>
  <c r="K54" i="14" s="1"/>
  <c r="I41" i="14"/>
  <c r="I43" i="14" s="1"/>
  <c r="I12" i="13"/>
  <c r="H96" i="12"/>
  <c r="G12" i="17"/>
  <c r="G17" i="17" s="1"/>
  <c r="H25" i="13"/>
  <c r="G213" i="11"/>
  <c r="G214" i="11" s="1"/>
  <c r="H211" i="11" s="1"/>
  <c r="J222" i="11"/>
  <c r="G208" i="11"/>
  <c r="G209" i="11" s="1"/>
  <c r="I233" i="11"/>
  <c r="H233" i="11"/>
  <c r="H236" i="11" s="1"/>
  <c r="I25" i="12" s="1"/>
  <c r="G243" i="11"/>
  <c r="I102" i="12"/>
  <c r="G84" i="12"/>
  <c r="I207" i="11"/>
  <c r="J223" i="11" s="1"/>
  <c r="J100" i="12"/>
  <c r="I21" i="17" s="1"/>
  <c r="H222" i="11"/>
  <c r="H225" i="11" s="1"/>
  <c r="I24" i="12" s="1"/>
  <c r="I212" i="11"/>
  <c r="I234" i="11" s="1"/>
  <c r="I236" i="11" s="1"/>
  <c r="J25" i="12" s="1"/>
  <c r="J101" i="12"/>
  <c r="I22" i="17" s="1"/>
  <c r="I104" i="12"/>
  <c r="J48" i="12"/>
  <c r="J82" i="12" s="1"/>
  <c r="J21" i="14" s="1"/>
  <c r="J23" i="14" s="1"/>
  <c r="I300" i="11"/>
  <c r="J49" i="12"/>
  <c r="I301" i="11"/>
  <c r="H63" i="12"/>
  <c r="H66" i="12" s="1"/>
  <c r="H11" i="14" s="1"/>
  <c r="H17" i="14" s="1"/>
  <c r="G305" i="11"/>
  <c r="G308" i="11" s="1"/>
  <c r="J65" i="12"/>
  <c r="J87" i="12" s="1"/>
  <c r="I307" i="11"/>
  <c r="H47" i="12"/>
  <c r="G299" i="11"/>
  <c r="G303" i="11" s="1"/>
  <c r="G310" i="11" s="1"/>
  <c r="H97" i="12" s="1"/>
  <c r="G20" i="17" s="1"/>
  <c r="J64" i="12"/>
  <c r="J88" i="12" s="1"/>
  <c r="I306" i="11"/>
  <c r="J50" i="12"/>
  <c r="J86" i="12" s="1"/>
  <c r="I302" i="11"/>
  <c r="G57" i="12"/>
  <c r="K36" i="12"/>
  <c r="N10" i="12"/>
  <c r="M10" i="12"/>
  <c r="G187" i="11"/>
  <c r="G242" i="11" s="1"/>
  <c r="H18" i="12"/>
  <c r="I37" i="12"/>
  <c r="H37" i="12"/>
  <c r="F187" i="11"/>
  <c r="F242" i="11" s="1"/>
  <c r="F245" i="11" s="1"/>
  <c r="F246" i="11" s="1"/>
  <c r="G18" i="12"/>
  <c r="I185" i="11"/>
  <c r="J16" i="12"/>
  <c r="J16" i="13" s="1"/>
  <c r="F41" i="12"/>
  <c r="I317" i="11"/>
  <c r="H241" i="11"/>
  <c r="H268" i="11"/>
  <c r="H269" i="11" s="1"/>
  <c r="H283" i="11"/>
  <c r="H284" i="11" s="1"/>
  <c r="J240" i="11"/>
  <c r="J263" i="11"/>
  <c r="J264" i="11" s="1"/>
  <c r="J278" i="11"/>
  <c r="J279" i="11" s="1"/>
  <c r="J293" i="11"/>
  <c r="J294" i="11" s="1"/>
  <c r="J273" i="11"/>
  <c r="J274" i="11" s="1"/>
  <c r="J288" i="11"/>
  <c r="J289" i="11" s="1"/>
  <c r="H125" i="11"/>
  <c r="H126" i="11" s="1"/>
  <c r="I121" i="11"/>
  <c r="I122" i="11" s="1"/>
  <c r="I124" i="11"/>
  <c r="J11" i="12" s="1"/>
  <c r="J12" i="12" s="1"/>
  <c r="J121" i="11"/>
  <c r="J122" i="11" s="1"/>
  <c r="J180" i="11"/>
  <c r="J181" i="11" s="1"/>
  <c r="J199" i="11"/>
  <c r="J194" i="11"/>
  <c r="J164" i="11"/>
  <c r="K19" i="12" s="1"/>
  <c r="K19" i="13" s="1"/>
  <c r="J159" i="11"/>
  <c r="K20" i="12" s="1"/>
  <c r="K20" i="13" s="1"/>
  <c r="J169" i="11"/>
  <c r="K15" i="12" s="1"/>
  <c r="K15" i="13" s="1"/>
  <c r="J174" i="11"/>
  <c r="K17" i="12" s="1"/>
  <c r="K17" i="13" s="1"/>
  <c r="H155" i="11"/>
  <c r="H153" i="11"/>
  <c r="J143" i="11"/>
  <c r="J149" i="11" s="1"/>
  <c r="J144" i="11"/>
  <c r="J150" i="11" s="1"/>
  <c r="I152" i="11"/>
  <c r="J42" i="11"/>
  <c r="J139" i="11"/>
  <c r="J62" i="11"/>
  <c r="J68" i="11" s="1"/>
  <c r="J69" i="11" s="1"/>
  <c r="J96" i="12" l="1"/>
  <c r="J25" i="13"/>
  <c r="I12" i="17"/>
  <c r="I17" i="17" s="1"/>
  <c r="I95" i="12"/>
  <c r="H11" i="17"/>
  <c r="H16" i="17" s="1"/>
  <c r="I24" i="13"/>
  <c r="J12" i="13"/>
  <c r="J41" i="14"/>
  <c r="J43" i="14" s="1"/>
  <c r="G21" i="12"/>
  <c r="G18" i="13"/>
  <c r="H21" i="12"/>
  <c r="H38" i="12" s="1"/>
  <c r="H18" i="13"/>
  <c r="J85" i="12"/>
  <c r="J16" i="14"/>
  <c r="I96" i="12"/>
  <c r="H12" i="17"/>
  <c r="H17" i="17" s="1"/>
  <c r="I25" i="13"/>
  <c r="K67" i="14"/>
  <c r="K71" i="14"/>
  <c r="H243" i="11"/>
  <c r="H53" i="12"/>
  <c r="H206" i="11"/>
  <c r="H213" i="11"/>
  <c r="H214" i="11" s="1"/>
  <c r="I211" i="11" s="1"/>
  <c r="I223" i="11"/>
  <c r="I225" i="11" s="1"/>
  <c r="J24" i="12" s="1"/>
  <c r="J102" i="12"/>
  <c r="G245" i="11"/>
  <c r="G246" i="11" s="1"/>
  <c r="H33" i="12" s="1"/>
  <c r="J207" i="11"/>
  <c r="J224" i="11" s="1"/>
  <c r="J225" i="11" s="1"/>
  <c r="K24" i="12" s="1"/>
  <c r="K100" i="12"/>
  <c r="J21" i="17" s="1"/>
  <c r="J212" i="11"/>
  <c r="J235" i="11" s="1"/>
  <c r="K101" i="12"/>
  <c r="J22" i="17" s="1"/>
  <c r="J234" i="11"/>
  <c r="H83" i="12"/>
  <c r="H208" i="11"/>
  <c r="H84" i="12"/>
  <c r="G188" i="11"/>
  <c r="K65" i="12"/>
  <c r="K87" i="12" s="1"/>
  <c r="J307" i="11"/>
  <c r="I63" i="12"/>
  <c r="I84" i="12" s="1"/>
  <c r="H305" i="11"/>
  <c r="H308" i="11" s="1"/>
  <c r="K50" i="12"/>
  <c r="K86" i="12" s="1"/>
  <c r="J302" i="11"/>
  <c r="I47" i="12"/>
  <c r="I83" i="12" s="1"/>
  <c r="H299" i="11"/>
  <c r="H303" i="11" s="1"/>
  <c r="H310" i="11" s="1"/>
  <c r="I97" i="12" s="1"/>
  <c r="H20" i="17" s="1"/>
  <c r="H54" i="12"/>
  <c r="K49" i="12"/>
  <c r="J301" i="11"/>
  <c r="K64" i="12"/>
  <c r="K88" i="12" s="1"/>
  <c r="J306" i="11"/>
  <c r="K48" i="12"/>
  <c r="K82" i="12" s="1"/>
  <c r="K21" i="14" s="1"/>
  <c r="K23" i="14" s="1"/>
  <c r="J300" i="11"/>
  <c r="I351" i="11"/>
  <c r="I244" i="11" s="1"/>
  <c r="J29" i="12" s="1"/>
  <c r="J93" i="12" s="1"/>
  <c r="J106" i="12" s="1"/>
  <c r="J68" i="12"/>
  <c r="F188" i="11"/>
  <c r="G38" i="12"/>
  <c r="G26" i="12"/>
  <c r="M20" i="12"/>
  <c r="N20" i="12"/>
  <c r="J185" i="11"/>
  <c r="K16" i="12"/>
  <c r="K16" i="13" s="1"/>
  <c r="H187" i="11"/>
  <c r="H242" i="11" s="1"/>
  <c r="I18" i="12"/>
  <c r="M19" i="12"/>
  <c r="N19" i="12"/>
  <c r="M17" i="12"/>
  <c r="N17" i="12"/>
  <c r="J37" i="12"/>
  <c r="M15" i="12"/>
  <c r="N15" i="12"/>
  <c r="F247" i="11"/>
  <c r="F254" i="11" s="1"/>
  <c r="F255" i="11" s="1"/>
  <c r="G33" i="12"/>
  <c r="J314" i="11"/>
  <c r="I319" i="11"/>
  <c r="I318" i="11"/>
  <c r="I241" i="11"/>
  <c r="I268" i="11"/>
  <c r="I269" i="11" s="1"/>
  <c r="I283" i="11"/>
  <c r="I284" i="11" s="1"/>
  <c r="I213" i="11"/>
  <c r="I125" i="11"/>
  <c r="I126" i="11" s="1"/>
  <c r="J124" i="11"/>
  <c r="K11" i="12" s="1"/>
  <c r="I155" i="11"/>
  <c r="I153" i="11"/>
  <c r="J152" i="11"/>
  <c r="H26" i="12" l="1"/>
  <c r="H39" i="12" s="1"/>
  <c r="K95" i="12"/>
  <c r="K24" i="13"/>
  <c r="J11" i="17"/>
  <c r="J16" i="17" s="1"/>
  <c r="G14" i="17"/>
  <c r="H33" i="13"/>
  <c r="G10" i="17"/>
  <c r="G13" i="17" s="1"/>
  <c r="G15" i="17" s="1"/>
  <c r="G23" i="17" s="1"/>
  <c r="G29" i="17" s="1"/>
  <c r="H45" i="14"/>
  <c r="H47" i="14" s="1"/>
  <c r="H21" i="13"/>
  <c r="K85" i="12"/>
  <c r="K16" i="14"/>
  <c r="I21" i="12"/>
  <c r="I18" i="13"/>
  <c r="G49" i="14"/>
  <c r="G26" i="13"/>
  <c r="F14" i="17"/>
  <c r="G33" i="13"/>
  <c r="H49" i="14"/>
  <c r="H26" i="13"/>
  <c r="J95" i="12"/>
  <c r="I11" i="17"/>
  <c r="I16" i="17" s="1"/>
  <c r="J24" i="13"/>
  <c r="F10" i="17"/>
  <c r="F13" i="17" s="1"/>
  <c r="F15" i="17" s="1"/>
  <c r="F23" i="17" s="1"/>
  <c r="F29" i="17" s="1"/>
  <c r="G21" i="13"/>
  <c r="G45" i="14"/>
  <c r="G47" i="14" s="1"/>
  <c r="H245" i="11"/>
  <c r="H246" i="11" s="1"/>
  <c r="I33" i="12" s="1"/>
  <c r="H209" i="11"/>
  <c r="I206" i="11" s="1"/>
  <c r="I208" i="11"/>
  <c r="H57" i="12"/>
  <c r="I243" i="11"/>
  <c r="J236" i="11"/>
  <c r="K25" i="12" s="1"/>
  <c r="G247" i="11"/>
  <c r="G254" i="11" s="1"/>
  <c r="G255" i="11" s="1"/>
  <c r="H108" i="12" s="1"/>
  <c r="K102" i="12"/>
  <c r="F256" i="11"/>
  <c r="G253" i="11" s="1"/>
  <c r="G108" i="12"/>
  <c r="I66" i="12"/>
  <c r="I11" i="14" s="1"/>
  <c r="I17" i="14" s="1"/>
  <c r="J104" i="12"/>
  <c r="J47" i="12"/>
  <c r="I299" i="11"/>
  <c r="I303" i="11" s="1"/>
  <c r="J63" i="12"/>
  <c r="J84" i="12" s="1"/>
  <c r="I305" i="11"/>
  <c r="I308" i="11" s="1"/>
  <c r="I214" i="11"/>
  <c r="J211" i="11" s="1"/>
  <c r="I54" i="12"/>
  <c r="I187" i="11"/>
  <c r="I242" i="11" s="1"/>
  <c r="J18" i="12"/>
  <c r="M24" i="12"/>
  <c r="N24" i="12"/>
  <c r="H188" i="11"/>
  <c r="M16" i="12"/>
  <c r="N16" i="12"/>
  <c r="I26" i="12"/>
  <c r="I38" i="12"/>
  <c r="G39" i="12"/>
  <c r="M11" i="12"/>
  <c r="N11" i="12"/>
  <c r="K12" i="12"/>
  <c r="J317" i="11"/>
  <c r="J241" i="11"/>
  <c r="J283" i="11"/>
  <c r="J284" i="11" s="1"/>
  <c r="J268" i="11"/>
  <c r="J269" i="11" s="1"/>
  <c r="J125" i="11"/>
  <c r="J126" i="11" s="1"/>
  <c r="J208" i="11"/>
  <c r="J153" i="11"/>
  <c r="J155" i="11"/>
  <c r="H247" i="11" l="1"/>
  <c r="H254" i="11" s="1"/>
  <c r="H255" i="11" s="1"/>
  <c r="I108" i="12" s="1"/>
  <c r="I45" i="14"/>
  <c r="I47" i="14" s="1"/>
  <c r="I21" i="13"/>
  <c r="H10" i="17"/>
  <c r="H13" i="17" s="1"/>
  <c r="K41" i="14"/>
  <c r="K43" i="14" s="1"/>
  <c r="K12" i="13"/>
  <c r="J21" i="12"/>
  <c r="J26" i="12" s="1"/>
  <c r="J18" i="13"/>
  <c r="K96" i="12"/>
  <c r="K25" i="13"/>
  <c r="J12" i="17"/>
  <c r="J17" i="17" s="1"/>
  <c r="I49" i="14"/>
  <c r="I26" i="13"/>
  <c r="I53" i="12"/>
  <c r="I33" i="13"/>
  <c r="H14" i="17"/>
  <c r="H85" i="14"/>
  <c r="H90" i="14"/>
  <c r="H51" i="14"/>
  <c r="G90" i="14"/>
  <c r="G85" i="14"/>
  <c r="G51" i="14"/>
  <c r="M25" i="12"/>
  <c r="I209" i="11"/>
  <c r="J206" i="11" s="1"/>
  <c r="J209" i="11" s="1"/>
  <c r="K53" i="12" s="1"/>
  <c r="J66" i="12"/>
  <c r="J11" i="14" s="1"/>
  <c r="J17" i="14" s="1"/>
  <c r="J243" i="11"/>
  <c r="I245" i="11"/>
  <c r="I246" i="11" s="1"/>
  <c r="J33" i="12" s="1"/>
  <c r="N25" i="12"/>
  <c r="J213" i="11"/>
  <c r="J214" i="11" s="1"/>
  <c r="K54" i="12" s="1"/>
  <c r="G256" i="11"/>
  <c r="H74" i="12" s="1"/>
  <c r="H75" i="12" s="1"/>
  <c r="H28" i="14" s="1"/>
  <c r="H35" i="14" s="1"/>
  <c r="H62" i="14" s="1"/>
  <c r="G74" i="12"/>
  <c r="G75" i="12" s="1"/>
  <c r="G28" i="14" s="1"/>
  <c r="G35" i="14" s="1"/>
  <c r="G62" i="14" s="1"/>
  <c r="J83" i="12"/>
  <c r="K47" i="12"/>
  <c r="K83" i="12" s="1"/>
  <c r="J299" i="11"/>
  <c r="J303" i="11" s="1"/>
  <c r="K63" i="12"/>
  <c r="K84" i="12" s="1"/>
  <c r="J305" i="11"/>
  <c r="J308" i="11" s="1"/>
  <c r="I310" i="11"/>
  <c r="J97" i="12" s="1"/>
  <c r="I20" i="17" s="1"/>
  <c r="I57" i="12"/>
  <c r="J54" i="12"/>
  <c r="I188" i="11"/>
  <c r="J351" i="11"/>
  <c r="J244" i="11" s="1"/>
  <c r="K29" i="12" s="1"/>
  <c r="K93" i="12" s="1"/>
  <c r="K106" i="12" s="1"/>
  <c r="K68" i="12"/>
  <c r="J38" i="12"/>
  <c r="K37" i="12"/>
  <c r="M12" i="12"/>
  <c r="N12" i="12"/>
  <c r="I39" i="12"/>
  <c r="J187" i="11"/>
  <c r="J242" i="11" s="1"/>
  <c r="K18" i="12"/>
  <c r="K18" i="13" s="1"/>
  <c r="J318" i="11"/>
  <c r="J319" i="11"/>
  <c r="J26" i="13" l="1"/>
  <c r="J49" i="14"/>
  <c r="I14" i="17"/>
  <c r="J33" i="13"/>
  <c r="H15" i="17"/>
  <c r="H23" i="17" s="1"/>
  <c r="H29" i="17" s="1"/>
  <c r="J21" i="13"/>
  <c r="I10" i="17"/>
  <c r="I13" i="17" s="1"/>
  <c r="I15" i="17" s="1"/>
  <c r="I23" i="17" s="1"/>
  <c r="I29" i="17" s="1"/>
  <c r="J45" i="14"/>
  <c r="J47" i="14" s="1"/>
  <c r="I85" i="14"/>
  <c r="I90" i="14"/>
  <c r="I51" i="14"/>
  <c r="J53" i="12"/>
  <c r="J57" i="12" s="1"/>
  <c r="H253" i="11"/>
  <c r="H256" i="11" s="1"/>
  <c r="I253" i="11" s="1"/>
  <c r="I247" i="11"/>
  <c r="I254" i="11" s="1"/>
  <c r="I255" i="11" s="1"/>
  <c r="J108" i="12" s="1"/>
  <c r="K66" i="12"/>
  <c r="K11" i="14" s="1"/>
  <c r="K17" i="14" s="1"/>
  <c r="K104" i="12"/>
  <c r="J310" i="11"/>
  <c r="K97" i="12" s="1"/>
  <c r="J20" i="17" s="1"/>
  <c r="K57" i="12"/>
  <c r="J245" i="11"/>
  <c r="J246" i="11" s="1"/>
  <c r="K33" i="12" s="1"/>
  <c r="J188" i="11"/>
  <c r="M29" i="12"/>
  <c r="N29" i="12"/>
  <c r="M18" i="12"/>
  <c r="N18" i="12"/>
  <c r="K21" i="12"/>
  <c r="J39" i="12"/>
  <c r="J14" i="17" l="1"/>
  <c r="K33" i="13"/>
  <c r="J90" i="14"/>
  <c r="J85" i="14"/>
  <c r="J51" i="14"/>
  <c r="J10" i="17"/>
  <c r="K21" i="13"/>
  <c r="K45" i="14"/>
  <c r="K47" i="14" s="1"/>
  <c r="I256" i="11"/>
  <c r="J74" i="12" s="1"/>
  <c r="J75" i="12" s="1"/>
  <c r="J28" i="14" s="1"/>
  <c r="J35" i="14" s="1"/>
  <c r="J62" i="14" s="1"/>
  <c r="I74" i="12"/>
  <c r="I75" i="12" s="1"/>
  <c r="I28" i="14" s="1"/>
  <c r="I35" i="14" s="1"/>
  <c r="I62" i="14" s="1"/>
  <c r="J247" i="11"/>
  <c r="J254" i="11" s="1"/>
  <c r="J255" i="11" s="1"/>
  <c r="K108" i="12" s="1"/>
  <c r="M33" i="12"/>
  <c r="N33" i="12"/>
  <c r="K38" i="12"/>
  <c r="K26" i="12"/>
  <c r="M21" i="12"/>
  <c r="N21" i="12"/>
  <c r="J253" i="11" l="1"/>
  <c r="J256" i="11" s="1"/>
  <c r="K74" i="12" s="1"/>
  <c r="K75" i="12" s="1"/>
  <c r="K28" i="14" s="1"/>
  <c r="K35" i="14" s="1"/>
  <c r="K62" i="14" s="1"/>
  <c r="K26" i="13"/>
  <c r="K49" i="14"/>
  <c r="C62" i="17"/>
  <c r="C63" i="17" s="1"/>
  <c r="C64" i="17" s="1"/>
  <c r="J13" i="17"/>
  <c r="J15" i="17" s="1"/>
  <c r="J23" i="17" s="1"/>
  <c r="J29" i="17" s="1"/>
  <c r="K39" i="12"/>
  <c r="M26" i="12"/>
  <c r="N26" i="12"/>
  <c r="C47" i="17" l="1"/>
  <c r="C48" i="17" s="1"/>
  <c r="C49" i="17" s="1"/>
  <c r="C65" i="17"/>
  <c r="C66" i="17" s="1"/>
  <c r="C50" i="17"/>
  <c r="K90" i="14"/>
  <c r="K85" i="14"/>
  <c r="K51" i="14"/>
  <c r="C51" i="17" l="1"/>
  <c r="C71" i="17"/>
  <c r="C72" i="17"/>
  <c r="C69" i="17"/>
  <c r="C89" i="17" s="1"/>
  <c r="C54" i="17" l="1"/>
  <c r="C77" i="17" s="1"/>
  <c r="C56" i="17"/>
  <c r="C57" i="17"/>
  <c r="G30" i="12"/>
  <c r="H30" i="12"/>
  <c r="I30" i="12"/>
  <c r="J30" i="12"/>
  <c r="K30" i="12"/>
  <c r="M30" i="12"/>
  <c r="N30" i="12"/>
  <c r="G31" i="12"/>
  <c r="H31" i="12"/>
  <c r="I31" i="12"/>
  <c r="J31" i="12"/>
  <c r="K31" i="12"/>
  <c r="M31" i="12"/>
  <c r="N31" i="12"/>
  <c r="G34" i="12"/>
  <c r="H34" i="12"/>
  <c r="I34" i="12"/>
  <c r="J34" i="12"/>
  <c r="K34" i="12"/>
  <c r="M34" i="12"/>
  <c r="N34" i="12"/>
  <c r="G40" i="12"/>
  <c r="H40" i="12"/>
  <c r="I40" i="12"/>
  <c r="J40" i="12"/>
  <c r="K40" i="12"/>
  <c r="G41" i="12"/>
  <c r="H41" i="12"/>
  <c r="I41" i="12"/>
  <c r="J41" i="12"/>
  <c r="K41" i="12"/>
  <c r="G46" i="12"/>
  <c r="H46" i="12"/>
  <c r="I46" i="12"/>
  <c r="J46" i="12"/>
  <c r="K46" i="12"/>
  <c r="G51" i="12"/>
  <c r="H51" i="12"/>
  <c r="I51" i="12"/>
  <c r="J51" i="12"/>
  <c r="K51" i="12"/>
  <c r="G59" i="12"/>
  <c r="H59" i="12"/>
  <c r="I59" i="12"/>
  <c r="J59" i="12"/>
  <c r="K59" i="12"/>
  <c r="G69" i="12"/>
  <c r="H69" i="12"/>
  <c r="I69" i="12"/>
  <c r="J69" i="12"/>
  <c r="K69" i="12"/>
  <c r="G71" i="12"/>
  <c r="H71" i="12"/>
  <c r="I71" i="12"/>
  <c r="J71" i="12"/>
  <c r="K71" i="12"/>
  <c r="G77" i="12"/>
  <c r="H77" i="12"/>
  <c r="I77" i="12"/>
  <c r="J77" i="12"/>
  <c r="K77" i="12"/>
  <c r="G79" i="12"/>
  <c r="H79" i="12"/>
  <c r="I79" i="12"/>
  <c r="J79" i="12"/>
  <c r="K79" i="12"/>
  <c r="G81" i="12"/>
  <c r="H81" i="12"/>
  <c r="I81" i="12"/>
  <c r="J81" i="12"/>
  <c r="K81" i="12"/>
  <c r="G92" i="12"/>
  <c r="H92" i="12"/>
  <c r="I92" i="12"/>
  <c r="J92" i="12"/>
  <c r="K92" i="12"/>
  <c r="G94" i="12"/>
  <c r="H94" i="12"/>
  <c r="I94" i="12"/>
  <c r="J94" i="12"/>
  <c r="K94" i="12"/>
  <c r="G98" i="12"/>
  <c r="H98" i="12"/>
  <c r="I98" i="12"/>
  <c r="J98" i="12"/>
  <c r="K98" i="12"/>
  <c r="G105" i="12"/>
  <c r="H105" i="12"/>
  <c r="I105" i="12"/>
  <c r="J105" i="12"/>
  <c r="K105" i="12"/>
  <c r="G107" i="12"/>
  <c r="H107" i="12"/>
  <c r="I107" i="12"/>
  <c r="J107" i="12"/>
  <c r="K107" i="12"/>
  <c r="G109" i="12"/>
  <c r="H109" i="12"/>
  <c r="I109" i="12"/>
  <c r="J109" i="12"/>
  <c r="K109" i="12"/>
  <c r="G111" i="12"/>
  <c r="H111" i="12"/>
  <c r="I111" i="12"/>
  <c r="J111" i="12"/>
  <c r="K111" i="12"/>
  <c r="H112" i="12"/>
  <c r="I112" i="12"/>
  <c r="J112" i="12"/>
  <c r="K112" i="12"/>
  <c r="G113" i="12"/>
  <c r="H113" i="12"/>
  <c r="I113" i="12"/>
  <c r="J113" i="12"/>
  <c r="K113" i="12"/>
  <c r="G30" i="13"/>
  <c r="H30" i="13"/>
  <c r="I30" i="13"/>
  <c r="J30" i="13"/>
  <c r="K30" i="13"/>
  <c r="G31" i="13"/>
  <c r="H31" i="13"/>
  <c r="I31" i="13"/>
  <c r="J31" i="13"/>
  <c r="K31" i="13"/>
  <c r="G34" i="13"/>
  <c r="H34" i="13"/>
  <c r="I34" i="13"/>
  <c r="J34" i="13"/>
  <c r="K34" i="13"/>
  <c r="G40" i="13"/>
  <c r="H40" i="13"/>
  <c r="I40" i="13"/>
  <c r="J40" i="13"/>
  <c r="K40" i="13"/>
  <c r="G41" i="13"/>
  <c r="H41" i="13"/>
  <c r="I41" i="13"/>
  <c r="J41" i="13"/>
  <c r="K41" i="13"/>
  <c r="G42" i="13"/>
  <c r="H42" i="13"/>
  <c r="I42" i="13"/>
  <c r="J42" i="13"/>
  <c r="K42" i="13"/>
  <c r="G43" i="13"/>
  <c r="H43" i="13"/>
  <c r="I43" i="13"/>
  <c r="J43" i="13"/>
  <c r="K43" i="13"/>
  <c r="G44" i="13"/>
  <c r="H44" i="13"/>
  <c r="I44" i="13"/>
  <c r="J44" i="13"/>
  <c r="K44" i="13"/>
  <c r="G45" i="13"/>
  <c r="H45" i="13"/>
  <c r="I45" i="13"/>
  <c r="J45" i="13"/>
  <c r="K45" i="13"/>
  <c r="G47" i="13"/>
  <c r="H47" i="13"/>
  <c r="I47" i="13"/>
  <c r="J47" i="13"/>
  <c r="K47" i="13"/>
  <c r="G48" i="13"/>
  <c r="H48" i="13"/>
  <c r="I48" i="13"/>
  <c r="J48" i="13"/>
  <c r="K48" i="13"/>
  <c r="G49" i="13"/>
  <c r="H49" i="13"/>
  <c r="I49" i="13"/>
  <c r="J49" i="13"/>
  <c r="K49" i="13"/>
  <c r="G50" i="13"/>
  <c r="H50" i="13"/>
  <c r="I50" i="13"/>
  <c r="J50" i="13"/>
  <c r="K50" i="13"/>
  <c r="G51" i="13"/>
  <c r="H51" i="13"/>
  <c r="I51" i="13"/>
  <c r="J51" i="13"/>
  <c r="K51" i="13"/>
  <c r="G53" i="13"/>
  <c r="H53" i="13"/>
  <c r="I53" i="13"/>
  <c r="J53" i="13"/>
  <c r="K53" i="13"/>
  <c r="G57" i="13"/>
  <c r="H57" i="13"/>
  <c r="I57" i="13"/>
  <c r="J57" i="13"/>
  <c r="K57" i="13"/>
  <c r="G58" i="13"/>
  <c r="H58" i="13"/>
  <c r="I58" i="13"/>
  <c r="J58" i="13"/>
  <c r="K58" i="13"/>
  <c r="G59" i="13"/>
  <c r="H59" i="13"/>
  <c r="I59" i="13"/>
  <c r="J59" i="13"/>
  <c r="K59" i="13"/>
  <c r="G60" i="13"/>
  <c r="H60" i="13"/>
  <c r="I60" i="13"/>
  <c r="J60" i="13"/>
  <c r="K60" i="13"/>
  <c r="G62" i="13"/>
  <c r="H62" i="13"/>
  <c r="I62" i="13"/>
  <c r="J62" i="13"/>
  <c r="K62" i="13"/>
  <c r="G63" i="13"/>
  <c r="H63" i="13"/>
  <c r="I63" i="13"/>
  <c r="J63" i="13"/>
  <c r="K63" i="13"/>
  <c r="G64" i="13"/>
  <c r="H64" i="13"/>
  <c r="I64" i="13"/>
  <c r="J64" i="13"/>
  <c r="K64" i="13"/>
  <c r="G65" i="13"/>
  <c r="H65" i="13"/>
  <c r="I65" i="13"/>
  <c r="J65" i="13"/>
  <c r="K65" i="13"/>
  <c r="G67" i="13"/>
  <c r="H67" i="13"/>
  <c r="I67" i="13"/>
  <c r="J67" i="13"/>
  <c r="K67" i="13"/>
  <c r="G68" i="13"/>
  <c r="H68" i="13"/>
  <c r="I68" i="13"/>
  <c r="J68" i="13"/>
  <c r="K68" i="13"/>
  <c r="G69" i="13"/>
  <c r="H69" i="13"/>
  <c r="I69" i="13"/>
  <c r="J69" i="13"/>
  <c r="K69" i="13"/>
  <c r="G71" i="13"/>
  <c r="H71" i="13"/>
  <c r="I71" i="13"/>
  <c r="J71" i="13"/>
  <c r="K71" i="13"/>
  <c r="G10" i="14"/>
  <c r="H10" i="14"/>
  <c r="I10" i="14"/>
  <c r="J10" i="14"/>
  <c r="K10" i="14"/>
  <c r="G12" i="14"/>
  <c r="H12" i="14"/>
  <c r="I12" i="14"/>
  <c r="J12" i="14"/>
  <c r="K12" i="14"/>
  <c r="G14" i="14"/>
  <c r="H14" i="14"/>
  <c r="I14" i="14"/>
  <c r="J14" i="14"/>
  <c r="K14" i="14"/>
  <c r="G18" i="14"/>
  <c r="H18" i="14"/>
  <c r="I18" i="14"/>
  <c r="J18" i="14"/>
  <c r="K18" i="14"/>
  <c r="G27" i="14"/>
  <c r="H27" i="14"/>
  <c r="I27" i="14"/>
  <c r="J27" i="14"/>
  <c r="K27" i="14"/>
  <c r="G29" i="14"/>
  <c r="H29" i="14"/>
  <c r="I29" i="14"/>
  <c r="J29" i="14"/>
  <c r="K29" i="14"/>
  <c r="G31" i="14"/>
  <c r="H31" i="14"/>
  <c r="I31" i="14"/>
  <c r="J31" i="14"/>
  <c r="K31" i="14"/>
  <c r="G32" i="14"/>
  <c r="H32" i="14"/>
  <c r="I32" i="14"/>
  <c r="J32" i="14"/>
  <c r="K32" i="14"/>
  <c r="G33" i="14"/>
  <c r="H33" i="14"/>
  <c r="I33" i="14"/>
  <c r="J33" i="14"/>
  <c r="K33" i="14"/>
  <c r="G36" i="14"/>
  <c r="H36" i="14"/>
  <c r="I36" i="14"/>
  <c r="J36" i="14"/>
  <c r="K36" i="14"/>
  <c r="G37" i="14"/>
  <c r="H37" i="14"/>
  <c r="I37" i="14"/>
  <c r="J37" i="14"/>
  <c r="K37" i="14"/>
  <c r="G53" i="14"/>
  <c r="H53" i="14"/>
  <c r="I53" i="14"/>
  <c r="J53" i="14"/>
  <c r="K53" i="14"/>
  <c r="G55" i="14"/>
  <c r="H55" i="14"/>
  <c r="I55" i="14"/>
  <c r="J55" i="14"/>
  <c r="K55" i="14"/>
  <c r="G57" i="14"/>
  <c r="H57" i="14"/>
  <c r="I57" i="14"/>
  <c r="J57" i="14"/>
  <c r="K57" i="14"/>
  <c r="G58" i="14"/>
  <c r="H58" i="14"/>
  <c r="I58" i="14"/>
  <c r="J58" i="14"/>
  <c r="K58" i="14"/>
  <c r="G59" i="14"/>
  <c r="H59" i="14"/>
  <c r="I59" i="14"/>
  <c r="J59" i="14"/>
  <c r="K59" i="14"/>
  <c r="G61" i="14"/>
  <c r="H61" i="14"/>
  <c r="I61" i="14"/>
  <c r="J61" i="14"/>
  <c r="K61" i="14"/>
  <c r="G63" i="14"/>
  <c r="H63" i="14"/>
  <c r="I63" i="14"/>
  <c r="J63" i="14"/>
  <c r="K63" i="14"/>
  <c r="G68" i="14"/>
  <c r="H68" i="14"/>
  <c r="I68" i="14"/>
  <c r="J68" i="14"/>
  <c r="K68" i="14"/>
  <c r="G69" i="14"/>
  <c r="H69" i="14"/>
  <c r="I69" i="14"/>
  <c r="J69" i="14"/>
  <c r="K69" i="14"/>
  <c r="G72" i="14"/>
  <c r="H72" i="14"/>
  <c r="I72" i="14"/>
  <c r="J72" i="14"/>
  <c r="K72" i="14"/>
  <c r="G73" i="14"/>
  <c r="H73" i="14"/>
  <c r="I73" i="14"/>
  <c r="J73" i="14"/>
  <c r="K73" i="14"/>
  <c r="G81" i="14"/>
  <c r="H81" i="14"/>
  <c r="I81" i="14"/>
  <c r="J81" i="14"/>
  <c r="K81" i="14"/>
  <c r="G82" i="14"/>
  <c r="H82" i="14"/>
  <c r="I82" i="14"/>
  <c r="J82" i="14"/>
  <c r="K82" i="14"/>
  <c r="G83" i="14"/>
  <c r="H83" i="14"/>
  <c r="I83" i="14"/>
  <c r="J83" i="14"/>
  <c r="K83" i="14"/>
  <c r="G86" i="14"/>
  <c r="H86" i="14"/>
  <c r="I86" i="14"/>
  <c r="J86" i="14"/>
  <c r="K86" i="14"/>
  <c r="G88" i="14"/>
  <c r="H88" i="14"/>
  <c r="I88" i="14"/>
  <c r="J88" i="14"/>
  <c r="K88" i="14"/>
  <c r="G91" i="14"/>
  <c r="H91" i="14"/>
  <c r="I91" i="14"/>
  <c r="J91" i="14"/>
  <c r="K91" i="14"/>
  <c r="G92" i="14"/>
  <c r="H92" i="14"/>
  <c r="I92" i="14"/>
  <c r="J92" i="14"/>
  <c r="K92" i="14"/>
  <c r="G332" i="11"/>
  <c r="H332" i="11"/>
  <c r="I332" i="11"/>
  <c r="J332" i="11"/>
  <c r="F333" i="11"/>
  <c r="G333" i="11"/>
  <c r="H333" i="11"/>
  <c r="I333" i="11"/>
  <c r="J333" i="11"/>
  <c r="F334" i="11"/>
  <c r="G334" i="11"/>
  <c r="H334" i="11"/>
  <c r="I334" i="11"/>
  <c r="J334" i="11"/>
  <c r="F335" i="11"/>
  <c r="G335" i="11"/>
  <c r="H335" i="11"/>
  <c r="I335" i="11"/>
  <c r="J335" i="11"/>
  <c r="G337" i="11"/>
  <c r="H337" i="11"/>
  <c r="I337" i="11"/>
  <c r="J337" i="11"/>
  <c r="F338" i="11"/>
  <c r="G338" i="11"/>
  <c r="H338" i="11"/>
  <c r="I338" i="11"/>
  <c r="J338" i="11"/>
  <c r="F339" i="11"/>
  <c r="G339" i="11"/>
  <c r="H339" i="11"/>
  <c r="I339" i="11"/>
  <c r="J339" i="11"/>
  <c r="F352" i="11"/>
  <c r="G352" i="11"/>
  <c r="H352" i="11"/>
  <c r="I352" i="11"/>
  <c r="J352" i="11"/>
  <c r="F353" i="11"/>
  <c r="G353" i="11"/>
  <c r="H353" i="11"/>
  <c r="I353" i="11"/>
  <c r="J353" i="11"/>
</calcChain>
</file>

<file path=xl/sharedStrings.xml><?xml version="1.0" encoding="utf-8"?>
<sst xmlns="http://schemas.openxmlformats.org/spreadsheetml/2006/main" count="727" uniqueCount="354">
  <si>
    <t>Mrs Sector</t>
  </si>
  <si>
    <t>Audited Balance Sheet</t>
  </si>
  <si>
    <t>In Rs Crores unless stated otherwise</t>
  </si>
  <si>
    <t>Assets</t>
  </si>
  <si>
    <t>Cash</t>
  </si>
  <si>
    <t>Inventory</t>
  </si>
  <si>
    <t>Debtors</t>
  </si>
  <si>
    <t>Prepaid Expenses</t>
  </si>
  <si>
    <t>Other Current Assets</t>
  </si>
  <si>
    <t>Total Current Assets</t>
  </si>
  <si>
    <t>Net Property, Plant &amp; Equipment</t>
  </si>
  <si>
    <t>Net Intangible Assets</t>
  </si>
  <si>
    <t>Goodwill</t>
  </si>
  <si>
    <t>Other Non-Current Assets</t>
  </si>
  <si>
    <t>Total Non-Current Assets</t>
  </si>
  <si>
    <t>Total Assets</t>
  </si>
  <si>
    <t>Liabilities and Shareholders' Equity</t>
  </si>
  <si>
    <t>Creditors</t>
  </si>
  <si>
    <t>Other Payables</t>
  </si>
  <si>
    <t>Other Current Liabilities</t>
  </si>
  <si>
    <t>Total Current Liabilities</t>
  </si>
  <si>
    <t>Senior Term Loan</t>
  </si>
  <si>
    <t>Revolving Credit</t>
  </si>
  <si>
    <t>Other Non-Current Liabilities</t>
  </si>
  <si>
    <t>Total Non-Current Liabilities</t>
  </si>
  <si>
    <t>Equity Shares</t>
  </si>
  <si>
    <t>Retained Earnings</t>
  </si>
  <si>
    <t>Total Shareholders' Equity</t>
  </si>
  <si>
    <t>Total Liabilities and Shareholders' Equity</t>
  </si>
  <si>
    <t>Audited Income Statement</t>
  </si>
  <si>
    <t>Sales</t>
  </si>
  <si>
    <t>Less: Cost of Goods Sold</t>
  </si>
  <si>
    <t>Gross Profit</t>
  </si>
  <si>
    <t>Less: Selling, General and Admin (SG&amp;A)</t>
  </si>
  <si>
    <t>Administrative Costs</t>
  </si>
  <si>
    <t>Depreciation</t>
  </si>
  <si>
    <t>Amortization</t>
  </si>
  <si>
    <t>Executive Compensation</t>
  </si>
  <si>
    <t>Marketing Costs</t>
  </si>
  <si>
    <t>Rent</t>
  </si>
  <si>
    <t>Retailer Commission</t>
  </si>
  <si>
    <t>Salaries and Wages</t>
  </si>
  <si>
    <t>Total SG&amp;A</t>
  </si>
  <si>
    <t>Pre-Tax Profit</t>
  </si>
  <si>
    <t>Less: Taxes</t>
  </si>
  <si>
    <t>Net Income</t>
  </si>
  <si>
    <t>Mrs Sector Foods</t>
  </si>
  <si>
    <t>Control Sheet</t>
  </si>
  <si>
    <t>In INR Crores unless stated otherwise</t>
  </si>
  <si>
    <t>Actual</t>
  </si>
  <si>
    <t>Explicit Forecast Period</t>
  </si>
  <si>
    <t>Sales Assumptions</t>
  </si>
  <si>
    <t>#</t>
  </si>
  <si>
    <t>Price/Box - yoy % Growth</t>
  </si>
  <si>
    <t>Management Case</t>
  </si>
  <si>
    <t>Best Case</t>
  </si>
  <si>
    <t>Worst Case</t>
  </si>
  <si>
    <t>Current Case:</t>
  </si>
  <si>
    <t>Pickles</t>
  </si>
  <si>
    <t>Price/Sachets - yoy % Growth</t>
  </si>
  <si>
    <t>Sauces</t>
  </si>
  <si>
    <t>Number of Sachets Sold - yoy % Growth</t>
  </si>
  <si>
    <t>Number of Boxes Sold - yoy % Growth</t>
  </si>
  <si>
    <t>Price/Box</t>
  </si>
  <si>
    <t>Cereals</t>
  </si>
  <si>
    <t>Price Growth % YoY</t>
  </si>
  <si>
    <t>Volume Growth % YoY</t>
  </si>
  <si>
    <t>Price/Sachets</t>
  </si>
  <si>
    <t>Number of Boxes Sold (in crs)</t>
  </si>
  <si>
    <t>Number of Sachets Sold (in crs)</t>
  </si>
  <si>
    <t>Total Sales</t>
  </si>
  <si>
    <t>Total Sales - Growth % YoY</t>
  </si>
  <si>
    <t>Sales Schedule</t>
  </si>
  <si>
    <t>COGS Schedule</t>
  </si>
  <si>
    <t>COGS Assumptions</t>
  </si>
  <si>
    <t>Raw Material Cost - yoy % Growth</t>
  </si>
  <si>
    <t>Labour Cost - yoy % Growth</t>
  </si>
  <si>
    <t>Packaging Cost - yoy % Growth</t>
  </si>
  <si>
    <t>Delivery Cost - yoy % Growth</t>
  </si>
  <si>
    <t>Total Boxes Sold</t>
  </si>
  <si>
    <t>Raw Material Cost/Box</t>
  </si>
  <si>
    <t>Total Raw Material Cost</t>
  </si>
  <si>
    <t>Labour Cost/Box</t>
  </si>
  <si>
    <t>Total Labour Cost</t>
  </si>
  <si>
    <t>Packaging Cost/Box</t>
  </si>
  <si>
    <t>Total Packaging Cost</t>
  </si>
  <si>
    <t>Delivery Cost/Box</t>
  </si>
  <si>
    <t>Total Delivery Cost</t>
  </si>
  <si>
    <t>Total Sachets Sold</t>
  </si>
  <si>
    <t>Raw Material Cost/Sachets</t>
  </si>
  <si>
    <t>Labour Cost/Sachets</t>
  </si>
  <si>
    <t>Packaging Cost/Sachets</t>
  </si>
  <si>
    <t>Delivery Cost/Sachets</t>
  </si>
  <si>
    <t>Raw Material Cost - Growth % YoY</t>
  </si>
  <si>
    <t>Labour Cost - Growth % YoY</t>
  </si>
  <si>
    <t>Packaging Cost - Growth % YoY</t>
  </si>
  <si>
    <t>Delivery Cost - Growth % YoY</t>
  </si>
  <si>
    <t>Spoilage Allowance</t>
  </si>
  <si>
    <t>Spoilage Allowance % of Sales</t>
  </si>
  <si>
    <t>Spoilage Allowance % Sales</t>
  </si>
  <si>
    <t>Selling, General &amp; Administration (SG&amp;A) Assumptions</t>
  </si>
  <si>
    <t>Rental Expense</t>
  </si>
  <si>
    <t>Bangalore Factory Rent - yoy % Growth</t>
  </si>
  <si>
    <t>Noida Factory Rent - yoy % Growth</t>
  </si>
  <si>
    <t>Salary &amp; Wages Expense % Sales</t>
  </si>
  <si>
    <t>Retailer Commission % Sales</t>
  </si>
  <si>
    <t>Administrative Cost % Sales</t>
  </si>
  <si>
    <t>Marketing Cost % Sales</t>
  </si>
  <si>
    <t>Base Pay - yoy % Growth</t>
  </si>
  <si>
    <t>Bonus Pay % Sales</t>
  </si>
  <si>
    <t>Schedules</t>
  </si>
  <si>
    <t>SG&amp;A (Excluding Depreciation &amp; Interest Expenses) Schedule</t>
  </si>
  <si>
    <t>Rent - Current Factories</t>
  </si>
  <si>
    <t>Bangalore Factory Rent</t>
  </si>
  <si>
    <t>Noida Factory Rent</t>
  </si>
  <si>
    <t>Bangalore Factory Rent - Growth % YoY</t>
  </si>
  <si>
    <t>Noida Factory Rent - Growth % YoY</t>
  </si>
  <si>
    <t>Total Current Factory Rent - Growth % YoY</t>
  </si>
  <si>
    <t>Total Current Factory Rent % Sales</t>
  </si>
  <si>
    <t>Rent - New Factories</t>
  </si>
  <si>
    <t>Bangalore Factory - Share in Sales</t>
  </si>
  <si>
    <t>Noida Factory - Share in Sales</t>
  </si>
  <si>
    <t>Total Area (in Sq ft)</t>
  </si>
  <si>
    <t>Bangalore Factory - Max Capacity</t>
  </si>
  <si>
    <t>Noida Factory - Max Capacity</t>
  </si>
  <si>
    <t>Current Usage</t>
  </si>
  <si>
    <t>Bangalore Factory - Capacity Available?</t>
  </si>
  <si>
    <t>Noida Factory - Capacity Available?</t>
  </si>
  <si>
    <t>Assam Factory Rent</t>
  </si>
  <si>
    <t>Assam Factory Rent % Sales</t>
  </si>
  <si>
    <t>Total Rent</t>
  </si>
  <si>
    <t>Salaries &amp; Wages</t>
  </si>
  <si>
    <t>Commission Expenses</t>
  </si>
  <si>
    <t>Administrative Expenses</t>
  </si>
  <si>
    <t>Marketing Expenses</t>
  </si>
  <si>
    <t>Executive Compensation Expenses</t>
  </si>
  <si>
    <t>Base Salary</t>
  </si>
  <si>
    <t>Bonus Salary</t>
  </si>
  <si>
    <t>Base Salary - YoY % Growth</t>
  </si>
  <si>
    <t>Bonus Salary % Sales</t>
  </si>
  <si>
    <t>Total Salary % Sales</t>
  </si>
  <si>
    <t>Total SG&amp;A (Excluding Depreciation &amp; Interest Expenses)</t>
  </si>
  <si>
    <t>Total SG&amp;A % Sales</t>
  </si>
  <si>
    <t>Non Current Asset Assumptions</t>
  </si>
  <si>
    <t>Tangible Non Current Asset</t>
  </si>
  <si>
    <t>Intangible Non Current Asset</t>
  </si>
  <si>
    <t>Tax Rate Assumptions</t>
  </si>
  <si>
    <t>Marginal Tax Rate</t>
  </si>
  <si>
    <t>Senior Term Loan Assumptions</t>
  </si>
  <si>
    <t>Senior Term Loan (In Crores)</t>
  </si>
  <si>
    <t>Bank Rate Assumptions</t>
  </si>
  <si>
    <t>Bank Rate - YoY % Growth</t>
  </si>
  <si>
    <t>Bank Rate %</t>
  </si>
  <si>
    <t>Revolving Interest Assumptions</t>
  </si>
  <si>
    <t>Revolving Interest %</t>
  </si>
  <si>
    <t>Dividend Payout Assumptions</t>
  </si>
  <si>
    <t>Dividend Payout %</t>
  </si>
  <si>
    <t>Tangible Non Current Assets</t>
  </si>
  <si>
    <t>Non Current Assets Schedule</t>
  </si>
  <si>
    <t>Total Tangible Non Current Assets - Amount Spend</t>
  </si>
  <si>
    <t>Intangible Non Current Assets</t>
  </si>
  <si>
    <t>Total Intangible Non Current Assets - Amount Spend</t>
  </si>
  <si>
    <t>Depreciation Schedule</t>
  </si>
  <si>
    <t>PP&amp;E - Beginning of the Year</t>
  </si>
  <si>
    <t>Add: Tangible Assets Spend</t>
  </si>
  <si>
    <t>Less: Depreciation</t>
  </si>
  <si>
    <t>PP&amp;E - Ending of the Year</t>
  </si>
  <si>
    <t>Intangible Non Current Assets - Beginning of the Year</t>
  </si>
  <si>
    <t>Add: Intangible Assets Spend</t>
  </si>
  <si>
    <t>Intangible Non Current Assets - Ending of the Year</t>
  </si>
  <si>
    <t>Useful Life</t>
  </si>
  <si>
    <t>Depreciation Waterfall Schedule</t>
  </si>
  <si>
    <t>Total Depreciation</t>
  </si>
  <si>
    <t>Amortization Waterfall Schedule</t>
  </si>
  <si>
    <t>Total Amortization</t>
  </si>
  <si>
    <t>Tax Expense Schedule</t>
  </si>
  <si>
    <t>Revenue</t>
  </si>
  <si>
    <t>Less: SG&amp;A Expenses</t>
  </si>
  <si>
    <t>Less: Interest Expenses</t>
  </si>
  <si>
    <t>Earnings before Tax</t>
  </si>
  <si>
    <t>Less: Tax Expenses</t>
  </si>
  <si>
    <t>Less: Amortization</t>
  </si>
  <si>
    <t>Total COGS - All Products</t>
  </si>
  <si>
    <t>Total Cost - All Products % Sales</t>
  </si>
  <si>
    <t>Total Gross Margin (All Products)</t>
  </si>
  <si>
    <t>Less: Depreciation &amp; Amortization</t>
  </si>
  <si>
    <t>Retained Earnings Schedule</t>
  </si>
  <si>
    <t>Retained Earnings - Beginning of the Year</t>
  </si>
  <si>
    <t>Add: Net Income</t>
  </si>
  <si>
    <t>Less: Dividend Paid</t>
  </si>
  <si>
    <t>Retained Earnings - Ending of the Year</t>
  </si>
  <si>
    <t>Dividend Payout Rate %</t>
  </si>
  <si>
    <t>Working Capital Schedule</t>
  </si>
  <si>
    <t>COGS</t>
  </si>
  <si>
    <t>Debtor Days</t>
  </si>
  <si>
    <t>Creditor Days</t>
  </si>
  <si>
    <t>Loan Schedule</t>
  </si>
  <si>
    <t>Debt - Beginning of the Year</t>
  </si>
  <si>
    <t>Add: Additional Debt Raised</t>
  </si>
  <si>
    <t>Less: Debt Repayments</t>
  </si>
  <si>
    <t>Debt - End of the Year</t>
  </si>
  <si>
    <t>Loan Repayment Schedule</t>
  </si>
  <si>
    <t>Debt - YoY % Growth</t>
  </si>
  <si>
    <t>Debt Growth - INR</t>
  </si>
  <si>
    <t>Total Debt Repayments</t>
  </si>
  <si>
    <t>Interest Schedule</t>
  </si>
  <si>
    <t>Bank Rate</t>
  </si>
  <si>
    <t>Spread</t>
  </si>
  <si>
    <t>Total Interest Rate</t>
  </si>
  <si>
    <t>Debt Interest Expense</t>
  </si>
  <si>
    <t>3 Statement Model</t>
  </si>
  <si>
    <t>Less: SG&amp;A Expenses (Excluding Depreciation &amp; Interest Expense)</t>
  </si>
  <si>
    <t>Less: Total Interest Expense</t>
  </si>
  <si>
    <t>Loan Interest Expense</t>
  </si>
  <si>
    <t xml:space="preserve">  </t>
  </si>
  <si>
    <t>Revolver Expense</t>
  </si>
  <si>
    <t>Earnings Before Interest, Tax, Depreciation &amp; Amortization (EBITDA)</t>
  </si>
  <si>
    <t>Earnings Before Interest &amp; Tax (EBIT)</t>
  </si>
  <si>
    <t>Earnings Before Tax (EBT)</t>
  </si>
  <si>
    <t>3 Years</t>
  </si>
  <si>
    <t>5 Years</t>
  </si>
  <si>
    <t xml:space="preserve">             CAGR</t>
  </si>
  <si>
    <t>Sales Growth %</t>
  </si>
  <si>
    <t>Gross Profit Margins %</t>
  </si>
  <si>
    <t>EBITDA Margins %</t>
  </si>
  <si>
    <t>EBIT Margins %</t>
  </si>
  <si>
    <t>Actual Tax Rate %</t>
  </si>
  <si>
    <t>Net Income Margin %</t>
  </si>
  <si>
    <t xml:space="preserve"> </t>
  </si>
  <si>
    <t>Income Statement</t>
  </si>
  <si>
    <t>Balance Sheet</t>
  </si>
  <si>
    <t>Check</t>
  </si>
  <si>
    <t>Net Working Capital</t>
  </si>
  <si>
    <t>Inventory Days</t>
  </si>
  <si>
    <t>Prepaid Assets % Sales</t>
  </si>
  <si>
    <t>Other Current Assets % Sales</t>
  </si>
  <si>
    <t>Other Current Liabilities % Sales</t>
  </si>
  <si>
    <t>Other Payables % Sales</t>
  </si>
  <si>
    <t>Cash Flow Statement</t>
  </si>
  <si>
    <t>Add: Depreciation</t>
  </si>
  <si>
    <t>Add: Amortization</t>
  </si>
  <si>
    <t>Less: Change in Working Capital</t>
  </si>
  <si>
    <t>Cash Flow from Operations</t>
  </si>
  <si>
    <t>Tangible Non Current Asset Spend</t>
  </si>
  <si>
    <t>Intangible Non Current Asset Spend</t>
  </si>
  <si>
    <t>Cash Flow from Investing Activities</t>
  </si>
  <si>
    <t>Add/(Less): Change in Term Loan</t>
  </si>
  <si>
    <t>Add/(Less): Change in Revolver</t>
  </si>
  <si>
    <t>Cash Flow from Financing Activities</t>
  </si>
  <si>
    <t>Net Change in Cash</t>
  </si>
  <si>
    <t>Opening Cash Balance</t>
  </si>
  <si>
    <t>Ending Cash Balance</t>
  </si>
  <si>
    <t>Closing Cash Balance</t>
  </si>
  <si>
    <t>Change in Working Capital</t>
  </si>
  <si>
    <t>Change in Total Current Liabilities</t>
  </si>
  <si>
    <t>Change in Total Current Assets (Excluding Cash)</t>
  </si>
  <si>
    <t>Change in Net Working Capital</t>
  </si>
  <si>
    <t>Add: Interest Expenses</t>
  </si>
  <si>
    <t>Add: Revolver Expenses</t>
  </si>
  <si>
    <t>Less: Loan Interest Expenses</t>
  </si>
  <si>
    <t>Less: Revolver Interest Expenses</t>
  </si>
  <si>
    <t>Less: Dividends Paid</t>
  </si>
  <si>
    <t>Revolver Schedule</t>
  </si>
  <si>
    <t>Beginning Revolver Loan</t>
  </si>
  <si>
    <t>Less: Repaid during the Year</t>
  </si>
  <si>
    <t>Add: Addition during the Year</t>
  </si>
  <si>
    <t>Ending Revolver Loan</t>
  </si>
  <si>
    <t>Beginning Cash Balance</t>
  </si>
  <si>
    <t>Add: Available Cash</t>
  </si>
  <si>
    <t>Revolver Loan Interest</t>
  </si>
  <si>
    <t>Revolver Loan Interest Rate</t>
  </si>
  <si>
    <t>Total Interest Expense</t>
  </si>
  <si>
    <t>Common Sized Income Statement</t>
  </si>
  <si>
    <t>Common Sized Balance Sheet</t>
  </si>
  <si>
    <t>Common Size Statement</t>
  </si>
  <si>
    <t>Ratios</t>
  </si>
  <si>
    <t>Liquidity Ratios</t>
  </si>
  <si>
    <t>Current Assets</t>
  </si>
  <si>
    <t>Current Liabilities</t>
  </si>
  <si>
    <t>Current Ratio</t>
  </si>
  <si>
    <t>Quick Ratio (Acid Test)</t>
  </si>
  <si>
    <t>Cash Conversion Days</t>
  </si>
  <si>
    <t>Leverage Ratios / Solvency Ratios</t>
  </si>
  <si>
    <t>Total Debt</t>
  </si>
  <si>
    <t>Total Equity</t>
  </si>
  <si>
    <t>Debt to Equity Ratio</t>
  </si>
  <si>
    <t>Debt to Asset Ratio</t>
  </si>
  <si>
    <t>Equity Ratio</t>
  </si>
  <si>
    <t>Gross Margin</t>
  </si>
  <si>
    <t>EBITDA</t>
  </si>
  <si>
    <t>EBIT</t>
  </si>
  <si>
    <t>EBITDA Margins</t>
  </si>
  <si>
    <t>EBIT Margins</t>
  </si>
  <si>
    <t>Net Profit Margins</t>
  </si>
  <si>
    <t>Net Profit</t>
  </si>
  <si>
    <t>Return on Assets</t>
  </si>
  <si>
    <t>Return on Equity</t>
  </si>
  <si>
    <t>Profitability / Margins Ratios</t>
  </si>
  <si>
    <t>Efficiency Ratios</t>
  </si>
  <si>
    <t>Asset Turnover Ratio</t>
  </si>
  <si>
    <t>Change in Revenue</t>
  </si>
  <si>
    <t>Change in Total Assets</t>
  </si>
  <si>
    <t>Reinvestment Ratio</t>
  </si>
  <si>
    <t>Inventory Turnover Ratio</t>
  </si>
  <si>
    <t>-</t>
  </si>
  <si>
    <t>Coverage Ratios</t>
  </si>
  <si>
    <t>Debt to EBITDA Coverage Ratio</t>
  </si>
  <si>
    <t>Debt Repayment</t>
  </si>
  <si>
    <t>Debt Service Coverage Ratio</t>
  </si>
  <si>
    <t>Interest Expense</t>
  </si>
  <si>
    <t>Interest Coverage Ratio</t>
  </si>
  <si>
    <t>DCF Model</t>
  </si>
  <si>
    <t>Free Cash Flow to Firm</t>
  </si>
  <si>
    <t>Less: Tax</t>
  </si>
  <si>
    <t>EBIT (1-T)</t>
  </si>
  <si>
    <t>Less: Reinvestments</t>
  </si>
  <si>
    <t>Tangible Non Current Spend</t>
  </si>
  <si>
    <t>Intangible Non Current Spend</t>
  </si>
  <si>
    <t>Discount Period (Years)</t>
  </si>
  <si>
    <t>Mid Year Convention</t>
  </si>
  <si>
    <t>Yes</t>
  </si>
  <si>
    <t>No</t>
  </si>
  <si>
    <t>Discount Rate (WACC)</t>
  </si>
  <si>
    <t>Present Value Factor</t>
  </si>
  <si>
    <t>Present Value of Free Cash Flow to Firm</t>
  </si>
  <si>
    <t>Weighted Average Cost of Capital</t>
  </si>
  <si>
    <t>Weighted Average Cost of Capital (WACC)</t>
  </si>
  <si>
    <t>Risk free Rate (Rf)</t>
  </si>
  <si>
    <t>Equity Risk Premium (ERP)</t>
  </si>
  <si>
    <t>Beta</t>
  </si>
  <si>
    <t>Cost of Equity</t>
  </si>
  <si>
    <t>Cost of Debt</t>
  </si>
  <si>
    <t>Weight of Equity</t>
  </si>
  <si>
    <t>Weight of Debt</t>
  </si>
  <si>
    <t>DCF Calculation - Perpetuity Growth</t>
  </si>
  <si>
    <t>Perpetual Growth Rate</t>
  </si>
  <si>
    <t>Terminal Year FCFF x (1+ PGR)</t>
  </si>
  <si>
    <t>Perpetual Growth Rate (PGR)</t>
  </si>
  <si>
    <t>Terminal Value</t>
  </si>
  <si>
    <t>Present Value of Terminal Value</t>
  </si>
  <si>
    <t>Present Value of FCFFs</t>
  </si>
  <si>
    <t>Enterprise Value</t>
  </si>
  <si>
    <t>Implied Exit Multiple</t>
  </si>
  <si>
    <t>Implied EV/EBITDA</t>
  </si>
  <si>
    <t>Less: Debt</t>
  </si>
  <si>
    <t>Add: Cash</t>
  </si>
  <si>
    <t>Equity Value</t>
  </si>
  <si>
    <t>DCF Calculation - Exit Multiple</t>
  </si>
  <si>
    <t>Exit Multiple</t>
  </si>
  <si>
    <t>Terminal Year EBITDA</t>
  </si>
  <si>
    <t>Mid Year?</t>
  </si>
  <si>
    <t>WACC</t>
  </si>
  <si>
    <t>Sensitivity Analysis - Perpetual Growth</t>
  </si>
  <si>
    <t>Sensitivity Analysis - Exit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</si>
</sst>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;\(#,##0\);\-"/>
    <numFmt numFmtId="165" formatCode="&quot;FY&quot;###0"/>
    <numFmt numFmtId="166" formatCode="_(* #,##0_);_(* \(#,##0\);_(* &quot;-&quot;??_);_(@_)"/>
    <numFmt numFmtId="167" formatCode="0.0%"/>
    <numFmt numFmtId="168" formatCode="#,##0.00000;\(#,##0.00000\);\-"/>
    <numFmt numFmtId="169" formatCode="&quot;FY&quot;0"/>
    <numFmt numFmtId="170" formatCode="[$₹-4009]\ #,##0.00"/>
    <numFmt numFmtId="171" formatCode="0.0"/>
    <numFmt numFmtId="172" formatCode="[$₹-4009]\ #,##0"/>
    <numFmt numFmtId="173" formatCode="0&quot; Years&quot;"/>
    <numFmt numFmtId="174" formatCode="\₹\ #,##0;\(\₹\ #,##0\)"/>
    <numFmt numFmtId="175" formatCode="0&quot; Days&quot;"/>
    <numFmt numFmtId="176" formatCode="0&quot; days&quot;"/>
    <numFmt numFmtId="177" formatCode="&quot;Debt Tennure - &quot;0&quot; Years&quot;"/>
    <numFmt numFmtId="178" formatCode="\₹\ #,##0;\(\₹\ #,##0\);\-"/>
    <numFmt numFmtId="179" formatCode="0.0&quot; days&quot;"/>
    <numFmt numFmtId="180" formatCode="[$₹-4009]\ #,##0.0"/>
    <numFmt numFmtId="181" formatCode="0.0&quot;x&quot;"/>
    <numFmt numFmtId="182" formatCode="0.000"/>
  </numFmts>
  <fonts count="3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sz val="12"/>
      <name val="Arial"/>
      <family val="2"/>
    </font>
    <font>
      <b/>
      <sz val="11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u/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u/>
      <sz val="10"/>
      <color rgb="FF000000"/>
      <name val="Aptos Narrow"/>
      <family val="2"/>
      <scheme val="minor"/>
    </font>
    <font>
      <b/>
      <sz val="16"/>
      <color rgb="FF3333FF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i/>
      <sz val="10"/>
      <color rgb="FF3333FF"/>
      <name val="Calibri"/>
      <family val="2"/>
    </font>
    <font>
      <b/>
      <sz val="14"/>
      <color theme="0"/>
      <name val="Calibri"/>
      <family val="2"/>
    </font>
    <font>
      <sz val="11"/>
      <color rgb="FF3333FF"/>
      <name val="Calibri"/>
      <family val="2"/>
    </font>
    <font>
      <sz val="11"/>
      <color theme="9" tint="-0.249977111117893"/>
      <name val="Calibri"/>
      <family val="2"/>
    </font>
    <font>
      <b/>
      <sz val="11"/>
      <color rgb="FF3333FF"/>
      <name val="Calibri"/>
      <family val="2"/>
    </font>
    <font>
      <b/>
      <sz val="11"/>
      <color theme="9" tint="-0.249977111117893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b/>
      <sz val="16"/>
      <color theme="5" tint="-0.249977111117893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6" fillId="0" borderId="0"/>
  </cellStyleXfs>
  <cellXfs count="194">
    <xf numFmtId="0" fontId="0" fillId="0" borderId="0" xfId="0"/>
    <xf numFmtId="164" fontId="5" fillId="0" borderId="0" xfId="2" applyNumberFormat="1" applyFont="1"/>
    <xf numFmtId="164" fontId="7" fillId="0" borderId="0" xfId="3" applyNumberFormat="1" applyFont="1" applyAlignment="1">
      <alignment vertical="center"/>
    </xf>
    <xf numFmtId="164" fontId="8" fillId="0" borderId="0" xfId="2" applyNumberFormat="1" applyFont="1"/>
    <xf numFmtId="0" fontId="8" fillId="0" borderId="0" xfId="2" applyFont="1"/>
    <xf numFmtId="164" fontId="9" fillId="0" borderId="0" xfId="3" applyNumberFormat="1" applyFont="1" applyAlignment="1">
      <alignment vertical="center"/>
    </xf>
    <xf numFmtId="0" fontId="5" fillId="0" borderId="0" xfId="2" applyFont="1"/>
    <xf numFmtId="164" fontId="10" fillId="0" borderId="0" xfId="3" applyNumberFormat="1" applyFont="1" applyAlignment="1">
      <alignment vertical="center"/>
    </xf>
    <xf numFmtId="164" fontId="11" fillId="0" borderId="0" xfId="3" applyNumberFormat="1" applyFont="1" applyAlignment="1">
      <alignment vertical="center"/>
    </xf>
    <xf numFmtId="165" fontId="12" fillId="0" borderId="0" xfId="3" applyNumberFormat="1" applyFont="1" applyAlignment="1">
      <alignment vertical="center"/>
    </xf>
    <xf numFmtId="165" fontId="12" fillId="0" borderId="0" xfId="2" applyNumberFormat="1" applyFont="1"/>
    <xf numFmtId="165" fontId="12" fillId="2" borderId="0" xfId="2" applyNumberFormat="1" applyFont="1" applyFill="1" applyAlignment="1">
      <alignment horizontal="right"/>
    </xf>
    <xf numFmtId="0" fontId="13" fillId="0" borderId="0" xfId="2" applyFont="1"/>
    <xf numFmtId="164" fontId="14" fillId="0" borderId="0" xfId="3" applyNumberFormat="1" applyFont="1" applyAlignment="1">
      <alignment horizontal="left" vertical="center" indent="1"/>
    </xf>
    <xf numFmtId="166" fontId="8" fillId="0" borderId="0" xfId="2" applyNumberFormat="1" applyFont="1"/>
    <xf numFmtId="164" fontId="15" fillId="0" borderId="0" xfId="1" applyNumberFormat="1" applyFont="1" applyFill="1"/>
    <xf numFmtId="164" fontId="14" fillId="0" borderId="1" xfId="3" applyNumberFormat="1" applyFont="1" applyBorder="1" applyAlignment="1">
      <alignment horizontal="left" vertical="center" indent="1"/>
    </xf>
    <xf numFmtId="0" fontId="8" fillId="0" borderId="1" xfId="2" applyFont="1" applyBorder="1"/>
    <xf numFmtId="166" fontId="8" fillId="0" borderId="1" xfId="2" applyNumberFormat="1" applyFont="1" applyBorder="1"/>
    <xf numFmtId="164" fontId="15" fillId="0" borderId="1" xfId="1" applyNumberFormat="1" applyFont="1" applyFill="1" applyBorder="1"/>
    <xf numFmtId="164" fontId="16" fillId="0" borderId="0" xfId="3" applyNumberFormat="1" applyFont="1" applyAlignment="1">
      <alignment vertical="center"/>
    </xf>
    <xf numFmtId="0" fontId="17" fillId="0" borderId="0" xfId="2" applyFont="1"/>
    <xf numFmtId="166" fontId="17" fillId="0" borderId="0" xfId="2" applyNumberFormat="1" applyFont="1"/>
    <xf numFmtId="164" fontId="18" fillId="0" borderId="0" xfId="1" applyNumberFormat="1" applyFont="1" applyFill="1"/>
    <xf numFmtId="164" fontId="14" fillId="0" borderId="0" xfId="3" applyNumberFormat="1" applyFont="1" applyAlignment="1">
      <alignment vertical="center"/>
    </xf>
    <xf numFmtId="167" fontId="15" fillId="0" borderId="0" xfId="1" applyNumberFormat="1" applyFont="1" applyFill="1"/>
    <xf numFmtId="167" fontId="8" fillId="0" borderId="0" xfId="1" applyNumberFormat="1" applyFont="1" applyFill="1"/>
    <xf numFmtId="0" fontId="17" fillId="0" borderId="2" xfId="2" applyFont="1" applyBorder="1"/>
    <xf numFmtId="166" fontId="17" fillId="0" borderId="2" xfId="2" applyNumberFormat="1" applyFont="1" applyBorder="1"/>
    <xf numFmtId="164" fontId="18" fillId="0" borderId="2" xfId="1" applyNumberFormat="1" applyFont="1" applyFill="1" applyBorder="1"/>
    <xf numFmtId="0" fontId="8" fillId="0" borderId="0" xfId="2" applyFont="1" applyAlignment="1">
      <alignment horizontal="left" indent="1"/>
    </xf>
    <xf numFmtId="0" fontId="8" fillId="0" borderId="1" xfId="2" applyFont="1" applyBorder="1" applyAlignment="1">
      <alignment horizontal="left" indent="1"/>
    </xf>
    <xf numFmtId="168" fontId="15" fillId="0" borderId="0" xfId="1" applyNumberFormat="1" applyFont="1" applyFill="1"/>
    <xf numFmtId="9" fontId="5" fillId="0" borderId="0" xfId="1" applyFont="1" applyFill="1"/>
    <xf numFmtId="167" fontId="5" fillId="0" borderId="0" xfId="1" applyNumberFormat="1" applyFont="1" applyFill="1"/>
    <xf numFmtId="164" fontId="14" fillId="0" borderId="0" xfId="3" applyNumberFormat="1" applyFont="1" applyAlignment="1">
      <alignment horizontal="left" vertical="center"/>
    </xf>
    <xf numFmtId="164" fontId="8" fillId="0" borderId="1" xfId="2" applyNumberFormat="1" applyFont="1" applyBorder="1"/>
    <xf numFmtId="164" fontId="19" fillId="0" borderId="0" xfId="3" applyNumberFormat="1" applyFont="1" applyAlignment="1">
      <alignment horizontal="left" vertical="center"/>
    </xf>
    <xf numFmtId="164" fontId="16" fillId="0" borderId="0" xfId="3" applyNumberFormat="1" applyFont="1" applyAlignment="1">
      <alignment horizontal="left" vertical="center"/>
    </xf>
    <xf numFmtId="164" fontId="18" fillId="0" borderId="0" xfId="1" applyNumberFormat="1" applyFont="1" applyFill="1" applyBorder="1"/>
    <xf numFmtId="164" fontId="15" fillId="0" borderId="0" xfId="1" applyNumberFormat="1" applyFont="1" applyFill="1" applyBorder="1"/>
    <xf numFmtId="164" fontId="16" fillId="0" borderId="2" xfId="3" applyNumberFormat="1" applyFont="1" applyBorder="1" applyAlignment="1">
      <alignment vertical="center"/>
    </xf>
    <xf numFmtId="4" fontId="15" fillId="0" borderId="0" xfId="1" applyNumberFormat="1" applyFont="1" applyFill="1"/>
    <xf numFmtId="3" fontId="15" fillId="0" borderId="0" xfId="1" applyNumberFormat="1" applyFont="1" applyFill="1"/>
    <xf numFmtId="0" fontId="20" fillId="0" borderId="0" xfId="0" applyFont="1"/>
    <xf numFmtId="0" fontId="3" fillId="0" borderId="0" xfId="0" applyFont="1"/>
    <xf numFmtId="0" fontId="22" fillId="0" borderId="0" xfId="0" applyFont="1"/>
    <xf numFmtId="0" fontId="23" fillId="0" borderId="1" xfId="0" applyFont="1" applyBorder="1"/>
    <xf numFmtId="0" fontId="0" fillId="0" borderId="1" xfId="0" applyBorder="1"/>
    <xf numFmtId="0" fontId="3" fillId="3" borderId="0" xfId="0" applyFont="1" applyFill="1" applyAlignment="1">
      <alignment horizontal="right"/>
    </xf>
    <xf numFmtId="169" fontId="3" fillId="0" borderId="1" xfId="0" applyNumberFormat="1" applyFont="1" applyBorder="1"/>
    <xf numFmtId="0" fontId="0" fillId="0" borderId="3" xfId="0" applyBorder="1"/>
    <xf numFmtId="0" fontId="25" fillId="0" borderId="3" xfId="0" applyFont="1" applyBorder="1"/>
    <xf numFmtId="167" fontId="25" fillId="0" borderId="3" xfId="0" applyNumberFormat="1" applyFont="1" applyBorder="1"/>
    <xf numFmtId="0" fontId="24" fillId="4" borderId="0" xfId="0" applyFont="1" applyFill="1"/>
    <xf numFmtId="0" fontId="2" fillId="4" borderId="0" xfId="0" applyFont="1" applyFill="1"/>
    <xf numFmtId="0" fontId="21" fillId="5" borderId="0" xfId="0" applyFont="1" applyFill="1"/>
    <xf numFmtId="0" fontId="21" fillId="0" borderId="0" xfId="0" applyFont="1"/>
    <xf numFmtId="167" fontId="0" fillId="0" borderId="0" xfId="0" applyNumberFormat="1"/>
    <xf numFmtId="0" fontId="0" fillId="0" borderId="4" xfId="0" applyBorder="1"/>
    <xf numFmtId="0" fontId="3" fillId="0" borderId="4" xfId="0" applyFont="1" applyBorder="1"/>
    <xf numFmtId="0" fontId="0" fillId="3" borderId="0" xfId="0" applyFill="1"/>
    <xf numFmtId="170" fontId="0" fillId="0" borderId="0" xfId="0" applyNumberFormat="1"/>
    <xf numFmtId="1" fontId="0" fillId="0" borderId="0" xfId="0" applyNumberFormat="1"/>
    <xf numFmtId="172" fontId="3" fillId="0" borderId="4" xfId="0" applyNumberFormat="1" applyFont="1" applyBorder="1"/>
    <xf numFmtId="170" fontId="25" fillId="0" borderId="0" xfId="0" applyNumberFormat="1" applyFont="1"/>
    <xf numFmtId="1" fontId="25" fillId="0" borderId="0" xfId="0" applyNumberFormat="1" applyFont="1"/>
    <xf numFmtId="0" fontId="0" fillId="0" borderId="2" xfId="0" applyBorder="1"/>
    <xf numFmtId="0" fontId="3" fillId="0" borderId="2" xfId="0" applyFont="1" applyBorder="1"/>
    <xf numFmtId="172" fontId="3" fillId="0" borderId="2" xfId="0" applyNumberFormat="1" applyFont="1" applyBorder="1"/>
    <xf numFmtId="167" fontId="0" fillId="0" borderId="0" xfId="1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172" fontId="3" fillId="0" borderId="0" xfId="0" applyNumberFormat="1" applyFont="1"/>
    <xf numFmtId="172" fontId="0" fillId="3" borderId="0" xfId="0" applyNumberFormat="1" applyFill="1"/>
    <xf numFmtId="167" fontId="3" fillId="0" borderId="0" xfId="1" applyNumberFormat="1" applyFont="1" applyFill="1" applyBorder="1"/>
    <xf numFmtId="172" fontId="25" fillId="0" borderId="0" xfId="0" applyNumberFormat="1" applyFont="1"/>
    <xf numFmtId="0" fontId="0" fillId="0" borderId="7" xfId="0" applyBorder="1"/>
    <xf numFmtId="0" fontId="25" fillId="0" borderId="6" xfId="0" applyFont="1" applyBorder="1"/>
    <xf numFmtId="172" fontId="0" fillId="0" borderId="0" xfId="0" applyNumberFormat="1"/>
    <xf numFmtId="9" fontId="25" fillId="0" borderId="6" xfId="0" applyNumberFormat="1" applyFont="1" applyBorder="1"/>
    <xf numFmtId="0" fontId="0" fillId="0" borderId="0" xfId="0" applyAlignment="1">
      <alignment horizontal="right"/>
    </xf>
    <xf numFmtId="172" fontId="28" fillId="0" borderId="0" xfId="0" applyNumberFormat="1" applyFont="1"/>
    <xf numFmtId="171" fontId="25" fillId="0" borderId="3" xfId="0" applyNumberFormat="1" applyFont="1" applyBorder="1"/>
    <xf numFmtId="167" fontId="25" fillId="0" borderId="3" xfId="1" applyNumberFormat="1" applyFont="1" applyBorder="1"/>
    <xf numFmtId="0" fontId="0" fillId="0" borderId="0" xfId="0" applyAlignment="1">
      <alignment horizontal="left" indent="1"/>
    </xf>
    <xf numFmtId="173" fontId="25" fillId="0" borderId="6" xfId="0" applyNumberFormat="1" applyFont="1" applyBorder="1"/>
    <xf numFmtId="172" fontId="26" fillId="0" borderId="0" xfId="0" applyNumberFormat="1" applyFont="1"/>
    <xf numFmtId="172" fontId="28" fillId="0" borderId="4" xfId="0" applyNumberFormat="1" applyFont="1" applyBorder="1"/>
    <xf numFmtId="0" fontId="29" fillId="0" borderId="0" xfId="0" applyFont="1"/>
    <xf numFmtId="169" fontId="0" fillId="0" borderId="0" xfId="0" applyNumberFormat="1" applyAlignment="1">
      <alignment horizontal="left"/>
    </xf>
    <xf numFmtId="169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left"/>
    </xf>
    <xf numFmtId="174" fontId="0" fillId="0" borderId="0" xfId="0" applyNumberFormat="1"/>
    <xf numFmtId="174" fontId="26" fillId="0" borderId="0" xfId="0" applyNumberFormat="1" applyFont="1"/>
    <xf numFmtId="0" fontId="30" fillId="0" borderId="0" xfId="0" applyFont="1"/>
    <xf numFmtId="175" fontId="25" fillId="0" borderId="0" xfId="0" applyNumberFormat="1" applyFont="1"/>
    <xf numFmtId="177" fontId="25" fillId="0" borderId="5" xfId="0" applyNumberFormat="1" applyFont="1" applyBorder="1"/>
    <xf numFmtId="169" fontId="3" fillId="0" borderId="4" xfId="0" applyNumberFormat="1" applyFont="1" applyBorder="1"/>
    <xf numFmtId="9" fontId="0" fillId="0" borderId="0" xfId="0" applyNumberFormat="1"/>
    <xf numFmtId="9" fontId="25" fillId="0" borderId="0" xfId="0" applyNumberFormat="1" applyFont="1"/>
    <xf numFmtId="167" fontId="0" fillId="0" borderId="4" xfId="0" applyNumberFormat="1" applyBorder="1"/>
    <xf numFmtId="169" fontId="27" fillId="0" borderId="1" xfId="0" applyNumberFormat="1" applyFont="1" applyBorder="1"/>
    <xf numFmtId="164" fontId="31" fillId="0" borderId="0" xfId="3" applyNumberFormat="1" applyFont="1" applyAlignment="1">
      <alignment horizontal="left" vertical="center"/>
    </xf>
    <xf numFmtId="164" fontId="31" fillId="0" borderId="1" xfId="3" applyNumberFormat="1" applyFont="1" applyBorder="1" applyAlignment="1">
      <alignment horizontal="left" vertical="center" indent="1"/>
    </xf>
    <xf numFmtId="164" fontId="31" fillId="0" borderId="0" xfId="3" applyNumberFormat="1" applyFont="1" applyAlignment="1">
      <alignment vertical="center"/>
    </xf>
    <xf numFmtId="164" fontId="33" fillId="0" borderId="0" xfId="3" applyNumberFormat="1" applyFont="1" applyAlignment="1">
      <alignment horizontal="left" vertical="center"/>
    </xf>
    <xf numFmtId="164" fontId="31" fillId="0" borderId="0" xfId="3" applyNumberFormat="1" applyFont="1" applyAlignment="1">
      <alignment horizontal="left" vertical="center" indent="1"/>
    </xf>
    <xf numFmtId="0" fontId="34" fillId="0" borderId="0" xfId="2" applyFont="1" applyAlignment="1">
      <alignment horizontal="left" indent="1"/>
    </xf>
    <xf numFmtId="164" fontId="32" fillId="0" borderId="0" xfId="3" applyNumberFormat="1" applyFont="1" applyAlignment="1">
      <alignment horizontal="left" vertical="center"/>
    </xf>
    <xf numFmtId="164" fontId="32" fillId="0" borderId="2" xfId="3" applyNumberFormat="1" applyFont="1" applyBorder="1" applyAlignment="1">
      <alignment vertical="center"/>
    </xf>
    <xf numFmtId="178" fontId="0" fillId="0" borderId="0" xfId="0" applyNumberFormat="1"/>
    <xf numFmtId="178" fontId="26" fillId="0" borderId="0" xfId="0" applyNumberFormat="1" applyFont="1"/>
    <xf numFmtId="178" fontId="3" fillId="0" borderId="0" xfId="0" applyNumberFormat="1" applyFont="1"/>
    <xf numFmtId="164" fontId="32" fillId="0" borderId="4" xfId="3" applyNumberFormat="1" applyFont="1" applyBorder="1" applyAlignment="1">
      <alignment vertical="center"/>
    </xf>
    <xf numFmtId="178" fontId="3" fillId="0" borderId="4" xfId="0" applyNumberFormat="1" applyFont="1" applyBorder="1"/>
    <xf numFmtId="164" fontId="32" fillId="0" borderId="4" xfId="3" applyNumberFormat="1" applyFont="1" applyBorder="1" applyAlignment="1">
      <alignment horizontal="left" vertical="center"/>
    </xf>
    <xf numFmtId="178" fontId="3" fillId="0" borderId="2" xfId="0" applyNumberFormat="1" applyFont="1" applyBorder="1"/>
    <xf numFmtId="178" fontId="25" fillId="0" borderId="0" xfId="0" applyNumberFormat="1" applyFont="1"/>
    <xf numFmtId="169" fontId="3" fillId="0" borderId="0" xfId="0" applyNumberFormat="1" applyFont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right"/>
    </xf>
    <xf numFmtId="0" fontId="23" fillId="0" borderId="0" xfId="0" applyFont="1"/>
    <xf numFmtId="169" fontId="27" fillId="0" borderId="0" xfId="0" applyNumberFormat="1" applyFont="1"/>
    <xf numFmtId="0" fontId="23" fillId="4" borderId="0" xfId="0" applyFont="1" applyFill="1"/>
    <xf numFmtId="169" fontId="27" fillId="4" borderId="0" xfId="0" applyNumberFormat="1" applyFont="1" applyFill="1"/>
    <xf numFmtId="169" fontId="3" fillId="4" borderId="0" xfId="0" applyNumberFormat="1" applyFont="1" applyFill="1"/>
    <xf numFmtId="0" fontId="0" fillId="4" borderId="0" xfId="0" applyFill="1"/>
    <xf numFmtId="178" fontId="0" fillId="4" borderId="0" xfId="0" applyNumberFormat="1" applyFill="1"/>
    <xf numFmtId="0" fontId="35" fillId="0" borderId="0" xfId="2" applyFont="1"/>
    <xf numFmtId="0" fontId="36" fillId="0" borderId="2" xfId="2" applyFont="1" applyBorder="1"/>
    <xf numFmtId="0" fontId="34" fillId="0" borderId="0" xfId="2" applyFont="1"/>
    <xf numFmtId="0" fontId="34" fillId="0" borderId="1" xfId="2" applyFont="1" applyBorder="1" applyAlignment="1">
      <alignment horizontal="left" indent="1"/>
    </xf>
    <xf numFmtId="167" fontId="3" fillId="0" borderId="0" xfId="0" applyNumberFormat="1" applyFont="1"/>
    <xf numFmtId="167" fontId="3" fillId="0" borderId="4" xfId="1" applyNumberFormat="1" applyFont="1" applyFill="1" applyBorder="1"/>
    <xf numFmtId="167" fontId="3" fillId="0" borderId="2" xfId="1" applyNumberFormat="1" applyFont="1" applyFill="1" applyBorder="1"/>
    <xf numFmtId="0" fontId="0" fillId="6" borderId="0" xfId="0" applyFill="1"/>
    <xf numFmtId="178" fontId="0" fillId="6" borderId="0" xfId="0" applyNumberFormat="1" applyFill="1"/>
    <xf numFmtId="169" fontId="0" fillId="0" borderId="0" xfId="0" applyNumberFormat="1"/>
    <xf numFmtId="169" fontId="0" fillId="0" borderId="0" xfId="0" applyNumberFormat="1" applyAlignment="1">
      <alignment horizontal="left" indent="1"/>
    </xf>
    <xf numFmtId="167" fontId="26" fillId="0" borderId="0" xfId="1" applyNumberFormat="1" applyFont="1" applyFill="1" applyBorder="1"/>
    <xf numFmtId="167" fontId="25" fillId="0" borderId="0" xfId="0" applyNumberFormat="1" applyFont="1"/>
    <xf numFmtId="180" fontId="0" fillId="0" borderId="0" xfId="0" applyNumberFormat="1"/>
    <xf numFmtId="0" fontId="37" fillId="0" borderId="0" xfId="0" applyFont="1"/>
    <xf numFmtId="0" fontId="3" fillId="7" borderId="0" xfId="0" applyFont="1" applyFill="1"/>
    <xf numFmtId="167" fontId="3" fillId="7" borderId="0" xfId="1" applyNumberFormat="1" applyFont="1" applyFill="1"/>
    <xf numFmtId="2" fontId="3" fillId="7" borderId="0" xfId="1" applyNumberFormat="1" applyFont="1" applyFill="1"/>
    <xf numFmtId="0" fontId="0" fillId="7" borderId="0" xfId="0" applyFill="1"/>
    <xf numFmtId="167" fontId="26" fillId="7" borderId="0" xfId="1" applyNumberFormat="1" applyFont="1" applyFill="1" applyBorder="1"/>
    <xf numFmtId="172" fontId="28" fillId="7" borderId="0" xfId="0" applyNumberFormat="1" applyFont="1" applyFill="1"/>
    <xf numFmtId="167" fontId="1" fillId="7" borderId="0" xfId="1" applyNumberFormat="1" applyFont="1" applyFill="1" applyBorder="1"/>
    <xf numFmtId="172" fontId="0" fillId="7" borderId="0" xfId="0" applyNumberFormat="1" applyFill="1"/>
    <xf numFmtId="167" fontId="3" fillId="7" borderId="0" xfId="1" applyNumberFormat="1" applyFont="1" applyFill="1" applyBorder="1"/>
    <xf numFmtId="167" fontId="3" fillId="7" borderId="0" xfId="0" applyNumberFormat="1" applyFont="1" applyFill="1"/>
    <xf numFmtId="176" fontId="3" fillId="7" borderId="0" xfId="0" applyNumberFormat="1" applyFont="1" applyFill="1"/>
    <xf numFmtId="167" fontId="0" fillId="7" borderId="0" xfId="1" applyNumberFormat="1" applyFont="1" applyFill="1" applyBorder="1"/>
    <xf numFmtId="167" fontId="25" fillId="7" borderId="0" xfId="1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7" fontId="3" fillId="7" borderId="4" xfId="1" applyNumberFormat="1" applyFont="1" applyFill="1" applyBorder="1"/>
    <xf numFmtId="178" fontId="0" fillId="7" borderId="0" xfId="0" applyNumberFormat="1" applyFill="1"/>
    <xf numFmtId="179" fontId="0" fillId="7" borderId="0" xfId="0" applyNumberFormat="1" applyFill="1"/>
    <xf numFmtId="0" fontId="0" fillId="7" borderId="0" xfId="0" applyFill="1" applyAlignment="1">
      <alignment horizontal="right"/>
    </xf>
    <xf numFmtId="167" fontId="26" fillId="0" borderId="0" xfId="1" applyNumberFormat="1" applyFont="1"/>
    <xf numFmtId="167" fontId="28" fillId="0" borderId="2" xfId="1" applyNumberFormat="1" applyFont="1" applyBorder="1"/>
    <xf numFmtId="167" fontId="28" fillId="0" borderId="0" xfId="1" applyNumberFormat="1" applyFont="1"/>
    <xf numFmtId="167" fontId="28" fillId="0" borderId="4" xfId="1" applyNumberFormat="1" applyFont="1" applyBorder="1"/>
    <xf numFmtId="167" fontId="3" fillId="0" borderId="4" xfId="1" applyNumberFormat="1" applyFont="1" applyBorder="1"/>
    <xf numFmtId="181" fontId="3" fillId="0" borderId="4" xfId="1" applyNumberFormat="1" applyFont="1" applyBorder="1"/>
    <xf numFmtId="179" fontId="26" fillId="0" borderId="0" xfId="0" applyNumberFormat="1" applyFont="1"/>
    <xf numFmtId="179" fontId="3" fillId="0" borderId="4" xfId="0" applyNumberFormat="1" applyFont="1" applyBorder="1"/>
    <xf numFmtId="178" fontId="25" fillId="0" borderId="0" xfId="0" applyNumberFormat="1" applyFont="1" applyAlignment="1">
      <alignment horizontal="right"/>
    </xf>
    <xf numFmtId="167" fontId="27" fillId="0" borderId="4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8" fillId="0" borderId="0" xfId="0" applyFont="1"/>
    <xf numFmtId="0" fontId="25" fillId="0" borderId="6" xfId="0" applyFont="1" applyBorder="1" applyAlignment="1">
      <alignment horizontal="right"/>
    </xf>
    <xf numFmtId="182" fontId="0" fillId="0" borderId="0" xfId="0" applyNumberFormat="1"/>
    <xf numFmtId="9" fontId="3" fillId="0" borderId="0" xfId="0" applyNumberFormat="1" applyFont="1"/>
    <xf numFmtId="10" fontId="0" fillId="0" borderId="0" xfId="0" applyNumberFormat="1"/>
    <xf numFmtId="167" fontId="3" fillId="0" borderId="4" xfId="0" applyNumberFormat="1" applyFont="1" applyBorder="1"/>
    <xf numFmtId="9" fontId="0" fillId="0" borderId="5" xfId="0" applyNumberFormat="1" applyBorder="1"/>
    <xf numFmtId="167" fontId="3" fillId="0" borderId="2" xfId="0" applyNumberFormat="1" applyFont="1" applyBorder="1"/>
    <xf numFmtId="181" fontId="0" fillId="7" borderId="0" xfId="0" applyNumberFormat="1" applyFill="1"/>
    <xf numFmtId="181" fontId="0" fillId="0" borderId="0" xfId="0" applyNumberFormat="1"/>
    <xf numFmtId="178" fontId="38" fillId="0" borderId="0" xfId="0" applyNumberFormat="1" applyFont="1"/>
    <xf numFmtId="9" fontId="0" fillId="3" borderId="0" xfId="0" applyNumberFormat="1" applyFill="1"/>
    <xf numFmtId="10" fontId="0" fillId="3" borderId="0" xfId="0" applyNumberFormat="1" applyFill="1"/>
    <xf numFmtId="178" fontId="0" fillId="8" borderId="0" xfId="0" applyNumberFormat="1" applyFill="1"/>
    <xf numFmtId="181" fontId="0" fillId="3" borderId="0" xfId="0" applyNumberFormat="1" applyFill="1"/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center"/>
    </xf>
  </cellXfs>
  <cellStyles count="4">
    <cellStyle name="Normal" xfId="0" builtinId="0"/>
    <cellStyle name="Normal 2" xfId="3" xr:uid="{9399E410-A8A3-4140-9811-BABADF41EAE0}"/>
    <cellStyle name="Normal 3" xfId="2" xr:uid="{CB90543D-F1BD-41D7-B6DB-606640CC44BA}"/>
    <cellStyle name="Percent" xfId="1" builtinId="5"/>
  </cellStyles>
  <dxfs count="0"/>
  <tableStyles count="0" defaultTableStyle="TableStyleMedium2" defaultPivotStyle="PivotStyleLight16"/>
  <colors>
    <mruColors>
      <color rgb="FF3333FF"/>
      <color rgb="FFFCDDD8"/>
      <color rgb="FFFAC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1" fmlaLink="$G$3" fmlaRange="$B$13:$B$15" noThreeD="1" sel="1" val="0"/>
</file>

<file path=xl/ctrlProps/ctrlProp2.xml><?xml version="1.0" encoding="utf-8"?>
<formControlPr xmlns="http://schemas.microsoft.com/office/spreadsheetml/2009/9/main" objectType="Drop" dropStyle="combo" dx="31" fmlaLink="'Control Sheet'!$G$3" fmlaRange="'Control Sheet'!$B$13:$B$15" noThreeD="1" sel="1" val="0"/>
</file>

<file path=xl/ctrlProps/ctrlProp3.xml><?xml version="1.0" encoding="utf-8"?>
<formControlPr xmlns="http://schemas.microsoft.com/office/spreadsheetml/2009/9/main" objectType="Drop" dropStyle="combo" dx="31" fmlaLink="'Control Sheet'!$G$3" fmlaRange="'Control Sheet'!$B$13:$B$15" noThreeD="1" sel="1" val="0"/>
</file>

<file path=xl/ctrlProps/ctrlProp4.xml><?xml version="1.0" encoding="utf-8"?>
<formControlPr xmlns="http://schemas.microsoft.com/office/spreadsheetml/2009/9/main" objectType="Drop" dropStyle="combo" dx="31" fmlaLink="'Control Sheet'!$G$3" fmlaRange="'Control Sheet'!$B$13:$B$15" noThreeD="1" sel="1" val="0"/>
</file>

<file path=xl/ctrlProps/ctrlProp5.xml><?xml version="1.0" encoding="utf-8"?>
<formControlPr xmlns="http://schemas.microsoft.com/office/spreadsheetml/2009/9/main" objectType="Drop" dropStyle="combo" dx="31" fmlaLink="'Control Sheet'!$G$3" fmlaRange="'Control Sheet'!$B$13:$B$15" noThreeD="1" sel="1" val="0"/>
</file>

<file path=xl/ctrlProps/ctrlProp6.xml><?xml version="1.0" encoding="utf-8"?>
<formControlPr xmlns="http://schemas.microsoft.com/office/spreadsheetml/2009/9/main" objectType="Drop" dropStyle="combo" dx="31" fmlaLink="'Control Sheet'!$G$3" fmlaRange="'Control Sheet'!$B$13:$B$15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</xdr:row>
          <xdr:rowOff>222250</xdr:rowOff>
        </xdr:from>
        <xdr:to>
          <xdr:col>8</xdr:col>
          <xdr:colOff>12700</xdr:colOff>
          <xdr:row>2</xdr:row>
          <xdr:rowOff>165100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</xdr:row>
          <xdr:rowOff>222250</xdr:rowOff>
        </xdr:from>
        <xdr:to>
          <xdr:col>6</xdr:col>
          <xdr:colOff>317500</xdr:colOff>
          <xdr:row>2</xdr:row>
          <xdr:rowOff>165100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2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</xdr:row>
          <xdr:rowOff>222250</xdr:rowOff>
        </xdr:from>
        <xdr:to>
          <xdr:col>7</xdr:col>
          <xdr:colOff>304800</xdr:colOff>
          <xdr:row>2</xdr:row>
          <xdr:rowOff>165100</xdr:rowOff>
        </xdr:to>
        <xdr:sp macro="" textlink="">
          <xdr:nvSpPr>
            <xdr:cNvPr id="12289" name="Drop Dow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3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</xdr:row>
          <xdr:rowOff>222250</xdr:rowOff>
        </xdr:from>
        <xdr:to>
          <xdr:col>7</xdr:col>
          <xdr:colOff>304800</xdr:colOff>
          <xdr:row>2</xdr:row>
          <xdr:rowOff>165100</xdr:rowOff>
        </xdr:to>
        <xdr:sp macro="" textlink="">
          <xdr:nvSpPr>
            <xdr:cNvPr id="19457" name="Drop Dow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4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</xdr:row>
          <xdr:rowOff>222250</xdr:rowOff>
        </xdr:from>
        <xdr:to>
          <xdr:col>7</xdr:col>
          <xdr:colOff>304800</xdr:colOff>
          <xdr:row>2</xdr:row>
          <xdr:rowOff>165100</xdr:rowOff>
        </xdr:to>
        <xdr:sp macro="" textlink="">
          <xdr:nvSpPr>
            <xdr:cNvPr id="20481" name="Drop Dow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5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</xdr:row>
          <xdr:rowOff>222250</xdr:rowOff>
        </xdr:from>
        <xdr:to>
          <xdr:col>6</xdr:col>
          <xdr:colOff>304800</xdr:colOff>
          <xdr:row>2</xdr:row>
          <xdr:rowOff>165100</xdr:rowOff>
        </xdr:to>
        <xdr:sp macro="" textlink="">
          <xdr:nvSpPr>
            <xdr:cNvPr id="23553" name="Drop Dow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7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05D7-C448-40A6-9B9B-BA294F6D50F7}">
  <sheetPr>
    <tabColor theme="5" tint="-0.249977111117893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0D7F-0CF2-4D72-99E0-DF7FDD4B9EB5}">
  <dimension ref="A2:K248"/>
  <sheetViews>
    <sheetView showGridLines="0" zoomScale="90" zoomScaleNormal="90" workbookViewId="0">
      <pane ySplit="6" topLeftCell="A7" activePane="bottomLeft" state="frozen"/>
      <selection pane="bottomLeft" activeCell="M17" sqref="M17"/>
    </sheetView>
  </sheetViews>
  <sheetFormatPr defaultRowHeight="14.5" outlineLevelRow="1" x14ac:dyDescent="0.35"/>
  <cols>
    <col min="1" max="1" width="1.81640625" customWidth="1"/>
    <col min="2" max="2" width="32.08984375" customWidth="1"/>
    <col min="3" max="3" width="10.7265625" customWidth="1"/>
    <col min="4" max="4" width="12" customWidth="1"/>
    <col min="5" max="5" width="12.90625" customWidth="1"/>
    <col min="6" max="6" width="12.6328125" customWidth="1"/>
  </cols>
  <sheetData>
    <row r="2" spans="1:11" ht="21" x14ac:dyDescent="0.5">
      <c r="B2" s="143" t="str">
        <f>'Audited Balance Sheet'!$B$2</f>
        <v>Mrs Sector Foods</v>
      </c>
    </row>
    <row r="3" spans="1:11" ht="15" customHeight="1" x14ac:dyDescent="0.45">
      <c r="B3" s="46" t="s">
        <v>47</v>
      </c>
      <c r="F3" t="s">
        <v>57</v>
      </c>
      <c r="G3">
        <v>1</v>
      </c>
    </row>
    <row r="4" spans="1:11" ht="15" customHeight="1" x14ac:dyDescent="0.45">
      <c r="B4" s="46"/>
    </row>
    <row r="5" spans="1:11" x14ac:dyDescent="0.35">
      <c r="F5" s="49" t="s">
        <v>49</v>
      </c>
      <c r="G5" s="190" t="s">
        <v>50</v>
      </c>
      <c r="H5" s="190"/>
      <c r="I5" s="190"/>
      <c r="J5" s="190"/>
      <c r="K5" s="190"/>
    </row>
    <row r="6" spans="1:11" x14ac:dyDescent="0.35">
      <c r="B6" s="47" t="s">
        <v>48</v>
      </c>
      <c r="C6" s="48"/>
      <c r="D6" s="48"/>
      <c r="E6" s="48"/>
      <c r="F6" s="50">
        <f>'Audited Balance Sheet'!G6</f>
        <v>2023</v>
      </c>
      <c r="G6" s="50">
        <f>F6+1</f>
        <v>2024</v>
      </c>
      <c r="H6" s="50">
        <f t="shared" ref="H6:K6" si="0">G6+1</f>
        <v>2025</v>
      </c>
      <c r="I6" s="50">
        <f t="shared" si="0"/>
        <v>2026</v>
      </c>
      <c r="J6" s="50">
        <f t="shared" si="0"/>
        <v>2027</v>
      </c>
      <c r="K6" s="50">
        <f t="shared" si="0"/>
        <v>2028</v>
      </c>
    </row>
    <row r="8" spans="1:11" ht="18.5" x14ac:dyDescent="0.45">
      <c r="A8" s="46" t="s">
        <v>52</v>
      </c>
      <c r="B8" s="54" t="s">
        <v>51</v>
      </c>
      <c r="C8" s="55"/>
      <c r="D8" s="55"/>
      <c r="E8" s="55"/>
      <c r="F8" s="55"/>
      <c r="G8" s="55"/>
      <c r="H8" s="55"/>
      <c r="I8" s="55"/>
      <c r="J8" s="55"/>
      <c r="K8" s="55"/>
    </row>
    <row r="9" spans="1:11" outlineLevel="1" x14ac:dyDescent="0.35"/>
    <row r="10" spans="1:11" ht="15.5" outlineLevel="1" x14ac:dyDescent="0.35">
      <c r="B10" s="56" t="s">
        <v>64</v>
      </c>
      <c r="C10" s="56"/>
      <c r="D10" s="56"/>
      <c r="E10" s="56"/>
      <c r="F10" s="56"/>
      <c r="G10" s="56"/>
      <c r="H10" s="56"/>
      <c r="I10" s="56"/>
      <c r="J10" s="56"/>
      <c r="K10" s="56"/>
    </row>
    <row r="11" spans="1:11" ht="1.5" customHeight="1" outlineLevel="1" x14ac:dyDescent="0.35"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outlineLevel="1" x14ac:dyDescent="0.35">
      <c r="B12" s="45" t="s">
        <v>53</v>
      </c>
    </row>
    <row r="13" spans="1:11" outlineLevel="1" x14ac:dyDescent="0.35">
      <c r="B13" s="52" t="s">
        <v>54</v>
      </c>
      <c r="C13" s="51"/>
      <c r="D13" s="51"/>
      <c r="E13" s="51"/>
      <c r="F13" s="51"/>
      <c r="G13" s="53">
        <v>0.03</v>
      </c>
      <c r="H13" s="53">
        <v>0.03</v>
      </c>
      <c r="I13" s="53">
        <v>0.03</v>
      </c>
      <c r="J13" s="53">
        <v>0.03</v>
      </c>
      <c r="K13" s="53">
        <v>0.03</v>
      </c>
    </row>
    <row r="14" spans="1:11" outlineLevel="1" x14ac:dyDescent="0.35">
      <c r="B14" s="52" t="s">
        <v>55</v>
      </c>
      <c r="C14" s="51"/>
      <c r="D14" s="51"/>
      <c r="E14" s="51"/>
      <c r="F14" s="51"/>
      <c r="G14" s="53">
        <v>0.04</v>
      </c>
      <c r="H14" s="53">
        <v>0.04</v>
      </c>
      <c r="I14" s="53">
        <v>0.04</v>
      </c>
      <c r="J14" s="53">
        <v>0.04</v>
      </c>
      <c r="K14" s="53">
        <v>0.04</v>
      </c>
    </row>
    <row r="15" spans="1:11" outlineLevel="1" x14ac:dyDescent="0.35">
      <c r="B15" s="52" t="s">
        <v>56</v>
      </c>
      <c r="C15" s="51"/>
      <c r="D15" s="51"/>
      <c r="E15" s="51"/>
      <c r="F15" s="51"/>
      <c r="G15" s="53">
        <v>0.02</v>
      </c>
      <c r="H15" s="53">
        <v>0.02</v>
      </c>
      <c r="I15" s="53">
        <v>0.02</v>
      </c>
      <c r="J15" s="53">
        <v>0.02</v>
      </c>
      <c r="K15" s="53">
        <v>0.02</v>
      </c>
    </row>
    <row r="16" spans="1:11" outlineLevel="1" x14ac:dyDescent="0.35">
      <c r="B16" s="144" t="str">
        <f>"Current Case - "&amp;CHOOSE($G$3,$B$13,$B$14,$B$15)</f>
        <v>Current Case - Management Case</v>
      </c>
      <c r="C16" s="144"/>
      <c r="D16" s="144"/>
      <c r="E16" s="144"/>
      <c r="F16" s="144"/>
      <c r="G16" s="145">
        <f>CHOOSE($G$3,G13,G14,G15)</f>
        <v>0.03</v>
      </c>
      <c r="H16" s="145">
        <f t="shared" ref="H16:K16" si="1">CHOOSE($G$3,H13,H14,H15)</f>
        <v>0.03</v>
      </c>
      <c r="I16" s="145">
        <f t="shared" si="1"/>
        <v>0.03</v>
      </c>
      <c r="J16" s="145">
        <f t="shared" si="1"/>
        <v>0.03</v>
      </c>
      <c r="K16" s="145">
        <f t="shared" si="1"/>
        <v>0.03</v>
      </c>
    </row>
    <row r="17" spans="2:11" outlineLevel="1" x14ac:dyDescent="0.35"/>
    <row r="18" spans="2:11" outlineLevel="1" x14ac:dyDescent="0.35">
      <c r="B18" s="45" t="s">
        <v>62</v>
      </c>
    </row>
    <row r="19" spans="2:11" outlineLevel="1" x14ac:dyDescent="0.35">
      <c r="B19" s="52" t="s">
        <v>54</v>
      </c>
      <c r="C19" s="51"/>
      <c r="D19" s="51"/>
      <c r="E19" s="51"/>
      <c r="F19" s="51"/>
      <c r="G19" s="53">
        <v>0.08</v>
      </c>
      <c r="H19" s="53">
        <v>0.08</v>
      </c>
      <c r="I19" s="53">
        <v>0.08</v>
      </c>
      <c r="J19" s="53">
        <v>7.0000000000000007E-2</v>
      </c>
      <c r="K19" s="53">
        <v>7.0000000000000007E-2</v>
      </c>
    </row>
    <row r="20" spans="2:11" outlineLevel="1" x14ac:dyDescent="0.35">
      <c r="B20" s="52" t="s">
        <v>55</v>
      </c>
      <c r="C20" s="51"/>
      <c r="D20" s="51"/>
      <c r="E20" s="51"/>
      <c r="F20" s="51"/>
      <c r="G20" s="53">
        <v>0.09</v>
      </c>
      <c r="H20" s="53">
        <v>0.09</v>
      </c>
      <c r="I20" s="53">
        <v>0.09</v>
      </c>
      <c r="J20" s="53">
        <v>0.08</v>
      </c>
      <c r="K20" s="53">
        <v>0.08</v>
      </c>
    </row>
    <row r="21" spans="2:11" outlineLevel="1" x14ac:dyDescent="0.35">
      <c r="B21" s="52" t="s">
        <v>56</v>
      </c>
      <c r="C21" s="51"/>
      <c r="D21" s="51"/>
      <c r="E21" s="51"/>
      <c r="F21" s="51"/>
      <c r="G21" s="53">
        <v>7.0000000000000007E-2</v>
      </c>
      <c r="H21" s="53">
        <v>7.0000000000000007E-2</v>
      </c>
      <c r="I21" s="53">
        <v>7.0000000000000007E-2</v>
      </c>
      <c r="J21" s="53">
        <v>0.06</v>
      </c>
      <c r="K21" s="53">
        <v>0.06</v>
      </c>
    </row>
    <row r="22" spans="2:11" outlineLevel="1" x14ac:dyDescent="0.35">
      <c r="B22" s="144" t="str">
        <f>"Current Case - "&amp;CHOOSE($G$3,$B$13,$B$14,$B$15)</f>
        <v>Current Case - Management Case</v>
      </c>
      <c r="C22" s="144"/>
      <c r="D22" s="144"/>
      <c r="E22" s="144"/>
      <c r="F22" s="144"/>
      <c r="G22" s="145">
        <f>CHOOSE($G$3,G19,G20,G21)</f>
        <v>0.08</v>
      </c>
      <c r="H22" s="145">
        <f t="shared" ref="H22" si="2">CHOOSE($G$3,H19,H20,H21)</f>
        <v>0.08</v>
      </c>
      <c r="I22" s="145">
        <f t="shared" ref="I22" si="3">CHOOSE($G$3,I19,I20,I21)</f>
        <v>0.08</v>
      </c>
      <c r="J22" s="145">
        <f t="shared" ref="J22" si="4">CHOOSE($G$3,J19,J20,J21)</f>
        <v>7.0000000000000007E-2</v>
      </c>
      <c r="K22" s="145">
        <f t="shared" ref="K22" si="5">CHOOSE($G$3,K19,K20,K21)</f>
        <v>7.0000000000000007E-2</v>
      </c>
    </row>
    <row r="23" spans="2:11" outlineLevel="1" x14ac:dyDescent="0.35"/>
    <row r="24" spans="2:11" ht="15.5" outlineLevel="1" x14ac:dyDescent="0.35">
      <c r="B24" s="56" t="s">
        <v>58</v>
      </c>
      <c r="C24" s="56"/>
      <c r="D24" s="56"/>
      <c r="E24" s="56"/>
      <c r="F24" s="56"/>
      <c r="G24" s="56"/>
      <c r="H24" s="56"/>
      <c r="I24" s="56"/>
      <c r="J24" s="56"/>
      <c r="K24" s="56"/>
    </row>
    <row r="25" spans="2:11" ht="1.5" customHeight="1" outlineLevel="1" x14ac:dyDescent="0.35"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2:11" outlineLevel="1" x14ac:dyDescent="0.35">
      <c r="B26" s="45" t="s">
        <v>59</v>
      </c>
    </row>
    <row r="27" spans="2:11" outlineLevel="1" x14ac:dyDescent="0.35">
      <c r="B27" s="51" t="str">
        <f>$B$13</f>
        <v>Management Case</v>
      </c>
      <c r="C27" s="51"/>
      <c r="D27" s="51"/>
      <c r="E27" s="51"/>
      <c r="F27" s="51"/>
      <c r="G27" s="53">
        <v>0.02</v>
      </c>
      <c r="H27" s="53">
        <v>0.02</v>
      </c>
      <c r="I27" s="53">
        <v>0.02</v>
      </c>
      <c r="J27" s="53">
        <v>0.02</v>
      </c>
      <c r="K27" s="53">
        <v>0.02</v>
      </c>
    </row>
    <row r="28" spans="2:11" outlineLevel="1" x14ac:dyDescent="0.35">
      <c r="B28" s="51" t="str">
        <f>$B$14</f>
        <v>Best Case</v>
      </c>
      <c r="C28" s="51"/>
      <c r="D28" s="51"/>
      <c r="E28" s="51"/>
      <c r="F28" s="51"/>
      <c r="G28" s="53">
        <v>0.03</v>
      </c>
      <c r="H28" s="53">
        <v>0.03</v>
      </c>
      <c r="I28" s="53">
        <v>0.03</v>
      </c>
      <c r="J28" s="53">
        <v>0.03</v>
      </c>
      <c r="K28" s="53">
        <v>0.03</v>
      </c>
    </row>
    <row r="29" spans="2:11" outlineLevel="1" x14ac:dyDescent="0.35">
      <c r="B29" s="51" t="str">
        <f>$B$15</f>
        <v>Worst Case</v>
      </c>
      <c r="C29" s="51"/>
      <c r="D29" s="51"/>
      <c r="E29" s="51"/>
      <c r="F29" s="51"/>
      <c r="G29" s="53">
        <v>0.01</v>
      </c>
      <c r="H29" s="53">
        <v>0.01</v>
      </c>
      <c r="I29" s="53">
        <v>0.01</v>
      </c>
      <c r="J29" s="53">
        <v>0.01</v>
      </c>
      <c r="K29" s="53">
        <v>0.01</v>
      </c>
    </row>
    <row r="30" spans="2:11" outlineLevel="1" x14ac:dyDescent="0.35">
      <c r="B30" s="144" t="str">
        <f>"Current Case - "&amp;CHOOSE($G$3,$B$13,$B$14,$B$15)</f>
        <v>Current Case - Management Case</v>
      </c>
      <c r="C30" s="144"/>
      <c r="D30" s="144"/>
      <c r="E30" s="144"/>
      <c r="F30" s="144"/>
      <c r="G30" s="145">
        <f>CHOOSE($G$3,G27,G28,G29)</f>
        <v>0.02</v>
      </c>
      <c r="H30" s="145">
        <f t="shared" ref="H30" si="6">CHOOSE($G$3,H27,H28,H29)</f>
        <v>0.02</v>
      </c>
      <c r="I30" s="145">
        <f t="shared" ref="I30" si="7">CHOOSE($G$3,I27,I28,I29)</f>
        <v>0.02</v>
      </c>
      <c r="J30" s="145">
        <f t="shared" ref="J30" si="8">CHOOSE($G$3,J27,J28,J29)</f>
        <v>0.02</v>
      </c>
      <c r="K30" s="145">
        <f t="shared" ref="K30" si="9">CHOOSE($G$3,K27,K28,K29)</f>
        <v>0.02</v>
      </c>
    </row>
    <row r="31" spans="2:11" outlineLevel="1" x14ac:dyDescent="0.35"/>
    <row r="32" spans="2:11" outlineLevel="1" x14ac:dyDescent="0.35">
      <c r="B32" s="45" t="s">
        <v>61</v>
      </c>
    </row>
    <row r="33" spans="2:11" outlineLevel="1" x14ac:dyDescent="0.35">
      <c r="B33" s="52" t="s">
        <v>54</v>
      </c>
      <c r="C33" s="51"/>
      <c r="D33" s="51"/>
      <c r="E33" s="51"/>
      <c r="F33" s="51"/>
      <c r="G33" s="53">
        <v>7.0000000000000007E-2</v>
      </c>
      <c r="H33" s="53">
        <v>7.0000000000000007E-2</v>
      </c>
      <c r="I33" s="53">
        <v>7.0000000000000007E-2</v>
      </c>
      <c r="J33" s="53">
        <v>0.05</v>
      </c>
      <c r="K33" s="53">
        <v>0.05</v>
      </c>
    </row>
    <row r="34" spans="2:11" outlineLevel="1" x14ac:dyDescent="0.35">
      <c r="B34" s="52" t="s">
        <v>55</v>
      </c>
      <c r="C34" s="51"/>
      <c r="D34" s="51"/>
      <c r="E34" s="51"/>
      <c r="F34" s="51"/>
      <c r="G34" s="53">
        <v>0.08</v>
      </c>
      <c r="H34" s="53">
        <v>0.08</v>
      </c>
      <c r="I34" s="53">
        <v>0.08</v>
      </c>
      <c r="J34" s="53">
        <v>0.06</v>
      </c>
      <c r="K34" s="53">
        <v>0.06</v>
      </c>
    </row>
    <row r="35" spans="2:11" outlineLevel="1" x14ac:dyDescent="0.35">
      <c r="B35" s="52" t="s">
        <v>56</v>
      </c>
      <c r="C35" s="51"/>
      <c r="D35" s="51"/>
      <c r="E35" s="51"/>
      <c r="F35" s="51"/>
      <c r="G35" s="53">
        <v>0.06</v>
      </c>
      <c r="H35" s="53">
        <v>0.06</v>
      </c>
      <c r="I35" s="53">
        <v>0.06</v>
      </c>
      <c r="J35" s="53">
        <v>0.04</v>
      </c>
      <c r="K35" s="53">
        <v>0.04</v>
      </c>
    </row>
    <row r="36" spans="2:11" outlineLevel="1" x14ac:dyDescent="0.35">
      <c r="B36" s="144" t="str">
        <f>"Current Case - "&amp;CHOOSE($G$3,$B$13,$B$14,$B$15)</f>
        <v>Current Case - Management Case</v>
      </c>
      <c r="C36" s="144"/>
      <c r="D36" s="144"/>
      <c r="E36" s="144"/>
      <c r="F36" s="144"/>
      <c r="G36" s="145">
        <f>CHOOSE($G$3,G33,G34,G35)</f>
        <v>7.0000000000000007E-2</v>
      </c>
      <c r="H36" s="145">
        <f t="shared" ref="H36" si="10">CHOOSE($G$3,H33,H34,H35)</f>
        <v>7.0000000000000007E-2</v>
      </c>
      <c r="I36" s="145">
        <f t="shared" ref="I36" si="11">CHOOSE($G$3,I33,I34,I35)</f>
        <v>7.0000000000000007E-2</v>
      </c>
      <c r="J36" s="145">
        <f t="shared" ref="J36" si="12">CHOOSE($G$3,J33,J34,J35)</f>
        <v>0.05</v>
      </c>
      <c r="K36" s="145">
        <f t="shared" ref="K36" si="13">CHOOSE($G$3,K33,K34,K35)</f>
        <v>0.05</v>
      </c>
    </row>
    <row r="37" spans="2:11" outlineLevel="1" x14ac:dyDescent="0.35"/>
    <row r="38" spans="2:11" ht="15.5" outlineLevel="1" x14ac:dyDescent="0.35">
      <c r="B38" s="56" t="s">
        <v>60</v>
      </c>
      <c r="C38" s="56"/>
      <c r="D38" s="56"/>
      <c r="E38" s="56"/>
      <c r="F38" s="56"/>
      <c r="G38" s="56"/>
      <c r="H38" s="56"/>
      <c r="I38" s="56"/>
      <c r="J38" s="56"/>
      <c r="K38" s="56"/>
    </row>
    <row r="39" spans="2:11" ht="1.5" customHeight="1" outlineLevel="1" x14ac:dyDescent="0.35"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2:11" outlineLevel="1" x14ac:dyDescent="0.35">
      <c r="B40" s="45" t="s">
        <v>59</v>
      </c>
    </row>
    <row r="41" spans="2:11" outlineLevel="1" x14ac:dyDescent="0.35">
      <c r="B41" s="51" t="str">
        <f>$B$13</f>
        <v>Management Case</v>
      </c>
      <c r="C41" s="51"/>
      <c r="D41" s="51"/>
      <c r="E41" s="51"/>
      <c r="F41" s="51"/>
      <c r="G41" s="53">
        <v>0.01</v>
      </c>
      <c r="H41" s="53">
        <v>0.01</v>
      </c>
      <c r="I41" s="53">
        <v>0.01</v>
      </c>
      <c r="J41" s="53">
        <v>0.01</v>
      </c>
      <c r="K41" s="53">
        <v>0.01</v>
      </c>
    </row>
    <row r="42" spans="2:11" outlineLevel="1" x14ac:dyDescent="0.35">
      <c r="B42" s="51" t="str">
        <f>$B$14</f>
        <v>Best Case</v>
      </c>
      <c r="C42" s="51"/>
      <c r="D42" s="51"/>
      <c r="E42" s="51"/>
      <c r="F42" s="51"/>
      <c r="G42" s="53">
        <v>0.02</v>
      </c>
      <c r="H42" s="53">
        <v>0.02</v>
      </c>
      <c r="I42" s="53">
        <v>0.02</v>
      </c>
      <c r="J42" s="53">
        <v>0.02</v>
      </c>
      <c r="K42" s="53">
        <v>0.02</v>
      </c>
    </row>
    <row r="43" spans="2:11" outlineLevel="1" x14ac:dyDescent="0.35">
      <c r="B43" s="51" t="str">
        <f>$B$15</f>
        <v>Worst Case</v>
      </c>
      <c r="C43" s="51"/>
      <c r="D43" s="51"/>
      <c r="E43" s="51"/>
      <c r="F43" s="51"/>
      <c r="G43" s="53">
        <v>0</v>
      </c>
      <c r="H43" s="53">
        <v>0</v>
      </c>
      <c r="I43" s="53">
        <v>0</v>
      </c>
      <c r="J43" s="53">
        <v>0</v>
      </c>
      <c r="K43" s="53">
        <v>0</v>
      </c>
    </row>
    <row r="44" spans="2:11" outlineLevel="1" x14ac:dyDescent="0.35">
      <c r="B44" s="144" t="str">
        <f>"Current Case - "&amp;CHOOSE($G$3,$B$13,$B$14,$B$15)</f>
        <v>Current Case - Management Case</v>
      </c>
      <c r="C44" s="144"/>
      <c r="D44" s="144"/>
      <c r="E44" s="144"/>
      <c r="F44" s="144"/>
      <c r="G44" s="145">
        <f>CHOOSE($G$3,G41,G42,G43)</f>
        <v>0.01</v>
      </c>
      <c r="H44" s="145">
        <f t="shared" ref="H44" si="14">CHOOSE($G$3,H41,H42,H43)</f>
        <v>0.01</v>
      </c>
      <c r="I44" s="145">
        <f t="shared" ref="I44" si="15">CHOOSE($G$3,I41,I42,I43)</f>
        <v>0.01</v>
      </c>
      <c r="J44" s="145">
        <f t="shared" ref="J44" si="16">CHOOSE($G$3,J41,J42,J43)</f>
        <v>0.01</v>
      </c>
      <c r="K44" s="145">
        <f t="shared" ref="K44" si="17">CHOOSE($G$3,K41,K42,K43)</f>
        <v>0.01</v>
      </c>
    </row>
    <row r="45" spans="2:11" outlineLevel="1" x14ac:dyDescent="0.35"/>
    <row r="46" spans="2:11" outlineLevel="1" x14ac:dyDescent="0.35">
      <c r="B46" s="45" t="s">
        <v>61</v>
      </c>
    </row>
    <row r="47" spans="2:11" outlineLevel="1" x14ac:dyDescent="0.35">
      <c r="B47" s="52" t="s">
        <v>54</v>
      </c>
      <c r="C47" s="51"/>
      <c r="D47" s="51"/>
      <c r="E47" s="51"/>
      <c r="F47" s="51"/>
      <c r="G47" s="53">
        <v>0.05</v>
      </c>
      <c r="H47" s="53">
        <v>0.05</v>
      </c>
      <c r="I47" s="53">
        <v>0.05</v>
      </c>
      <c r="J47" s="53">
        <v>0.03</v>
      </c>
      <c r="K47" s="53">
        <v>0.03</v>
      </c>
    </row>
    <row r="48" spans="2:11" outlineLevel="1" x14ac:dyDescent="0.35">
      <c r="B48" s="52" t="s">
        <v>55</v>
      </c>
      <c r="C48" s="51"/>
      <c r="D48" s="51"/>
      <c r="E48" s="51"/>
      <c r="F48" s="51"/>
      <c r="G48" s="53">
        <v>0.06</v>
      </c>
      <c r="H48" s="53">
        <v>0.06</v>
      </c>
      <c r="I48" s="53">
        <v>0.06</v>
      </c>
      <c r="J48" s="53">
        <v>0.04</v>
      </c>
      <c r="K48" s="53">
        <v>0.04</v>
      </c>
    </row>
    <row r="49" spans="1:11" outlineLevel="1" x14ac:dyDescent="0.35">
      <c r="B49" s="52" t="s">
        <v>56</v>
      </c>
      <c r="C49" s="51"/>
      <c r="D49" s="51"/>
      <c r="E49" s="51"/>
      <c r="F49" s="51"/>
      <c r="G49" s="53">
        <v>0.04</v>
      </c>
      <c r="H49" s="53">
        <v>0.04</v>
      </c>
      <c r="I49" s="53">
        <v>0.04</v>
      </c>
      <c r="J49" s="53">
        <v>0.02</v>
      </c>
      <c r="K49" s="53">
        <v>0.02</v>
      </c>
    </row>
    <row r="50" spans="1:11" outlineLevel="1" x14ac:dyDescent="0.35">
      <c r="B50" s="144" t="str">
        <f>"Current Case - "&amp;CHOOSE($G$3,$B$13,$B$14,$B$15)</f>
        <v>Current Case - Management Case</v>
      </c>
      <c r="C50" s="144"/>
      <c r="D50" s="144"/>
      <c r="E50" s="144"/>
      <c r="F50" s="144"/>
      <c r="G50" s="145">
        <f>CHOOSE($G$3,G47,G48,G49)</f>
        <v>0.05</v>
      </c>
      <c r="H50" s="145">
        <f t="shared" ref="H50" si="18">CHOOSE($G$3,H47,H48,H49)</f>
        <v>0.05</v>
      </c>
      <c r="I50" s="145">
        <f t="shared" ref="I50" si="19">CHOOSE($G$3,I47,I48,I49)</f>
        <v>0.05</v>
      </c>
      <c r="J50" s="145">
        <f t="shared" ref="J50" si="20">CHOOSE($G$3,J47,J48,J49)</f>
        <v>0.03</v>
      </c>
      <c r="K50" s="145">
        <f t="shared" ref="K50" si="21">CHOOSE($G$3,K47,K48,K49)</f>
        <v>0.03</v>
      </c>
    </row>
    <row r="52" spans="1:11" ht="18.5" x14ac:dyDescent="0.45">
      <c r="A52" s="46" t="s">
        <v>52</v>
      </c>
      <c r="B52" s="54" t="s">
        <v>74</v>
      </c>
      <c r="C52" s="55"/>
      <c r="D52" s="55"/>
      <c r="E52" s="55"/>
      <c r="F52" s="55"/>
      <c r="G52" s="55"/>
      <c r="H52" s="55"/>
      <c r="I52" s="55"/>
      <c r="J52" s="55"/>
      <c r="K52" s="55"/>
    </row>
    <row r="53" spans="1:11" outlineLevel="1" x14ac:dyDescent="0.35"/>
    <row r="54" spans="1:11" ht="15.5" outlineLevel="1" x14ac:dyDescent="0.35">
      <c r="B54" s="56" t="s">
        <v>64</v>
      </c>
      <c r="C54" s="56"/>
      <c r="D54" s="56"/>
      <c r="E54" s="56"/>
      <c r="F54" s="56"/>
      <c r="G54" s="56"/>
      <c r="H54" s="56"/>
      <c r="I54" s="56"/>
      <c r="J54" s="56"/>
      <c r="K54" s="56"/>
    </row>
    <row r="55" spans="1:11" outlineLevel="1" x14ac:dyDescent="0.35"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outlineLevel="1" x14ac:dyDescent="0.35">
      <c r="B56" s="45" t="s">
        <v>75</v>
      </c>
    </row>
    <row r="57" spans="1:11" outlineLevel="1" x14ac:dyDescent="0.35">
      <c r="B57" s="52" t="s">
        <v>54</v>
      </c>
      <c r="C57" s="51"/>
      <c r="D57" s="51"/>
      <c r="E57" s="51"/>
      <c r="F57" s="51"/>
      <c r="G57" s="53">
        <v>0</v>
      </c>
      <c r="H57" s="53">
        <v>0</v>
      </c>
      <c r="I57" s="53">
        <v>0</v>
      </c>
      <c r="J57" s="53">
        <v>0</v>
      </c>
      <c r="K57" s="53">
        <v>0</v>
      </c>
    </row>
    <row r="58" spans="1:11" outlineLevel="1" x14ac:dyDescent="0.35">
      <c r="B58" s="52" t="s">
        <v>55</v>
      </c>
      <c r="C58" s="51"/>
      <c r="D58" s="51"/>
      <c r="E58" s="51"/>
      <c r="F58" s="51"/>
      <c r="G58" s="53">
        <v>0.01</v>
      </c>
      <c r="H58" s="53">
        <v>0.01</v>
      </c>
      <c r="I58" s="53">
        <v>0.01</v>
      </c>
      <c r="J58" s="53">
        <v>0.01</v>
      </c>
      <c r="K58" s="53">
        <v>0.01</v>
      </c>
    </row>
    <row r="59" spans="1:11" outlineLevel="1" x14ac:dyDescent="0.35">
      <c r="B59" s="52" t="s">
        <v>56</v>
      </c>
      <c r="C59" s="51"/>
      <c r="D59" s="51"/>
      <c r="E59" s="51"/>
      <c r="F59" s="51"/>
      <c r="G59" s="53">
        <v>0.02</v>
      </c>
      <c r="H59" s="53">
        <v>0.02</v>
      </c>
      <c r="I59" s="53">
        <v>0.02</v>
      </c>
      <c r="J59" s="53">
        <v>0.02</v>
      </c>
      <c r="K59" s="53">
        <v>0.02</v>
      </c>
    </row>
    <row r="60" spans="1:11" outlineLevel="1" x14ac:dyDescent="0.35">
      <c r="B60" s="144" t="str">
        <f>"Current Case - "&amp;CHOOSE($G$3,$B$13,$B$14,$B$15)</f>
        <v>Current Case - Management Case</v>
      </c>
      <c r="C60" s="144"/>
      <c r="D60" s="144"/>
      <c r="E60" s="144"/>
      <c r="F60" s="144"/>
      <c r="G60" s="145">
        <f>CHOOSE($G$3,G57,G58,G59)</f>
        <v>0</v>
      </c>
      <c r="H60" s="145">
        <f t="shared" ref="H60" si="22">CHOOSE($G$3,H57,H58,H59)</f>
        <v>0</v>
      </c>
      <c r="I60" s="145">
        <f t="shared" ref="I60" si="23">CHOOSE($G$3,I57,I58,I59)</f>
        <v>0</v>
      </c>
      <c r="J60" s="145">
        <f t="shared" ref="J60" si="24">CHOOSE($G$3,J57,J58,J59)</f>
        <v>0</v>
      </c>
      <c r="K60" s="145">
        <f t="shared" ref="K60" si="25">CHOOSE($G$3,K57,K58,K59)</f>
        <v>0</v>
      </c>
    </row>
    <row r="61" spans="1:11" outlineLevel="1" x14ac:dyDescent="0.35"/>
    <row r="62" spans="1:11" outlineLevel="1" x14ac:dyDescent="0.35">
      <c r="B62" s="45" t="s">
        <v>76</v>
      </c>
    </row>
    <row r="63" spans="1:11" outlineLevel="1" x14ac:dyDescent="0.35">
      <c r="B63" s="52" t="s">
        <v>54</v>
      </c>
      <c r="C63" s="51"/>
      <c r="D63" s="51"/>
      <c r="E63" s="51"/>
      <c r="F63" s="51"/>
      <c r="G63" s="53">
        <v>0</v>
      </c>
      <c r="H63" s="53">
        <v>0</v>
      </c>
      <c r="I63" s="53">
        <v>0</v>
      </c>
      <c r="J63" s="53">
        <v>0</v>
      </c>
      <c r="K63" s="53">
        <v>0</v>
      </c>
    </row>
    <row r="64" spans="1:11" outlineLevel="1" x14ac:dyDescent="0.35">
      <c r="B64" s="52" t="s">
        <v>55</v>
      </c>
      <c r="C64" s="51"/>
      <c r="D64" s="51"/>
      <c r="E64" s="51"/>
      <c r="F64" s="51"/>
      <c r="G64" s="53">
        <v>0.01</v>
      </c>
      <c r="H64" s="53">
        <v>0.01</v>
      </c>
      <c r="I64" s="53">
        <v>0.01</v>
      </c>
      <c r="J64" s="53">
        <v>0.01</v>
      </c>
      <c r="K64" s="53">
        <v>0.01</v>
      </c>
    </row>
    <row r="65" spans="2:11" outlineLevel="1" x14ac:dyDescent="0.35">
      <c r="B65" s="52" t="s">
        <v>56</v>
      </c>
      <c r="C65" s="51"/>
      <c r="D65" s="51"/>
      <c r="E65" s="51"/>
      <c r="F65" s="51"/>
      <c r="G65" s="53">
        <v>0.02</v>
      </c>
      <c r="H65" s="53">
        <v>0.02</v>
      </c>
      <c r="I65" s="53">
        <v>0.02</v>
      </c>
      <c r="J65" s="53">
        <v>0.02</v>
      </c>
      <c r="K65" s="53">
        <v>0.02</v>
      </c>
    </row>
    <row r="66" spans="2:11" outlineLevel="1" x14ac:dyDescent="0.35">
      <c r="B66" s="144" t="str">
        <f>"Current Case - "&amp;CHOOSE($G$3,$B$13,$B$14,$B$15)</f>
        <v>Current Case - Management Case</v>
      </c>
      <c r="C66" s="144"/>
      <c r="D66" s="144"/>
      <c r="E66" s="144"/>
      <c r="F66" s="144"/>
      <c r="G66" s="145">
        <f>CHOOSE($G$3,G63,G64,G65)</f>
        <v>0</v>
      </c>
      <c r="H66" s="145">
        <f t="shared" ref="H66" si="26">CHOOSE($G$3,H63,H64,H65)</f>
        <v>0</v>
      </c>
      <c r="I66" s="145">
        <f t="shared" ref="I66" si="27">CHOOSE($G$3,I63,I64,I65)</f>
        <v>0</v>
      </c>
      <c r="J66" s="145">
        <f t="shared" ref="J66" si="28">CHOOSE($G$3,J63,J64,J65)</f>
        <v>0</v>
      </c>
      <c r="K66" s="145">
        <f t="shared" ref="K66" si="29">CHOOSE($G$3,K63,K64,K65)</f>
        <v>0</v>
      </c>
    </row>
    <row r="67" spans="2:11" outlineLevel="1" x14ac:dyDescent="0.35"/>
    <row r="68" spans="2:11" outlineLevel="1" x14ac:dyDescent="0.35">
      <c r="B68" s="45" t="s">
        <v>77</v>
      </c>
    </row>
    <row r="69" spans="2:11" outlineLevel="1" x14ac:dyDescent="0.35">
      <c r="B69" s="52" t="s">
        <v>54</v>
      </c>
      <c r="C69" s="51"/>
      <c r="D69" s="51"/>
      <c r="E69" s="51"/>
      <c r="F69" s="51"/>
      <c r="G69" s="53">
        <v>0</v>
      </c>
      <c r="H69" s="53">
        <v>0</v>
      </c>
      <c r="I69" s="53">
        <v>0</v>
      </c>
      <c r="J69" s="53">
        <v>0</v>
      </c>
      <c r="K69" s="53">
        <v>0</v>
      </c>
    </row>
    <row r="70" spans="2:11" outlineLevel="1" x14ac:dyDescent="0.35">
      <c r="B70" s="52" t="s">
        <v>55</v>
      </c>
      <c r="C70" s="51"/>
      <c r="D70" s="51"/>
      <c r="E70" s="51"/>
      <c r="F70" s="51"/>
      <c r="G70" s="53">
        <v>0.01</v>
      </c>
      <c r="H70" s="53">
        <v>0.01</v>
      </c>
      <c r="I70" s="53">
        <v>0.01</v>
      </c>
      <c r="J70" s="53">
        <v>0.01</v>
      </c>
      <c r="K70" s="53">
        <v>0.01</v>
      </c>
    </row>
    <row r="71" spans="2:11" outlineLevel="1" x14ac:dyDescent="0.35">
      <c r="B71" s="52" t="s">
        <v>56</v>
      </c>
      <c r="C71" s="51"/>
      <c r="D71" s="51"/>
      <c r="E71" s="51"/>
      <c r="F71" s="51"/>
      <c r="G71" s="53">
        <v>0.02</v>
      </c>
      <c r="H71" s="53">
        <v>0.02</v>
      </c>
      <c r="I71" s="53">
        <v>0.02</v>
      </c>
      <c r="J71" s="53">
        <v>0.02</v>
      </c>
      <c r="K71" s="53">
        <v>0.02</v>
      </c>
    </row>
    <row r="72" spans="2:11" outlineLevel="1" x14ac:dyDescent="0.35">
      <c r="B72" s="144" t="str">
        <f>"Current Case - "&amp;CHOOSE($G$3,$B$13,$B$14,$B$15)</f>
        <v>Current Case - Management Case</v>
      </c>
      <c r="C72" s="144"/>
      <c r="D72" s="144"/>
      <c r="E72" s="144"/>
      <c r="F72" s="144"/>
      <c r="G72" s="145">
        <f>CHOOSE($G$3,G69,G70,G71)</f>
        <v>0</v>
      </c>
      <c r="H72" s="145">
        <f t="shared" ref="H72" si="30">CHOOSE($G$3,H69,H70,H71)</f>
        <v>0</v>
      </c>
      <c r="I72" s="145">
        <f t="shared" ref="I72" si="31">CHOOSE($G$3,I69,I70,I71)</f>
        <v>0</v>
      </c>
      <c r="J72" s="145">
        <f t="shared" ref="J72" si="32">CHOOSE($G$3,J69,J70,J71)</f>
        <v>0</v>
      </c>
      <c r="K72" s="145">
        <f t="shared" ref="K72" si="33">CHOOSE($G$3,K69,K70,K71)</f>
        <v>0</v>
      </c>
    </row>
    <row r="73" spans="2:11" outlineLevel="1" x14ac:dyDescent="0.35"/>
    <row r="74" spans="2:11" outlineLevel="1" x14ac:dyDescent="0.35">
      <c r="B74" s="45" t="s">
        <v>78</v>
      </c>
    </row>
    <row r="75" spans="2:11" outlineLevel="1" x14ac:dyDescent="0.35">
      <c r="B75" s="52" t="s">
        <v>54</v>
      </c>
      <c r="C75" s="51"/>
      <c r="D75" s="51"/>
      <c r="E75" s="51"/>
      <c r="F75" s="51"/>
      <c r="G75" s="53">
        <v>0</v>
      </c>
      <c r="H75" s="53">
        <v>0</v>
      </c>
      <c r="I75" s="53">
        <v>0</v>
      </c>
      <c r="J75" s="53">
        <v>0</v>
      </c>
      <c r="K75" s="53">
        <v>0</v>
      </c>
    </row>
    <row r="76" spans="2:11" outlineLevel="1" x14ac:dyDescent="0.35">
      <c r="B76" s="52" t="s">
        <v>55</v>
      </c>
      <c r="C76" s="51"/>
      <c r="D76" s="51"/>
      <c r="E76" s="51"/>
      <c r="F76" s="51"/>
      <c r="G76" s="53">
        <v>0.01</v>
      </c>
      <c r="H76" s="53">
        <v>0.01</v>
      </c>
      <c r="I76" s="53">
        <v>0.01</v>
      </c>
      <c r="J76" s="53">
        <v>0.01</v>
      </c>
      <c r="K76" s="53">
        <v>0.01</v>
      </c>
    </row>
    <row r="77" spans="2:11" outlineLevel="1" x14ac:dyDescent="0.35">
      <c r="B77" s="52" t="s">
        <v>56</v>
      </c>
      <c r="C77" s="51"/>
      <c r="D77" s="51"/>
      <c r="E77" s="51"/>
      <c r="F77" s="51"/>
      <c r="G77" s="53">
        <v>0.02</v>
      </c>
      <c r="H77" s="53">
        <v>0.02</v>
      </c>
      <c r="I77" s="53">
        <v>0.02</v>
      </c>
      <c r="J77" s="53">
        <v>0.02</v>
      </c>
      <c r="K77" s="53">
        <v>0.02</v>
      </c>
    </row>
    <row r="78" spans="2:11" outlineLevel="1" x14ac:dyDescent="0.35">
      <c r="B78" s="144" t="str">
        <f>"Current Case - "&amp;CHOOSE($G$3,$B$13,$B$14,$B$15)</f>
        <v>Current Case - Management Case</v>
      </c>
      <c r="C78" s="144"/>
      <c r="D78" s="144"/>
      <c r="E78" s="144"/>
      <c r="F78" s="144"/>
      <c r="G78" s="145">
        <f>CHOOSE($G$3,G75,G76,G77)</f>
        <v>0</v>
      </c>
      <c r="H78" s="145">
        <f t="shared" ref="H78" si="34">CHOOSE($G$3,H75,H76,H77)</f>
        <v>0</v>
      </c>
      <c r="I78" s="145">
        <f t="shared" ref="I78" si="35">CHOOSE($G$3,I75,I76,I77)</f>
        <v>0</v>
      </c>
      <c r="J78" s="145">
        <f t="shared" ref="J78" si="36">CHOOSE($G$3,J75,J76,J77)</f>
        <v>0</v>
      </c>
      <c r="K78" s="145">
        <f t="shared" ref="K78" si="37">CHOOSE($G$3,K75,K76,K77)</f>
        <v>0</v>
      </c>
    </row>
    <row r="79" spans="2:11" outlineLevel="1" x14ac:dyDescent="0.35"/>
    <row r="80" spans="2:11" ht="15.5" outlineLevel="1" x14ac:dyDescent="0.35">
      <c r="B80" s="56" t="s">
        <v>58</v>
      </c>
      <c r="C80" s="56"/>
      <c r="D80" s="56"/>
      <c r="E80" s="56"/>
      <c r="F80" s="56"/>
      <c r="G80" s="56"/>
      <c r="H80" s="56"/>
      <c r="I80" s="56"/>
      <c r="J80" s="56"/>
      <c r="K80" s="56"/>
    </row>
    <row r="81" spans="2:11" outlineLevel="1" x14ac:dyDescent="0.35"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2:11" outlineLevel="1" x14ac:dyDescent="0.35">
      <c r="B82" s="45" t="s">
        <v>75</v>
      </c>
    </row>
    <row r="83" spans="2:11" outlineLevel="1" x14ac:dyDescent="0.35">
      <c r="B83" s="52" t="s">
        <v>54</v>
      </c>
      <c r="C83" s="51"/>
      <c r="D83" s="51"/>
      <c r="E83" s="51"/>
      <c r="F83" s="51"/>
      <c r="G83" s="53">
        <v>0</v>
      </c>
      <c r="H83" s="53">
        <v>0</v>
      </c>
      <c r="I83" s="53">
        <v>0</v>
      </c>
      <c r="J83" s="53">
        <v>0</v>
      </c>
      <c r="K83" s="53">
        <v>0</v>
      </c>
    </row>
    <row r="84" spans="2:11" outlineLevel="1" x14ac:dyDescent="0.35">
      <c r="B84" s="52" t="s">
        <v>55</v>
      </c>
      <c r="C84" s="51"/>
      <c r="D84" s="51"/>
      <c r="E84" s="51"/>
      <c r="F84" s="51"/>
      <c r="G84" s="53">
        <v>0.01</v>
      </c>
      <c r="H84" s="53">
        <v>0.01</v>
      </c>
      <c r="I84" s="53">
        <v>0.01</v>
      </c>
      <c r="J84" s="53">
        <v>0.01</v>
      </c>
      <c r="K84" s="53">
        <v>0.01</v>
      </c>
    </row>
    <row r="85" spans="2:11" outlineLevel="1" x14ac:dyDescent="0.35">
      <c r="B85" s="52" t="s">
        <v>56</v>
      </c>
      <c r="C85" s="51"/>
      <c r="D85" s="51"/>
      <c r="E85" s="51"/>
      <c r="F85" s="51"/>
      <c r="G85" s="53">
        <v>0.02</v>
      </c>
      <c r="H85" s="53">
        <v>0.02</v>
      </c>
      <c r="I85" s="53">
        <v>0.02</v>
      </c>
      <c r="J85" s="53">
        <v>0.02</v>
      </c>
      <c r="K85" s="53">
        <v>0.02</v>
      </c>
    </row>
    <row r="86" spans="2:11" outlineLevel="1" x14ac:dyDescent="0.35">
      <c r="B86" s="144" t="str">
        <f>"Current Case - "&amp;CHOOSE($G$3,$B$13,$B$14,$B$15)</f>
        <v>Current Case - Management Case</v>
      </c>
      <c r="C86" s="144"/>
      <c r="D86" s="144"/>
      <c r="E86" s="144"/>
      <c r="F86" s="144"/>
      <c r="G86" s="145">
        <f>CHOOSE($G$3,G83,G84,G85)</f>
        <v>0</v>
      </c>
      <c r="H86" s="145">
        <f t="shared" ref="H86" si="38">CHOOSE($G$3,H83,H84,H85)</f>
        <v>0</v>
      </c>
      <c r="I86" s="145">
        <f t="shared" ref="I86" si="39">CHOOSE($G$3,I83,I84,I85)</f>
        <v>0</v>
      </c>
      <c r="J86" s="145">
        <f t="shared" ref="J86" si="40">CHOOSE($G$3,J83,J84,J85)</f>
        <v>0</v>
      </c>
      <c r="K86" s="145">
        <f t="shared" ref="K86" si="41">CHOOSE($G$3,K83,K84,K85)</f>
        <v>0</v>
      </c>
    </row>
    <row r="87" spans="2:11" outlineLevel="1" x14ac:dyDescent="0.35"/>
    <row r="88" spans="2:11" outlineLevel="1" x14ac:dyDescent="0.35">
      <c r="B88" s="45" t="s">
        <v>76</v>
      </c>
    </row>
    <row r="89" spans="2:11" outlineLevel="1" x14ac:dyDescent="0.35">
      <c r="B89" s="52" t="s">
        <v>54</v>
      </c>
      <c r="C89" s="51"/>
      <c r="D89" s="51"/>
      <c r="E89" s="51"/>
      <c r="F89" s="51"/>
      <c r="G89" s="53">
        <v>0</v>
      </c>
      <c r="H89" s="53">
        <v>0</v>
      </c>
      <c r="I89" s="53">
        <v>0</v>
      </c>
      <c r="J89" s="53">
        <v>0</v>
      </c>
      <c r="K89" s="53">
        <v>0</v>
      </c>
    </row>
    <row r="90" spans="2:11" outlineLevel="1" x14ac:dyDescent="0.35">
      <c r="B90" s="52" t="s">
        <v>55</v>
      </c>
      <c r="C90" s="51"/>
      <c r="D90" s="51"/>
      <c r="E90" s="51"/>
      <c r="F90" s="51"/>
      <c r="G90" s="53">
        <v>0.01</v>
      </c>
      <c r="H90" s="53">
        <v>0.01</v>
      </c>
      <c r="I90" s="53">
        <v>0.01</v>
      </c>
      <c r="J90" s="53">
        <v>0.01</v>
      </c>
      <c r="K90" s="53">
        <v>0.01</v>
      </c>
    </row>
    <row r="91" spans="2:11" outlineLevel="1" x14ac:dyDescent="0.35">
      <c r="B91" s="52" t="s">
        <v>56</v>
      </c>
      <c r="C91" s="51"/>
      <c r="D91" s="51"/>
      <c r="E91" s="51"/>
      <c r="F91" s="51"/>
      <c r="G91" s="53">
        <v>0.02</v>
      </c>
      <c r="H91" s="53">
        <v>0.02</v>
      </c>
      <c r="I91" s="53">
        <v>0.02</v>
      </c>
      <c r="J91" s="53">
        <v>0.02</v>
      </c>
      <c r="K91" s="53">
        <v>0.02</v>
      </c>
    </row>
    <row r="92" spans="2:11" outlineLevel="1" x14ac:dyDescent="0.35">
      <c r="B92" s="144" t="str">
        <f>"Current Case - "&amp;CHOOSE($G$3,$B$13,$B$14,$B$15)</f>
        <v>Current Case - Management Case</v>
      </c>
      <c r="C92" s="144"/>
      <c r="D92" s="144"/>
      <c r="E92" s="144"/>
      <c r="F92" s="144"/>
      <c r="G92" s="145">
        <f>CHOOSE($G$3,G89,G90,G91)</f>
        <v>0</v>
      </c>
      <c r="H92" s="145">
        <f t="shared" ref="H92" si="42">CHOOSE($G$3,H89,H90,H91)</f>
        <v>0</v>
      </c>
      <c r="I92" s="145">
        <f t="shared" ref="I92" si="43">CHOOSE($G$3,I89,I90,I91)</f>
        <v>0</v>
      </c>
      <c r="J92" s="145">
        <f t="shared" ref="J92" si="44">CHOOSE($G$3,J89,J90,J91)</f>
        <v>0</v>
      </c>
      <c r="K92" s="145">
        <f t="shared" ref="K92" si="45">CHOOSE($G$3,K89,K90,K91)</f>
        <v>0</v>
      </c>
    </row>
    <row r="93" spans="2:11" outlineLevel="1" x14ac:dyDescent="0.35"/>
    <row r="94" spans="2:11" outlineLevel="1" x14ac:dyDescent="0.35">
      <c r="B94" s="45" t="s">
        <v>77</v>
      </c>
    </row>
    <row r="95" spans="2:11" outlineLevel="1" x14ac:dyDescent="0.35">
      <c r="B95" s="52" t="s">
        <v>54</v>
      </c>
      <c r="C95" s="51"/>
      <c r="D95" s="51"/>
      <c r="E95" s="51"/>
      <c r="F95" s="51"/>
      <c r="G95" s="53">
        <v>0</v>
      </c>
      <c r="H95" s="53">
        <v>0</v>
      </c>
      <c r="I95" s="53">
        <v>0</v>
      </c>
      <c r="J95" s="53">
        <v>0</v>
      </c>
      <c r="K95" s="53">
        <v>0</v>
      </c>
    </row>
    <row r="96" spans="2:11" outlineLevel="1" x14ac:dyDescent="0.35">
      <c r="B96" s="52" t="s">
        <v>55</v>
      </c>
      <c r="C96" s="51"/>
      <c r="D96" s="51"/>
      <c r="E96" s="51"/>
      <c r="F96" s="51"/>
      <c r="G96" s="53">
        <v>0.01</v>
      </c>
      <c r="H96" s="53">
        <v>0.01</v>
      </c>
      <c r="I96" s="53">
        <v>0.01</v>
      </c>
      <c r="J96" s="53">
        <v>0.01</v>
      </c>
      <c r="K96" s="53">
        <v>0.01</v>
      </c>
    </row>
    <row r="97" spans="2:11" outlineLevel="1" x14ac:dyDescent="0.35">
      <c r="B97" s="52" t="s">
        <v>56</v>
      </c>
      <c r="C97" s="51"/>
      <c r="D97" s="51"/>
      <c r="E97" s="51"/>
      <c r="F97" s="51"/>
      <c r="G97" s="53">
        <v>0.02</v>
      </c>
      <c r="H97" s="53">
        <v>0.02</v>
      </c>
      <c r="I97" s="53">
        <v>0.02</v>
      </c>
      <c r="J97" s="53">
        <v>0.02</v>
      </c>
      <c r="K97" s="53">
        <v>0.02</v>
      </c>
    </row>
    <row r="98" spans="2:11" outlineLevel="1" x14ac:dyDescent="0.35">
      <c r="B98" s="144" t="str">
        <f>"Current Case - "&amp;CHOOSE($G$3,$B$13,$B$14,$B$15)</f>
        <v>Current Case - Management Case</v>
      </c>
      <c r="C98" s="144"/>
      <c r="D98" s="144"/>
      <c r="E98" s="144"/>
      <c r="F98" s="144"/>
      <c r="G98" s="145">
        <f>CHOOSE($G$3,G95,G96,G97)</f>
        <v>0</v>
      </c>
      <c r="H98" s="145">
        <f t="shared" ref="H98" si="46">CHOOSE($G$3,H95,H96,H97)</f>
        <v>0</v>
      </c>
      <c r="I98" s="145">
        <f t="shared" ref="I98" si="47">CHOOSE($G$3,I95,I96,I97)</f>
        <v>0</v>
      </c>
      <c r="J98" s="145">
        <f t="shared" ref="J98" si="48">CHOOSE($G$3,J95,J96,J97)</f>
        <v>0</v>
      </c>
      <c r="K98" s="145">
        <f t="shared" ref="K98" si="49">CHOOSE($G$3,K95,K96,K97)</f>
        <v>0</v>
      </c>
    </row>
    <row r="99" spans="2:11" outlineLevel="1" x14ac:dyDescent="0.35"/>
    <row r="100" spans="2:11" outlineLevel="1" x14ac:dyDescent="0.35">
      <c r="B100" s="45" t="s">
        <v>78</v>
      </c>
    </row>
    <row r="101" spans="2:11" outlineLevel="1" x14ac:dyDescent="0.35">
      <c r="B101" s="52" t="s">
        <v>54</v>
      </c>
      <c r="C101" s="51"/>
      <c r="D101" s="51"/>
      <c r="E101" s="51"/>
      <c r="F101" s="51"/>
      <c r="G101" s="53">
        <v>0</v>
      </c>
      <c r="H101" s="53">
        <v>0</v>
      </c>
      <c r="I101" s="53">
        <v>0</v>
      </c>
      <c r="J101" s="53">
        <v>0</v>
      </c>
      <c r="K101" s="53">
        <v>0</v>
      </c>
    </row>
    <row r="102" spans="2:11" outlineLevel="1" x14ac:dyDescent="0.35">
      <c r="B102" s="52" t="s">
        <v>55</v>
      </c>
      <c r="C102" s="51"/>
      <c r="D102" s="51"/>
      <c r="E102" s="51"/>
      <c r="F102" s="51"/>
      <c r="G102" s="53">
        <v>0.01</v>
      </c>
      <c r="H102" s="53">
        <v>0.01</v>
      </c>
      <c r="I102" s="53">
        <v>0.01</v>
      </c>
      <c r="J102" s="53">
        <v>0.01</v>
      </c>
      <c r="K102" s="53">
        <v>0.01</v>
      </c>
    </row>
    <row r="103" spans="2:11" outlineLevel="1" x14ac:dyDescent="0.35">
      <c r="B103" s="52" t="s">
        <v>56</v>
      </c>
      <c r="C103" s="51"/>
      <c r="D103" s="51"/>
      <c r="E103" s="51"/>
      <c r="F103" s="51"/>
      <c r="G103" s="53">
        <v>0.02</v>
      </c>
      <c r="H103" s="53">
        <v>0.02</v>
      </c>
      <c r="I103" s="53">
        <v>0.02</v>
      </c>
      <c r="J103" s="53">
        <v>0.02</v>
      </c>
      <c r="K103" s="53">
        <v>0.02</v>
      </c>
    </row>
    <row r="104" spans="2:11" outlineLevel="1" x14ac:dyDescent="0.35">
      <c r="B104" s="144" t="str">
        <f>"Current Case - "&amp;CHOOSE($G$3,$B$13,$B$14,$B$15)</f>
        <v>Current Case - Management Case</v>
      </c>
      <c r="C104" s="144"/>
      <c r="D104" s="144"/>
      <c r="E104" s="144"/>
      <c r="F104" s="144"/>
      <c r="G104" s="145">
        <f>CHOOSE($G$3,G101,G102,G103)</f>
        <v>0</v>
      </c>
      <c r="H104" s="145">
        <f t="shared" ref="H104" si="50">CHOOSE($G$3,H101,H102,H103)</f>
        <v>0</v>
      </c>
      <c r="I104" s="145">
        <f t="shared" ref="I104" si="51">CHOOSE($G$3,I101,I102,I103)</f>
        <v>0</v>
      </c>
      <c r="J104" s="145">
        <f t="shared" ref="J104" si="52">CHOOSE($G$3,J101,J102,J103)</f>
        <v>0</v>
      </c>
      <c r="K104" s="145">
        <f t="shared" ref="K104" si="53">CHOOSE($G$3,K101,K102,K103)</f>
        <v>0</v>
      </c>
    </row>
    <row r="105" spans="2:11" outlineLevel="1" x14ac:dyDescent="0.35"/>
    <row r="106" spans="2:11" ht="15.5" outlineLevel="1" x14ac:dyDescent="0.35">
      <c r="B106" s="56" t="s">
        <v>60</v>
      </c>
      <c r="C106" s="56"/>
      <c r="D106" s="56"/>
      <c r="E106" s="56"/>
      <c r="F106" s="56"/>
      <c r="G106" s="56"/>
      <c r="H106" s="56"/>
      <c r="I106" s="56"/>
      <c r="J106" s="56"/>
      <c r="K106" s="56"/>
    </row>
    <row r="107" spans="2:11" outlineLevel="1" x14ac:dyDescent="0.35">
      <c r="B107" s="48"/>
      <c r="C107" s="48"/>
      <c r="D107" s="48"/>
      <c r="E107" s="48"/>
      <c r="F107" s="48"/>
      <c r="G107" s="48"/>
      <c r="H107" s="48"/>
      <c r="I107" s="48"/>
      <c r="J107" s="48"/>
      <c r="K107" s="48"/>
    </row>
    <row r="108" spans="2:11" outlineLevel="1" x14ac:dyDescent="0.35">
      <c r="B108" s="45" t="s">
        <v>75</v>
      </c>
    </row>
    <row r="109" spans="2:11" outlineLevel="1" x14ac:dyDescent="0.35">
      <c r="B109" s="52" t="s">
        <v>54</v>
      </c>
      <c r="C109" s="51"/>
      <c r="D109" s="51"/>
      <c r="E109" s="51"/>
      <c r="F109" s="51"/>
      <c r="G109" s="53">
        <v>0</v>
      </c>
      <c r="H109" s="53">
        <v>0</v>
      </c>
      <c r="I109" s="53">
        <v>0</v>
      </c>
      <c r="J109" s="53">
        <v>0</v>
      </c>
      <c r="K109" s="53">
        <v>0</v>
      </c>
    </row>
    <row r="110" spans="2:11" outlineLevel="1" x14ac:dyDescent="0.35">
      <c r="B110" s="52" t="s">
        <v>55</v>
      </c>
      <c r="C110" s="51"/>
      <c r="D110" s="51"/>
      <c r="E110" s="51"/>
      <c r="F110" s="51"/>
      <c r="G110" s="53">
        <v>0.01</v>
      </c>
      <c r="H110" s="53">
        <v>0.01</v>
      </c>
      <c r="I110" s="53">
        <v>0.01</v>
      </c>
      <c r="J110" s="53">
        <v>0.01</v>
      </c>
      <c r="K110" s="53">
        <v>0.01</v>
      </c>
    </row>
    <row r="111" spans="2:11" outlineLevel="1" x14ac:dyDescent="0.35">
      <c r="B111" s="52" t="s">
        <v>56</v>
      </c>
      <c r="C111" s="51"/>
      <c r="D111" s="51"/>
      <c r="E111" s="51"/>
      <c r="F111" s="51"/>
      <c r="G111" s="53">
        <v>0.02</v>
      </c>
      <c r="H111" s="53">
        <v>0.02</v>
      </c>
      <c r="I111" s="53">
        <v>0.02</v>
      </c>
      <c r="J111" s="53">
        <v>0.02</v>
      </c>
      <c r="K111" s="53">
        <v>0.02</v>
      </c>
    </row>
    <row r="112" spans="2:11" outlineLevel="1" x14ac:dyDescent="0.35">
      <c r="B112" s="144" t="str">
        <f>"Current Case - "&amp;CHOOSE($G$3,$B$13,$B$14,$B$15)</f>
        <v>Current Case - Management Case</v>
      </c>
      <c r="C112" s="144"/>
      <c r="D112" s="144"/>
      <c r="E112" s="144"/>
      <c r="F112" s="144"/>
      <c r="G112" s="145">
        <f>CHOOSE($G$3,G109,G110,G111)</f>
        <v>0</v>
      </c>
      <c r="H112" s="145">
        <f t="shared" ref="H112" si="54">CHOOSE($G$3,H109,H110,H111)</f>
        <v>0</v>
      </c>
      <c r="I112" s="145">
        <f t="shared" ref="I112" si="55">CHOOSE($G$3,I109,I110,I111)</f>
        <v>0</v>
      </c>
      <c r="J112" s="145">
        <f t="shared" ref="J112" si="56">CHOOSE($G$3,J109,J110,J111)</f>
        <v>0</v>
      </c>
      <c r="K112" s="145">
        <f t="shared" ref="K112" si="57">CHOOSE($G$3,K109,K110,K111)</f>
        <v>0</v>
      </c>
    </row>
    <row r="113" spans="2:11" outlineLevel="1" x14ac:dyDescent="0.35"/>
    <row r="114" spans="2:11" outlineLevel="1" x14ac:dyDescent="0.35">
      <c r="B114" s="45" t="s">
        <v>76</v>
      </c>
    </row>
    <row r="115" spans="2:11" outlineLevel="1" x14ac:dyDescent="0.35">
      <c r="B115" s="52" t="s">
        <v>54</v>
      </c>
      <c r="C115" s="51"/>
      <c r="D115" s="51"/>
      <c r="E115" s="51"/>
      <c r="F115" s="51"/>
      <c r="G115" s="53">
        <v>0</v>
      </c>
      <c r="H115" s="53">
        <v>0</v>
      </c>
      <c r="I115" s="53">
        <v>0</v>
      </c>
      <c r="J115" s="53">
        <v>0</v>
      </c>
      <c r="K115" s="53">
        <v>0</v>
      </c>
    </row>
    <row r="116" spans="2:11" outlineLevel="1" x14ac:dyDescent="0.35">
      <c r="B116" s="52" t="s">
        <v>55</v>
      </c>
      <c r="C116" s="51"/>
      <c r="D116" s="51"/>
      <c r="E116" s="51"/>
      <c r="F116" s="51"/>
      <c r="G116" s="53">
        <v>0.01</v>
      </c>
      <c r="H116" s="53">
        <v>0.01</v>
      </c>
      <c r="I116" s="53">
        <v>0.01</v>
      </c>
      <c r="J116" s="53">
        <v>0.01</v>
      </c>
      <c r="K116" s="53">
        <v>0.01</v>
      </c>
    </row>
    <row r="117" spans="2:11" outlineLevel="1" x14ac:dyDescent="0.35">
      <c r="B117" s="52" t="s">
        <v>56</v>
      </c>
      <c r="C117" s="51"/>
      <c r="D117" s="51"/>
      <c r="E117" s="51"/>
      <c r="F117" s="51"/>
      <c r="G117" s="53">
        <v>0.02</v>
      </c>
      <c r="H117" s="53">
        <v>0.02</v>
      </c>
      <c r="I117" s="53">
        <v>0.02</v>
      </c>
      <c r="J117" s="53">
        <v>0.02</v>
      </c>
      <c r="K117" s="53">
        <v>0.02</v>
      </c>
    </row>
    <row r="118" spans="2:11" outlineLevel="1" x14ac:dyDescent="0.35">
      <c r="B118" s="144" t="str">
        <f>"Current Case - "&amp;CHOOSE($G$3,$B$13,$B$14,$B$15)</f>
        <v>Current Case - Management Case</v>
      </c>
      <c r="C118" s="144"/>
      <c r="D118" s="144"/>
      <c r="E118" s="144"/>
      <c r="F118" s="144"/>
      <c r="G118" s="145">
        <f>CHOOSE($G$3,G115,G116,G117)</f>
        <v>0</v>
      </c>
      <c r="H118" s="145">
        <f t="shared" ref="H118" si="58">CHOOSE($G$3,H115,H116,H117)</f>
        <v>0</v>
      </c>
      <c r="I118" s="145">
        <f t="shared" ref="I118" si="59">CHOOSE($G$3,I115,I116,I117)</f>
        <v>0</v>
      </c>
      <c r="J118" s="145">
        <f t="shared" ref="J118" si="60">CHOOSE($G$3,J115,J116,J117)</f>
        <v>0</v>
      </c>
      <c r="K118" s="145">
        <f t="shared" ref="K118" si="61">CHOOSE($G$3,K115,K116,K117)</f>
        <v>0</v>
      </c>
    </row>
    <row r="119" spans="2:11" outlineLevel="1" x14ac:dyDescent="0.35"/>
    <row r="120" spans="2:11" outlineLevel="1" x14ac:dyDescent="0.35">
      <c r="B120" s="45" t="s">
        <v>77</v>
      </c>
    </row>
    <row r="121" spans="2:11" outlineLevel="1" x14ac:dyDescent="0.35">
      <c r="B121" s="52" t="s">
        <v>54</v>
      </c>
      <c r="C121" s="51"/>
      <c r="D121" s="51"/>
      <c r="E121" s="51"/>
      <c r="F121" s="51"/>
      <c r="G121" s="53">
        <v>0</v>
      </c>
      <c r="H121" s="53">
        <v>0</v>
      </c>
      <c r="I121" s="53">
        <v>0</v>
      </c>
      <c r="J121" s="53">
        <v>0</v>
      </c>
      <c r="K121" s="53">
        <v>0</v>
      </c>
    </row>
    <row r="122" spans="2:11" outlineLevel="1" x14ac:dyDescent="0.35">
      <c r="B122" s="52" t="s">
        <v>55</v>
      </c>
      <c r="C122" s="51"/>
      <c r="D122" s="51"/>
      <c r="E122" s="51"/>
      <c r="F122" s="51"/>
      <c r="G122" s="53">
        <v>0.01</v>
      </c>
      <c r="H122" s="53">
        <v>0.01</v>
      </c>
      <c r="I122" s="53">
        <v>0.01</v>
      </c>
      <c r="J122" s="53">
        <v>0.01</v>
      </c>
      <c r="K122" s="53">
        <v>0.01</v>
      </c>
    </row>
    <row r="123" spans="2:11" outlineLevel="1" x14ac:dyDescent="0.35">
      <c r="B123" s="52" t="s">
        <v>56</v>
      </c>
      <c r="C123" s="51"/>
      <c r="D123" s="51"/>
      <c r="E123" s="51"/>
      <c r="F123" s="51"/>
      <c r="G123" s="53">
        <v>0.02</v>
      </c>
      <c r="H123" s="53">
        <v>0.02</v>
      </c>
      <c r="I123" s="53">
        <v>0.02</v>
      </c>
      <c r="J123" s="53">
        <v>0.02</v>
      </c>
      <c r="K123" s="53">
        <v>0.02</v>
      </c>
    </row>
    <row r="124" spans="2:11" outlineLevel="1" x14ac:dyDescent="0.35">
      <c r="B124" s="144" t="str">
        <f>"Current Case - "&amp;CHOOSE($G$3,$B$13,$B$14,$B$15)</f>
        <v>Current Case - Management Case</v>
      </c>
      <c r="C124" s="144"/>
      <c r="D124" s="144"/>
      <c r="E124" s="144"/>
      <c r="F124" s="144"/>
      <c r="G124" s="145">
        <f>CHOOSE($G$3,G121,G122,G123)</f>
        <v>0</v>
      </c>
      <c r="H124" s="145">
        <f t="shared" ref="H124" si="62">CHOOSE($G$3,H121,H122,H123)</f>
        <v>0</v>
      </c>
      <c r="I124" s="145">
        <f t="shared" ref="I124" si="63">CHOOSE($G$3,I121,I122,I123)</f>
        <v>0</v>
      </c>
      <c r="J124" s="145">
        <f t="shared" ref="J124" si="64">CHOOSE($G$3,J121,J122,J123)</f>
        <v>0</v>
      </c>
      <c r="K124" s="145">
        <f t="shared" ref="K124" si="65">CHOOSE($G$3,K121,K122,K123)</f>
        <v>0</v>
      </c>
    </row>
    <row r="125" spans="2:11" outlineLevel="1" x14ac:dyDescent="0.35"/>
    <row r="126" spans="2:11" outlineLevel="1" x14ac:dyDescent="0.35">
      <c r="B126" s="45" t="s">
        <v>78</v>
      </c>
    </row>
    <row r="127" spans="2:11" outlineLevel="1" x14ac:dyDescent="0.35">
      <c r="B127" s="52" t="s">
        <v>54</v>
      </c>
      <c r="C127" s="51"/>
      <c r="D127" s="51"/>
      <c r="E127" s="51"/>
      <c r="F127" s="51"/>
      <c r="G127" s="53">
        <v>0</v>
      </c>
      <c r="H127" s="53">
        <v>0</v>
      </c>
      <c r="I127" s="53">
        <v>0</v>
      </c>
      <c r="J127" s="53">
        <v>0</v>
      </c>
      <c r="K127" s="53">
        <v>0</v>
      </c>
    </row>
    <row r="128" spans="2:11" outlineLevel="1" x14ac:dyDescent="0.35">
      <c r="B128" s="52" t="s">
        <v>55</v>
      </c>
      <c r="C128" s="51"/>
      <c r="D128" s="51"/>
      <c r="E128" s="51"/>
      <c r="F128" s="51"/>
      <c r="G128" s="53">
        <v>0.01</v>
      </c>
      <c r="H128" s="53">
        <v>0.01</v>
      </c>
      <c r="I128" s="53">
        <v>0.01</v>
      </c>
      <c r="J128" s="53">
        <v>0.01</v>
      </c>
      <c r="K128" s="53">
        <v>0.01</v>
      </c>
    </row>
    <row r="129" spans="1:11" outlineLevel="1" x14ac:dyDescent="0.35">
      <c r="B129" s="52" t="s">
        <v>56</v>
      </c>
      <c r="C129" s="51"/>
      <c r="D129" s="51"/>
      <c r="E129" s="51"/>
      <c r="F129" s="51"/>
      <c r="G129" s="53">
        <v>0.02</v>
      </c>
      <c r="H129" s="53">
        <v>0.02</v>
      </c>
      <c r="I129" s="53">
        <v>0.02</v>
      </c>
      <c r="J129" s="53">
        <v>0.02</v>
      </c>
      <c r="K129" s="53">
        <v>0.02</v>
      </c>
    </row>
    <row r="130" spans="1:11" outlineLevel="1" x14ac:dyDescent="0.35">
      <c r="B130" s="144" t="str">
        <f>"Current Case - "&amp;CHOOSE($G$3,$B$13,$B$14,$B$15)</f>
        <v>Current Case - Management Case</v>
      </c>
      <c r="C130" s="144"/>
      <c r="D130" s="144"/>
      <c r="E130" s="144"/>
      <c r="F130" s="144"/>
      <c r="G130" s="145">
        <f>CHOOSE($G$3,G127,G128,G129)</f>
        <v>0</v>
      </c>
      <c r="H130" s="145">
        <f t="shared" ref="H130" si="66">CHOOSE($G$3,H127,H128,H129)</f>
        <v>0</v>
      </c>
      <c r="I130" s="145">
        <f t="shared" ref="I130" si="67">CHOOSE($G$3,I127,I128,I129)</f>
        <v>0</v>
      </c>
      <c r="J130" s="145">
        <f t="shared" ref="J130" si="68">CHOOSE($G$3,J127,J128,J129)</f>
        <v>0</v>
      </c>
      <c r="K130" s="145">
        <f t="shared" ref="K130" si="69">CHOOSE($G$3,K127,K128,K129)</f>
        <v>0</v>
      </c>
    </row>
    <row r="131" spans="1:11" outlineLevel="1" x14ac:dyDescent="0.35"/>
    <row r="132" spans="1:11" outlineLevel="1" x14ac:dyDescent="0.35">
      <c r="B132" s="45" t="s">
        <v>99</v>
      </c>
    </row>
    <row r="133" spans="1:11" outlineLevel="1" x14ac:dyDescent="0.35">
      <c r="B133" s="52" t="s">
        <v>54</v>
      </c>
      <c r="C133" s="51"/>
      <c r="D133" s="51"/>
      <c r="E133" s="51"/>
      <c r="F133" s="51"/>
      <c r="G133" s="53">
        <v>0.15</v>
      </c>
      <c r="H133" s="53">
        <v>0.15</v>
      </c>
      <c r="I133" s="53">
        <v>0.15</v>
      </c>
      <c r="J133" s="53">
        <v>0.15</v>
      </c>
      <c r="K133" s="53">
        <v>0.15</v>
      </c>
    </row>
    <row r="134" spans="1:11" outlineLevel="1" x14ac:dyDescent="0.35">
      <c r="B134" s="52" t="s">
        <v>55</v>
      </c>
      <c r="C134" s="51"/>
      <c r="D134" s="51"/>
      <c r="E134" s="51"/>
      <c r="F134" s="51"/>
      <c r="G134" s="53">
        <v>0.14000000000000001</v>
      </c>
      <c r="H134" s="53">
        <v>0.14000000000000001</v>
      </c>
      <c r="I134" s="53">
        <v>0.14000000000000001</v>
      </c>
      <c r="J134" s="53">
        <v>0.14000000000000001</v>
      </c>
      <c r="K134" s="53">
        <v>0.14000000000000001</v>
      </c>
    </row>
    <row r="135" spans="1:11" outlineLevel="1" x14ac:dyDescent="0.35">
      <c r="B135" s="52" t="s">
        <v>56</v>
      </c>
      <c r="C135" s="51"/>
      <c r="D135" s="51"/>
      <c r="E135" s="51"/>
      <c r="F135" s="51"/>
      <c r="G135" s="53">
        <v>0.16</v>
      </c>
      <c r="H135" s="53">
        <v>0.16</v>
      </c>
      <c r="I135" s="53">
        <v>0.16</v>
      </c>
      <c r="J135" s="53">
        <v>0.16</v>
      </c>
      <c r="K135" s="53">
        <v>0.16</v>
      </c>
    </row>
    <row r="136" spans="1:11" outlineLevel="1" x14ac:dyDescent="0.35">
      <c r="B136" s="144" t="str">
        <f>"Current Case - "&amp;CHOOSE($G$3,$B$13,$B$14,$B$15)</f>
        <v>Current Case - Management Case</v>
      </c>
      <c r="C136" s="144"/>
      <c r="D136" s="144"/>
      <c r="E136" s="144"/>
      <c r="F136" s="144"/>
      <c r="G136" s="145">
        <f>CHOOSE($G$3,G133,G134,G135)</f>
        <v>0.15</v>
      </c>
      <c r="H136" s="145">
        <f t="shared" ref="H136" si="70">CHOOSE($G$3,H133,H134,H135)</f>
        <v>0.15</v>
      </c>
      <c r="I136" s="145">
        <f t="shared" ref="I136" si="71">CHOOSE($G$3,I133,I134,I135)</f>
        <v>0.15</v>
      </c>
      <c r="J136" s="145">
        <f t="shared" ref="J136" si="72">CHOOSE($G$3,J133,J134,J135)</f>
        <v>0.15</v>
      </c>
      <c r="K136" s="145">
        <f t="shared" ref="K136" si="73">CHOOSE($G$3,K133,K134,K135)</f>
        <v>0.15</v>
      </c>
    </row>
    <row r="138" spans="1:11" ht="18.5" x14ac:dyDescent="0.45">
      <c r="A138" s="46" t="s">
        <v>52</v>
      </c>
      <c r="B138" s="54" t="s">
        <v>100</v>
      </c>
      <c r="C138" s="55"/>
      <c r="D138" s="55"/>
      <c r="E138" s="55"/>
      <c r="F138" s="55"/>
      <c r="G138" s="55"/>
      <c r="H138" s="55"/>
      <c r="I138" s="55"/>
      <c r="J138" s="55"/>
      <c r="K138" s="55"/>
    </row>
    <row r="139" spans="1:11" outlineLevel="1" x14ac:dyDescent="0.35"/>
    <row r="140" spans="1:11" ht="15.5" outlineLevel="1" x14ac:dyDescent="0.35">
      <c r="B140" s="56" t="s">
        <v>101</v>
      </c>
      <c r="C140" s="56"/>
      <c r="D140" s="56"/>
      <c r="E140" s="56"/>
      <c r="F140" s="56"/>
      <c r="G140" s="56"/>
      <c r="H140" s="56"/>
      <c r="I140" s="56"/>
      <c r="J140" s="56"/>
      <c r="K140" s="56"/>
    </row>
    <row r="141" spans="1:11" outlineLevel="1" x14ac:dyDescent="0.35"/>
    <row r="142" spans="1:11" outlineLevel="1" x14ac:dyDescent="0.35">
      <c r="B142" s="45" t="s">
        <v>102</v>
      </c>
    </row>
    <row r="143" spans="1:11" outlineLevel="1" x14ac:dyDescent="0.35">
      <c r="B143" s="52" t="s">
        <v>54</v>
      </c>
      <c r="C143" s="51"/>
      <c r="D143" s="51"/>
      <c r="E143" s="51"/>
      <c r="F143" s="51"/>
      <c r="G143" s="53">
        <v>0</v>
      </c>
      <c r="H143" s="53">
        <v>0</v>
      </c>
      <c r="I143" s="53">
        <v>0</v>
      </c>
      <c r="J143" s="53">
        <v>0</v>
      </c>
      <c r="K143" s="53">
        <v>0</v>
      </c>
    </row>
    <row r="144" spans="1:11" outlineLevel="1" x14ac:dyDescent="0.35">
      <c r="B144" s="52" t="s">
        <v>55</v>
      </c>
      <c r="C144" s="51"/>
      <c r="D144" s="51"/>
      <c r="E144" s="51"/>
      <c r="F144" s="51"/>
      <c r="G144" s="53">
        <v>0.01</v>
      </c>
      <c r="H144" s="53">
        <v>0.01</v>
      </c>
      <c r="I144" s="53">
        <v>0.01</v>
      </c>
      <c r="J144" s="53">
        <v>0.01</v>
      </c>
      <c r="K144" s="53">
        <v>0.01</v>
      </c>
    </row>
    <row r="145" spans="2:11" outlineLevel="1" x14ac:dyDescent="0.35">
      <c r="B145" s="52" t="s">
        <v>56</v>
      </c>
      <c r="C145" s="51"/>
      <c r="D145" s="51"/>
      <c r="E145" s="51"/>
      <c r="F145" s="51"/>
      <c r="G145" s="53">
        <v>0.02</v>
      </c>
      <c r="H145" s="53">
        <v>0.02</v>
      </c>
      <c r="I145" s="53">
        <v>0.02</v>
      </c>
      <c r="J145" s="53">
        <v>0.02</v>
      </c>
      <c r="K145" s="53">
        <v>0.02</v>
      </c>
    </row>
    <row r="146" spans="2:11" outlineLevel="1" x14ac:dyDescent="0.35">
      <c r="B146" s="144" t="str">
        <f>"Current Case - "&amp;CHOOSE($G$3,$B$13,$B$14,$B$15)</f>
        <v>Current Case - Management Case</v>
      </c>
      <c r="C146" s="144"/>
      <c r="D146" s="144"/>
      <c r="E146" s="144"/>
      <c r="F146" s="144"/>
      <c r="G146" s="145">
        <f>CHOOSE($G$3,G143,G144,G145)</f>
        <v>0</v>
      </c>
      <c r="H146" s="145">
        <f t="shared" ref="H146" si="74">CHOOSE($G$3,H143,H144,H145)</f>
        <v>0</v>
      </c>
      <c r="I146" s="145">
        <f t="shared" ref="I146" si="75">CHOOSE($G$3,I143,I144,I145)</f>
        <v>0</v>
      </c>
      <c r="J146" s="145">
        <f t="shared" ref="J146" si="76">CHOOSE($G$3,J143,J144,J145)</f>
        <v>0</v>
      </c>
      <c r="K146" s="145">
        <f t="shared" ref="K146" si="77">CHOOSE($G$3,K143,K144,K145)</f>
        <v>0</v>
      </c>
    </row>
    <row r="147" spans="2:11" outlineLevel="1" x14ac:dyDescent="0.35"/>
    <row r="148" spans="2:11" outlineLevel="1" x14ac:dyDescent="0.35">
      <c r="B148" s="45" t="s">
        <v>103</v>
      </c>
    </row>
    <row r="149" spans="2:11" outlineLevel="1" x14ac:dyDescent="0.35">
      <c r="B149" s="52" t="s">
        <v>54</v>
      </c>
      <c r="C149" s="51"/>
      <c r="D149" s="51"/>
      <c r="E149" s="51"/>
      <c r="F149" s="51"/>
      <c r="G149" s="53">
        <v>0</v>
      </c>
      <c r="H149" s="53">
        <v>0</v>
      </c>
      <c r="I149" s="53">
        <v>0</v>
      </c>
      <c r="J149" s="53">
        <v>0</v>
      </c>
      <c r="K149" s="53">
        <v>0</v>
      </c>
    </row>
    <row r="150" spans="2:11" outlineLevel="1" x14ac:dyDescent="0.35">
      <c r="B150" s="52" t="s">
        <v>55</v>
      </c>
      <c r="C150" s="51"/>
      <c r="D150" s="51"/>
      <c r="E150" s="51"/>
      <c r="F150" s="51"/>
      <c r="G150" s="53">
        <v>0.01</v>
      </c>
      <c r="H150" s="53">
        <v>0.01</v>
      </c>
      <c r="I150" s="53">
        <v>0.01</v>
      </c>
      <c r="J150" s="53">
        <v>0.01</v>
      </c>
      <c r="K150" s="53">
        <v>0.01</v>
      </c>
    </row>
    <row r="151" spans="2:11" outlineLevel="1" x14ac:dyDescent="0.35">
      <c r="B151" s="52" t="s">
        <v>56</v>
      </c>
      <c r="C151" s="51"/>
      <c r="D151" s="51"/>
      <c r="E151" s="51"/>
      <c r="F151" s="51"/>
      <c r="G151" s="53">
        <v>0.02</v>
      </c>
      <c r="H151" s="53">
        <v>0.02</v>
      </c>
      <c r="I151" s="53">
        <v>0.02</v>
      </c>
      <c r="J151" s="53">
        <v>0.02</v>
      </c>
      <c r="K151" s="53">
        <v>0.02</v>
      </c>
    </row>
    <row r="152" spans="2:11" outlineLevel="1" x14ac:dyDescent="0.35">
      <c r="B152" s="144" t="str">
        <f>"Current Case - "&amp;CHOOSE($G$3,$B$13,$B$14,$B$15)</f>
        <v>Current Case - Management Case</v>
      </c>
      <c r="C152" s="144"/>
      <c r="D152" s="144"/>
      <c r="E152" s="144"/>
      <c r="F152" s="144"/>
      <c r="G152" s="145">
        <f>CHOOSE($G$3,G149,G150,G151)</f>
        <v>0</v>
      </c>
      <c r="H152" s="145">
        <f t="shared" ref="H152" si="78">CHOOSE($G$3,H149,H150,H151)</f>
        <v>0</v>
      </c>
      <c r="I152" s="145">
        <f t="shared" ref="I152" si="79">CHOOSE($G$3,I149,I150,I151)</f>
        <v>0</v>
      </c>
      <c r="J152" s="145">
        <f t="shared" ref="J152" si="80">CHOOSE($G$3,J149,J150,J151)</f>
        <v>0</v>
      </c>
      <c r="K152" s="145">
        <f t="shared" ref="K152" si="81">CHOOSE($G$3,K149,K150,K151)</f>
        <v>0</v>
      </c>
    </row>
    <row r="153" spans="2:11" outlineLevel="1" x14ac:dyDescent="0.35"/>
    <row r="154" spans="2:11" outlineLevel="1" x14ac:dyDescent="0.35">
      <c r="B154" s="45" t="s">
        <v>104</v>
      </c>
    </row>
    <row r="155" spans="2:11" outlineLevel="1" x14ac:dyDescent="0.35">
      <c r="B155" s="52" t="s">
        <v>54</v>
      </c>
      <c r="C155" s="51"/>
      <c r="D155" s="51"/>
      <c r="E155" s="51"/>
      <c r="F155" s="51"/>
      <c r="G155" s="53">
        <v>0.09</v>
      </c>
      <c r="H155" s="53">
        <v>0.09</v>
      </c>
      <c r="I155" s="53">
        <v>0.09</v>
      </c>
      <c r="J155" s="53">
        <v>0.09</v>
      </c>
      <c r="K155" s="53">
        <v>0.09</v>
      </c>
    </row>
    <row r="156" spans="2:11" outlineLevel="1" x14ac:dyDescent="0.35">
      <c r="B156" s="52" t="s">
        <v>55</v>
      </c>
      <c r="C156" s="51"/>
      <c r="D156" s="51"/>
      <c r="E156" s="51"/>
      <c r="F156" s="51"/>
      <c r="G156" s="53">
        <v>0.08</v>
      </c>
      <c r="H156" s="53">
        <v>0.08</v>
      </c>
      <c r="I156" s="53">
        <v>0.08</v>
      </c>
      <c r="J156" s="53">
        <v>0.08</v>
      </c>
      <c r="K156" s="53">
        <v>0.08</v>
      </c>
    </row>
    <row r="157" spans="2:11" outlineLevel="1" x14ac:dyDescent="0.35">
      <c r="B157" s="52" t="s">
        <v>56</v>
      </c>
      <c r="C157" s="51"/>
      <c r="D157" s="51"/>
      <c r="E157" s="51"/>
      <c r="F157" s="51"/>
      <c r="G157" s="53">
        <v>0.1</v>
      </c>
      <c r="H157" s="53">
        <v>0.1</v>
      </c>
      <c r="I157" s="53">
        <v>0.1</v>
      </c>
      <c r="J157" s="53">
        <v>0.1</v>
      </c>
      <c r="K157" s="53">
        <v>0.1</v>
      </c>
    </row>
    <row r="158" spans="2:11" outlineLevel="1" x14ac:dyDescent="0.35">
      <c r="B158" s="144" t="str">
        <f>"Current Case - "&amp;CHOOSE($G$3,$B$13,$B$14,$B$15)</f>
        <v>Current Case - Management Case</v>
      </c>
      <c r="C158" s="144"/>
      <c r="D158" s="144"/>
      <c r="E158" s="144"/>
      <c r="F158" s="144"/>
      <c r="G158" s="145">
        <f>CHOOSE($G$3,G155,G156,G157)</f>
        <v>0.09</v>
      </c>
      <c r="H158" s="145">
        <f t="shared" ref="H158" si="82">CHOOSE($G$3,H155,H156,H157)</f>
        <v>0.09</v>
      </c>
      <c r="I158" s="145">
        <f t="shared" ref="I158" si="83">CHOOSE($G$3,I155,I156,I157)</f>
        <v>0.09</v>
      </c>
      <c r="J158" s="145">
        <f t="shared" ref="J158" si="84">CHOOSE($G$3,J155,J156,J157)</f>
        <v>0.09</v>
      </c>
      <c r="K158" s="145">
        <f t="shared" ref="K158" si="85">CHOOSE($G$3,K155,K156,K157)</f>
        <v>0.09</v>
      </c>
    </row>
    <row r="159" spans="2:11" outlineLevel="1" x14ac:dyDescent="0.35"/>
    <row r="160" spans="2:11" outlineLevel="1" x14ac:dyDescent="0.35">
      <c r="B160" s="45" t="s">
        <v>105</v>
      </c>
    </row>
    <row r="161" spans="2:11" outlineLevel="1" x14ac:dyDescent="0.35">
      <c r="B161" s="52" t="s">
        <v>54</v>
      </c>
      <c r="C161" s="51"/>
      <c r="D161" s="51"/>
      <c r="E161" s="51"/>
      <c r="F161" s="51"/>
      <c r="G161" s="53">
        <v>0.15</v>
      </c>
      <c r="H161" s="53">
        <v>0.15</v>
      </c>
      <c r="I161" s="53">
        <v>0.16</v>
      </c>
      <c r="J161" s="53">
        <v>0.16</v>
      </c>
      <c r="K161" s="53">
        <v>0.16</v>
      </c>
    </row>
    <row r="162" spans="2:11" outlineLevel="1" x14ac:dyDescent="0.35">
      <c r="B162" s="52" t="s">
        <v>55</v>
      </c>
      <c r="C162" s="51"/>
      <c r="D162" s="51"/>
      <c r="E162" s="51"/>
      <c r="F162" s="51"/>
      <c r="G162" s="53">
        <v>0.14000000000000001</v>
      </c>
      <c r="H162" s="53">
        <v>0.14000000000000001</v>
      </c>
      <c r="I162" s="53">
        <v>0.14000000000000001</v>
      </c>
      <c r="J162" s="53">
        <v>0.14000000000000001</v>
      </c>
      <c r="K162" s="53">
        <v>0.14000000000000001</v>
      </c>
    </row>
    <row r="163" spans="2:11" outlineLevel="1" x14ac:dyDescent="0.35">
      <c r="B163" s="52" t="s">
        <v>56</v>
      </c>
      <c r="C163" s="51"/>
      <c r="D163" s="51"/>
      <c r="E163" s="51"/>
      <c r="F163" s="51"/>
      <c r="G163" s="53">
        <v>0.16</v>
      </c>
      <c r="H163" s="53">
        <v>0.16</v>
      </c>
      <c r="I163" s="53">
        <v>0.16</v>
      </c>
      <c r="J163" s="53">
        <v>0.16</v>
      </c>
      <c r="K163" s="53">
        <v>0.16</v>
      </c>
    </row>
    <row r="164" spans="2:11" outlineLevel="1" x14ac:dyDescent="0.35">
      <c r="B164" s="144" t="str">
        <f>"Current Case - "&amp;CHOOSE($G$3,$B$13,$B$14,$B$15)</f>
        <v>Current Case - Management Case</v>
      </c>
      <c r="C164" s="144"/>
      <c r="D164" s="144"/>
      <c r="E164" s="144"/>
      <c r="F164" s="144"/>
      <c r="G164" s="145">
        <f>CHOOSE($G$3,G161,G162,G163)</f>
        <v>0.15</v>
      </c>
      <c r="H164" s="145">
        <f t="shared" ref="H164" si="86">CHOOSE($G$3,H161,H162,H163)</f>
        <v>0.15</v>
      </c>
      <c r="I164" s="145">
        <f t="shared" ref="I164" si="87">CHOOSE($G$3,I161,I162,I163)</f>
        <v>0.16</v>
      </c>
      <c r="J164" s="145">
        <f t="shared" ref="J164" si="88">CHOOSE($G$3,J161,J162,J163)</f>
        <v>0.16</v>
      </c>
      <c r="K164" s="145">
        <f t="shared" ref="K164" si="89">CHOOSE($G$3,K161,K162,K163)</f>
        <v>0.16</v>
      </c>
    </row>
    <row r="165" spans="2:11" outlineLevel="1" x14ac:dyDescent="0.35"/>
    <row r="166" spans="2:11" outlineLevel="1" x14ac:dyDescent="0.35">
      <c r="B166" s="45" t="s">
        <v>106</v>
      </c>
    </row>
    <row r="167" spans="2:11" outlineLevel="1" x14ac:dyDescent="0.35">
      <c r="B167" s="52" t="s">
        <v>54</v>
      </c>
      <c r="C167" s="51"/>
      <c r="D167" s="51"/>
      <c r="E167" s="51"/>
      <c r="F167" s="51"/>
      <c r="G167" s="53">
        <v>0.01</v>
      </c>
      <c r="H167" s="53">
        <v>0.01</v>
      </c>
      <c r="I167" s="53">
        <v>0.01</v>
      </c>
      <c r="J167" s="53">
        <v>0.01</v>
      </c>
      <c r="K167" s="53">
        <v>0.01</v>
      </c>
    </row>
    <row r="168" spans="2:11" outlineLevel="1" x14ac:dyDescent="0.35">
      <c r="B168" s="52" t="s">
        <v>55</v>
      </c>
      <c r="C168" s="51"/>
      <c r="D168" s="51"/>
      <c r="E168" s="51"/>
      <c r="F168" s="51"/>
      <c r="G168" s="53">
        <v>0.01</v>
      </c>
      <c r="H168" s="53">
        <v>0.01</v>
      </c>
      <c r="I168" s="53">
        <v>0.01</v>
      </c>
      <c r="J168" s="53">
        <v>0.01</v>
      </c>
      <c r="K168" s="53">
        <v>0.01</v>
      </c>
    </row>
    <row r="169" spans="2:11" outlineLevel="1" x14ac:dyDescent="0.35">
      <c r="B169" s="52" t="s">
        <v>56</v>
      </c>
      <c r="C169" s="51"/>
      <c r="D169" s="51"/>
      <c r="E169" s="51"/>
      <c r="F169" s="51"/>
      <c r="G169" s="53">
        <v>0.02</v>
      </c>
      <c r="H169" s="53">
        <v>0.02</v>
      </c>
      <c r="I169" s="53">
        <v>0.02</v>
      </c>
      <c r="J169" s="53">
        <v>0.02</v>
      </c>
      <c r="K169" s="53">
        <v>0.02</v>
      </c>
    </row>
    <row r="170" spans="2:11" outlineLevel="1" x14ac:dyDescent="0.35">
      <c r="B170" s="144" t="str">
        <f>"Current Case - "&amp;CHOOSE($G$3,$B$13,$B$14,$B$15)</f>
        <v>Current Case - Management Case</v>
      </c>
      <c r="C170" s="144"/>
      <c r="D170" s="144"/>
      <c r="E170" s="144"/>
      <c r="F170" s="144"/>
      <c r="G170" s="145">
        <f>CHOOSE($G$3,G167,G168,G169)</f>
        <v>0.01</v>
      </c>
      <c r="H170" s="145">
        <f t="shared" ref="H170" si="90">CHOOSE($G$3,H167,H168,H169)</f>
        <v>0.01</v>
      </c>
      <c r="I170" s="145">
        <f t="shared" ref="I170" si="91">CHOOSE($G$3,I167,I168,I169)</f>
        <v>0.01</v>
      </c>
      <c r="J170" s="145">
        <f t="shared" ref="J170" si="92">CHOOSE($G$3,J167,J168,J169)</f>
        <v>0.01</v>
      </c>
      <c r="K170" s="145">
        <f t="shared" ref="K170" si="93">CHOOSE($G$3,K167,K168,K169)</f>
        <v>0.01</v>
      </c>
    </row>
    <row r="171" spans="2:11" outlineLevel="1" x14ac:dyDescent="0.35"/>
    <row r="172" spans="2:11" outlineLevel="1" x14ac:dyDescent="0.35">
      <c r="B172" s="45" t="s">
        <v>107</v>
      </c>
    </row>
    <row r="173" spans="2:11" outlineLevel="1" x14ac:dyDescent="0.35">
      <c r="B173" s="52" t="s">
        <v>54</v>
      </c>
      <c r="C173" s="51"/>
      <c r="D173" s="51"/>
      <c r="E173" s="51"/>
      <c r="F173" s="51"/>
      <c r="G173" s="53">
        <v>2.5000000000000001E-2</v>
      </c>
      <c r="H173" s="53">
        <v>2.5000000000000001E-2</v>
      </c>
      <c r="I173" s="53">
        <v>2.5000000000000001E-2</v>
      </c>
      <c r="J173" s="53">
        <v>2.5000000000000001E-2</v>
      </c>
      <c r="K173" s="53">
        <v>2.5000000000000001E-2</v>
      </c>
    </row>
    <row r="174" spans="2:11" outlineLevel="1" x14ac:dyDescent="0.35">
      <c r="B174" s="52" t="s">
        <v>55</v>
      </c>
      <c r="C174" s="51"/>
      <c r="D174" s="51"/>
      <c r="E174" s="51"/>
      <c r="F174" s="51"/>
      <c r="G174" s="53">
        <v>1.4999999999999999E-2</v>
      </c>
      <c r="H174" s="53">
        <v>1.4999999999999999E-2</v>
      </c>
      <c r="I174" s="53">
        <v>1.4999999999999999E-2</v>
      </c>
      <c r="J174" s="53">
        <v>1.4999999999999999E-2</v>
      </c>
      <c r="K174" s="53">
        <v>1.4999999999999999E-2</v>
      </c>
    </row>
    <row r="175" spans="2:11" outlineLevel="1" x14ac:dyDescent="0.35">
      <c r="B175" s="52" t="s">
        <v>56</v>
      </c>
      <c r="C175" s="51"/>
      <c r="D175" s="51"/>
      <c r="E175" s="51"/>
      <c r="F175" s="51"/>
      <c r="G175" s="53">
        <v>3.5000000000000003E-2</v>
      </c>
      <c r="H175" s="53">
        <v>3.5000000000000003E-2</v>
      </c>
      <c r="I175" s="53">
        <v>3.5000000000000003E-2</v>
      </c>
      <c r="J175" s="53">
        <v>3.5000000000000003E-2</v>
      </c>
      <c r="K175" s="53">
        <v>3.5000000000000003E-2</v>
      </c>
    </row>
    <row r="176" spans="2:11" outlineLevel="1" x14ac:dyDescent="0.35">
      <c r="B176" s="144" t="str">
        <f>"Current Case - "&amp;CHOOSE($G$3,$B$13,$B$14,$B$15)</f>
        <v>Current Case - Management Case</v>
      </c>
      <c r="C176" s="144"/>
      <c r="D176" s="144"/>
      <c r="E176" s="144"/>
      <c r="F176" s="144"/>
      <c r="G176" s="145">
        <f>CHOOSE($G$3,G173,G174,G175)</f>
        <v>2.5000000000000001E-2</v>
      </c>
      <c r="H176" s="145">
        <f t="shared" ref="H176" si="94">CHOOSE($G$3,H173,H174,H175)</f>
        <v>2.5000000000000001E-2</v>
      </c>
      <c r="I176" s="145">
        <f t="shared" ref="I176" si="95">CHOOSE($G$3,I173,I174,I175)</f>
        <v>2.5000000000000001E-2</v>
      </c>
      <c r="J176" s="145">
        <f t="shared" ref="J176" si="96">CHOOSE($G$3,J173,J174,J175)</f>
        <v>2.5000000000000001E-2</v>
      </c>
      <c r="K176" s="145">
        <f t="shared" ref="K176" si="97">CHOOSE($G$3,K173,K174,K175)</f>
        <v>2.5000000000000001E-2</v>
      </c>
    </row>
    <row r="177" spans="1:11" outlineLevel="1" x14ac:dyDescent="0.35"/>
    <row r="178" spans="1:11" outlineLevel="1" x14ac:dyDescent="0.35">
      <c r="B178" s="89" t="s">
        <v>37</v>
      </c>
    </row>
    <row r="179" spans="1:11" ht="2" customHeight="1" outlineLevel="1" x14ac:dyDescent="0.35">
      <c r="B179" s="45"/>
    </row>
    <row r="180" spans="1:11" outlineLevel="1" x14ac:dyDescent="0.35">
      <c r="B180" s="45" t="s">
        <v>108</v>
      </c>
    </row>
    <row r="181" spans="1:11" outlineLevel="1" x14ac:dyDescent="0.35">
      <c r="B181" s="52" t="s">
        <v>54</v>
      </c>
      <c r="C181" s="51"/>
      <c r="D181" s="51"/>
      <c r="E181" s="51"/>
      <c r="F181" s="51"/>
      <c r="G181" s="53">
        <v>0.02</v>
      </c>
      <c r="H181" s="53">
        <v>0.02</v>
      </c>
      <c r="I181" s="53">
        <v>0.02</v>
      </c>
      <c r="J181" s="53">
        <v>0.02</v>
      </c>
      <c r="K181" s="53">
        <v>0.02</v>
      </c>
    </row>
    <row r="182" spans="1:11" outlineLevel="1" x14ac:dyDescent="0.35">
      <c r="B182" s="52" t="s">
        <v>55</v>
      </c>
      <c r="C182" s="51"/>
      <c r="D182" s="51"/>
      <c r="E182" s="51"/>
      <c r="F182" s="51"/>
      <c r="G182" s="53">
        <v>0.01</v>
      </c>
      <c r="H182" s="53">
        <v>0.01</v>
      </c>
      <c r="I182" s="53">
        <v>0.01</v>
      </c>
      <c r="J182" s="53">
        <v>0.01</v>
      </c>
      <c r="K182" s="53">
        <v>0.01</v>
      </c>
    </row>
    <row r="183" spans="1:11" outlineLevel="1" x14ac:dyDescent="0.35">
      <c r="B183" s="52" t="s">
        <v>56</v>
      </c>
      <c r="C183" s="51"/>
      <c r="D183" s="51"/>
      <c r="E183" s="51"/>
      <c r="F183" s="51"/>
      <c r="G183" s="53">
        <v>0.03</v>
      </c>
      <c r="H183" s="53">
        <v>0.03</v>
      </c>
      <c r="I183" s="53">
        <v>0.03</v>
      </c>
      <c r="J183" s="53">
        <v>0.03</v>
      </c>
      <c r="K183" s="53">
        <v>0.03</v>
      </c>
    </row>
    <row r="184" spans="1:11" outlineLevel="1" x14ac:dyDescent="0.35">
      <c r="B184" s="144" t="str">
        <f>"Current Case - "&amp;CHOOSE($G$3,$B$13,$B$14,$B$15)</f>
        <v>Current Case - Management Case</v>
      </c>
      <c r="C184" s="144"/>
      <c r="D184" s="144"/>
      <c r="E184" s="144"/>
      <c r="F184" s="144"/>
      <c r="G184" s="145">
        <f>CHOOSE($G$3,G181,G182,G183)</f>
        <v>0.02</v>
      </c>
      <c r="H184" s="145">
        <f t="shared" ref="H184" si="98">CHOOSE($G$3,H181,H182,H183)</f>
        <v>0.02</v>
      </c>
      <c r="I184" s="145">
        <f t="shared" ref="I184" si="99">CHOOSE($G$3,I181,I182,I183)</f>
        <v>0.02</v>
      </c>
      <c r="J184" s="145">
        <f t="shared" ref="J184" si="100">CHOOSE($G$3,J181,J182,J183)</f>
        <v>0.02</v>
      </c>
      <c r="K184" s="145">
        <f t="shared" ref="K184" si="101">CHOOSE($G$3,K181,K182,K183)</f>
        <v>0.02</v>
      </c>
    </row>
    <row r="185" spans="1:11" outlineLevel="1" x14ac:dyDescent="0.35"/>
    <row r="186" spans="1:11" outlineLevel="1" x14ac:dyDescent="0.35">
      <c r="B186" s="45" t="s">
        <v>109</v>
      </c>
    </row>
    <row r="187" spans="1:11" outlineLevel="1" x14ac:dyDescent="0.35">
      <c r="B187" s="52" t="s">
        <v>54</v>
      </c>
      <c r="C187" s="51"/>
      <c r="D187" s="51"/>
      <c r="E187" s="51"/>
      <c r="F187" s="51"/>
      <c r="G187" s="53">
        <v>0.03</v>
      </c>
      <c r="H187" s="53">
        <v>0.03</v>
      </c>
      <c r="I187" s="53">
        <v>0.03</v>
      </c>
      <c r="J187" s="53">
        <v>0.03</v>
      </c>
      <c r="K187" s="53">
        <v>0.03</v>
      </c>
    </row>
    <row r="188" spans="1:11" outlineLevel="1" x14ac:dyDescent="0.35">
      <c r="B188" s="52" t="s">
        <v>55</v>
      </c>
      <c r="C188" s="51"/>
      <c r="D188" s="51"/>
      <c r="E188" s="51"/>
      <c r="F188" s="51"/>
      <c r="G188" s="53">
        <v>0.02</v>
      </c>
      <c r="H188" s="53">
        <v>0.02</v>
      </c>
      <c r="I188" s="53">
        <v>0.02</v>
      </c>
      <c r="J188" s="53">
        <v>0.02</v>
      </c>
      <c r="K188" s="53">
        <v>0.02</v>
      </c>
    </row>
    <row r="189" spans="1:11" outlineLevel="1" x14ac:dyDescent="0.35">
      <c r="B189" s="52" t="s">
        <v>56</v>
      </c>
      <c r="C189" s="51"/>
      <c r="D189" s="51"/>
      <c r="E189" s="51"/>
      <c r="F189" s="51"/>
      <c r="G189" s="53">
        <v>0.04</v>
      </c>
      <c r="H189" s="53">
        <v>0.04</v>
      </c>
      <c r="I189" s="53">
        <v>0.04</v>
      </c>
      <c r="J189" s="53">
        <v>0.04</v>
      </c>
      <c r="K189" s="53">
        <v>0.04</v>
      </c>
    </row>
    <row r="190" spans="1:11" outlineLevel="1" x14ac:dyDescent="0.35">
      <c r="B190" s="144" t="str">
        <f>"Current Case - "&amp;CHOOSE($G$3,$B$13,$B$14,$B$15)</f>
        <v>Current Case - Management Case</v>
      </c>
      <c r="C190" s="144"/>
      <c r="D190" s="144"/>
      <c r="E190" s="144"/>
      <c r="F190" s="144"/>
      <c r="G190" s="145">
        <f>CHOOSE($G$3,G187,G188,G189)</f>
        <v>0.03</v>
      </c>
      <c r="H190" s="145">
        <f t="shared" ref="H190" si="102">CHOOSE($G$3,H187,H188,H189)</f>
        <v>0.03</v>
      </c>
      <c r="I190" s="145">
        <f t="shared" ref="I190" si="103">CHOOSE($G$3,I187,I188,I189)</f>
        <v>0.03</v>
      </c>
      <c r="J190" s="145">
        <f t="shared" ref="J190" si="104">CHOOSE($G$3,J187,J188,J189)</f>
        <v>0.03</v>
      </c>
      <c r="K190" s="145">
        <f t="shared" ref="K190" si="105">CHOOSE($G$3,K187,K188,K189)</f>
        <v>0.03</v>
      </c>
    </row>
    <row r="192" spans="1:11" ht="18.5" x14ac:dyDescent="0.45">
      <c r="A192" s="46" t="s">
        <v>52</v>
      </c>
      <c r="B192" s="54" t="s">
        <v>143</v>
      </c>
      <c r="C192" s="55"/>
      <c r="D192" s="55"/>
      <c r="E192" s="55"/>
      <c r="F192" s="55"/>
      <c r="G192" s="55"/>
      <c r="H192" s="55"/>
      <c r="I192" s="55"/>
      <c r="J192" s="55"/>
      <c r="K192" s="55"/>
    </row>
    <row r="193" spans="2:11" outlineLevel="1" x14ac:dyDescent="0.35"/>
    <row r="194" spans="2:11" ht="15.5" outlineLevel="1" x14ac:dyDescent="0.35">
      <c r="B194" s="56" t="s">
        <v>144</v>
      </c>
      <c r="C194" s="56"/>
      <c r="D194" s="56"/>
      <c r="E194" s="56"/>
      <c r="F194" s="56"/>
      <c r="G194" s="56"/>
      <c r="H194" s="56"/>
      <c r="I194" s="56"/>
      <c r="J194" s="56"/>
      <c r="K194" s="56"/>
    </row>
    <row r="195" spans="2:11" outlineLevel="1" x14ac:dyDescent="0.35"/>
    <row r="196" spans="2:11" outlineLevel="1" x14ac:dyDescent="0.35">
      <c r="B196" s="45" t="str">
        <f>B194&amp;" % Sales"</f>
        <v>Tangible Non Current Asset % Sales</v>
      </c>
    </row>
    <row r="197" spans="2:11" outlineLevel="1" x14ac:dyDescent="0.35">
      <c r="B197" s="52" t="s">
        <v>54</v>
      </c>
      <c r="C197" s="51"/>
      <c r="D197" s="51"/>
      <c r="E197" s="51"/>
      <c r="F197" s="51"/>
      <c r="G197" s="53">
        <v>0.05</v>
      </c>
      <c r="H197" s="53">
        <v>0.05</v>
      </c>
      <c r="I197" s="53">
        <v>0.05</v>
      </c>
      <c r="J197" s="53">
        <v>0.05</v>
      </c>
      <c r="K197" s="53">
        <v>0.05</v>
      </c>
    </row>
    <row r="198" spans="2:11" outlineLevel="1" x14ac:dyDescent="0.35">
      <c r="B198" s="52" t="s">
        <v>55</v>
      </c>
      <c r="C198" s="51"/>
      <c r="D198" s="51"/>
      <c r="E198" s="51"/>
      <c r="F198" s="51"/>
      <c r="G198" s="53">
        <v>0.04</v>
      </c>
      <c r="H198" s="53">
        <v>0.04</v>
      </c>
      <c r="I198" s="53">
        <v>0.04</v>
      </c>
      <c r="J198" s="53">
        <v>0.04</v>
      </c>
      <c r="K198" s="53">
        <v>0.04</v>
      </c>
    </row>
    <row r="199" spans="2:11" outlineLevel="1" x14ac:dyDescent="0.35">
      <c r="B199" s="52" t="s">
        <v>56</v>
      </c>
      <c r="C199" s="51"/>
      <c r="D199" s="51"/>
      <c r="E199" s="51"/>
      <c r="F199" s="51"/>
      <c r="G199" s="53">
        <v>0.06</v>
      </c>
      <c r="H199" s="53">
        <v>0.06</v>
      </c>
      <c r="I199" s="53">
        <v>0.06</v>
      </c>
      <c r="J199" s="53">
        <v>0.06</v>
      </c>
      <c r="K199" s="53">
        <v>0.06</v>
      </c>
    </row>
    <row r="200" spans="2:11" outlineLevel="1" x14ac:dyDescent="0.35">
      <c r="B200" s="144" t="str">
        <f>"Current Case - "&amp;CHOOSE($G$3,$B$13,$B$14,$B$15)</f>
        <v>Current Case - Management Case</v>
      </c>
      <c r="C200" s="144"/>
      <c r="D200" s="144"/>
      <c r="E200" s="144"/>
      <c r="F200" s="144"/>
      <c r="G200" s="145">
        <f>CHOOSE($G$3,G197,G198,G199)</f>
        <v>0.05</v>
      </c>
      <c r="H200" s="145">
        <f t="shared" ref="H200" si="106">CHOOSE($G$3,H197,H198,H199)</f>
        <v>0.05</v>
      </c>
      <c r="I200" s="145">
        <f t="shared" ref="I200" si="107">CHOOSE($G$3,I197,I198,I199)</f>
        <v>0.05</v>
      </c>
      <c r="J200" s="145">
        <f t="shared" ref="J200" si="108">CHOOSE($G$3,J197,J198,J199)</f>
        <v>0.05</v>
      </c>
      <c r="K200" s="145">
        <f t="shared" ref="K200" si="109">CHOOSE($G$3,K197,K198,K199)</f>
        <v>0.05</v>
      </c>
    </row>
    <row r="201" spans="2:11" outlineLevel="1" x14ac:dyDescent="0.35"/>
    <row r="202" spans="2:11" ht="15.5" outlineLevel="1" x14ac:dyDescent="0.35">
      <c r="B202" s="56" t="s">
        <v>145</v>
      </c>
      <c r="C202" s="56"/>
      <c r="D202" s="56"/>
      <c r="E202" s="56"/>
      <c r="F202" s="56"/>
      <c r="G202" s="56"/>
      <c r="H202" s="56"/>
      <c r="I202" s="56"/>
      <c r="J202" s="56"/>
      <c r="K202" s="56"/>
    </row>
    <row r="203" spans="2:11" outlineLevel="1" x14ac:dyDescent="0.35"/>
    <row r="204" spans="2:11" outlineLevel="1" x14ac:dyDescent="0.35">
      <c r="B204" s="45" t="str">
        <f>B202&amp;" % Sales"</f>
        <v>Intangible Non Current Asset % Sales</v>
      </c>
    </row>
    <row r="205" spans="2:11" outlineLevel="1" x14ac:dyDescent="0.35">
      <c r="B205" s="52" t="s">
        <v>54</v>
      </c>
      <c r="C205" s="51"/>
      <c r="D205" s="51"/>
      <c r="E205" s="51"/>
      <c r="F205" s="51"/>
      <c r="G205" s="53">
        <v>0.03</v>
      </c>
      <c r="H205" s="53">
        <v>0.03</v>
      </c>
      <c r="I205" s="53">
        <v>0.03</v>
      </c>
      <c r="J205" s="53">
        <v>0.03</v>
      </c>
      <c r="K205" s="53">
        <v>0.03</v>
      </c>
    </row>
    <row r="206" spans="2:11" outlineLevel="1" x14ac:dyDescent="0.35">
      <c r="B206" s="52" t="s">
        <v>55</v>
      </c>
      <c r="C206" s="51"/>
      <c r="D206" s="51"/>
      <c r="E206" s="51"/>
      <c r="F206" s="51"/>
      <c r="G206" s="53">
        <v>0.02</v>
      </c>
      <c r="H206" s="53">
        <v>0.02</v>
      </c>
      <c r="I206" s="53">
        <v>0.02</v>
      </c>
      <c r="J206" s="53">
        <v>0.02</v>
      </c>
      <c r="K206" s="53">
        <v>0.02</v>
      </c>
    </row>
    <row r="207" spans="2:11" outlineLevel="1" x14ac:dyDescent="0.35">
      <c r="B207" s="52" t="s">
        <v>56</v>
      </c>
      <c r="C207" s="51"/>
      <c r="D207" s="51"/>
      <c r="E207" s="51"/>
      <c r="F207" s="51"/>
      <c r="G207" s="53">
        <v>0.04</v>
      </c>
      <c r="H207" s="53">
        <v>0.04</v>
      </c>
      <c r="I207" s="53">
        <v>0.04</v>
      </c>
      <c r="J207" s="53">
        <v>0.04</v>
      </c>
      <c r="K207" s="53">
        <v>0.04</v>
      </c>
    </row>
    <row r="208" spans="2:11" outlineLevel="1" x14ac:dyDescent="0.35">
      <c r="B208" s="144" t="str">
        <f>"Current Case - "&amp;CHOOSE($G$3,$B$13,$B$14,$B$15)</f>
        <v>Current Case - Management Case</v>
      </c>
      <c r="C208" s="144"/>
      <c r="D208" s="144"/>
      <c r="E208" s="144"/>
      <c r="F208" s="144"/>
      <c r="G208" s="145">
        <f>CHOOSE($G$3,G205,G206,G207)</f>
        <v>0.03</v>
      </c>
      <c r="H208" s="145">
        <f t="shared" ref="H208" si="110">CHOOSE($G$3,H205,H206,H207)</f>
        <v>0.03</v>
      </c>
      <c r="I208" s="145">
        <f t="shared" ref="I208" si="111">CHOOSE($G$3,I205,I206,I207)</f>
        <v>0.03</v>
      </c>
      <c r="J208" s="145">
        <f t="shared" ref="J208" si="112">CHOOSE($G$3,J205,J206,J207)</f>
        <v>0.03</v>
      </c>
      <c r="K208" s="145">
        <f t="shared" ref="K208" si="113">CHOOSE($G$3,K205,K206,K207)</f>
        <v>0.03</v>
      </c>
    </row>
    <row r="210" spans="1:11" ht="18.5" x14ac:dyDescent="0.45">
      <c r="A210" s="46" t="s">
        <v>52</v>
      </c>
      <c r="B210" s="54" t="s">
        <v>146</v>
      </c>
      <c r="C210" s="55"/>
      <c r="D210" s="55"/>
      <c r="E210" s="55"/>
      <c r="F210" s="55"/>
      <c r="G210" s="55"/>
      <c r="H210" s="55"/>
      <c r="I210" s="55"/>
      <c r="J210" s="55"/>
      <c r="K210" s="55"/>
    </row>
    <row r="211" spans="1:11" outlineLevel="1" x14ac:dyDescent="0.35"/>
    <row r="212" spans="1:11" outlineLevel="1" x14ac:dyDescent="0.35">
      <c r="B212" s="45" t="s">
        <v>147</v>
      </c>
    </row>
    <row r="213" spans="1:11" outlineLevel="1" x14ac:dyDescent="0.35">
      <c r="B213" s="52" t="s">
        <v>54</v>
      </c>
      <c r="C213" s="51"/>
      <c r="D213" s="51"/>
      <c r="E213" s="51"/>
      <c r="F213" s="51"/>
      <c r="G213" s="53">
        <v>0.25</v>
      </c>
      <c r="H213" s="53">
        <v>0.25</v>
      </c>
      <c r="I213" s="53">
        <v>0.25</v>
      </c>
      <c r="J213" s="53">
        <v>0.25</v>
      </c>
      <c r="K213" s="53">
        <v>0.25</v>
      </c>
    </row>
    <row r="214" spans="1:11" outlineLevel="1" x14ac:dyDescent="0.35">
      <c r="B214" s="52" t="s">
        <v>55</v>
      </c>
      <c r="C214" s="51"/>
      <c r="D214" s="51"/>
      <c r="E214" s="51"/>
      <c r="F214" s="51"/>
      <c r="G214" s="53">
        <v>0.25</v>
      </c>
      <c r="H214" s="53">
        <v>0.25</v>
      </c>
      <c r="I214" s="53">
        <v>0.25</v>
      </c>
      <c r="J214" s="53">
        <v>0.25</v>
      </c>
      <c r="K214" s="53">
        <v>0.25</v>
      </c>
    </row>
    <row r="215" spans="1:11" outlineLevel="1" x14ac:dyDescent="0.35">
      <c r="B215" s="52" t="s">
        <v>56</v>
      </c>
      <c r="C215" s="51"/>
      <c r="D215" s="51"/>
      <c r="E215" s="51"/>
      <c r="F215" s="51"/>
      <c r="G215" s="53">
        <v>0.25</v>
      </c>
      <c r="H215" s="53">
        <v>0.25</v>
      </c>
      <c r="I215" s="53">
        <v>0.25</v>
      </c>
      <c r="J215" s="53">
        <v>0.25</v>
      </c>
      <c r="K215" s="53">
        <v>0.25</v>
      </c>
    </row>
    <row r="216" spans="1:11" outlineLevel="1" x14ac:dyDescent="0.35">
      <c r="B216" s="144" t="str">
        <f>"Current Case - "&amp;CHOOSE($G$3,$B$13,$B$14,$B$15)</f>
        <v>Current Case - Management Case</v>
      </c>
      <c r="C216" s="144"/>
      <c r="D216" s="144"/>
      <c r="E216" s="144"/>
      <c r="F216" s="144"/>
      <c r="G216" s="145">
        <f>CHOOSE($G$3,G213,G214,G215)</f>
        <v>0.25</v>
      </c>
      <c r="H216" s="145">
        <f t="shared" ref="H216" si="114">CHOOSE($G$3,H213,H214,H215)</f>
        <v>0.25</v>
      </c>
      <c r="I216" s="145">
        <f t="shared" ref="I216" si="115">CHOOSE($G$3,I213,I214,I215)</f>
        <v>0.25</v>
      </c>
      <c r="J216" s="145">
        <f t="shared" ref="J216" si="116">CHOOSE($G$3,J213,J214,J215)</f>
        <v>0.25</v>
      </c>
      <c r="K216" s="145">
        <f t="shared" ref="K216" si="117">CHOOSE($G$3,K213,K214,K215)</f>
        <v>0.25</v>
      </c>
    </row>
    <row r="218" spans="1:11" ht="18.5" x14ac:dyDescent="0.45">
      <c r="A218" s="46" t="s">
        <v>52</v>
      </c>
      <c r="B218" s="54" t="s">
        <v>148</v>
      </c>
      <c r="C218" s="55"/>
      <c r="D218" s="55"/>
      <c r="E218" s="55"/>
      <c r="F218" s="55"/>
      <c r="G218" s="55"/>
      <c r="H218" s="55"/>
      <c r="I218" s="55"/>
      <c r="J218" s="55"/>
      <c r="K218" s="55"/>
    </row>
    <row r="219" spans="1:11" outlineLevel="1" x14ac:dyDescent="0.35"/>
    <row r="220" spans="1:11" outlineLevel="1" x14ac:dyDescent="0.35">
      <c r="B220" s="45" t="s">
        <v>149</v>
      </c>
    </row>
    <row r="221" spans="1:11" outlineLevel="1" x14ac:dyDescent="0.35">
      <c r="B221" s="52" t="s">
        <v>54</v>
      </c>
      <c r="C221" s="51"/>
      <c r="D221" s="51"/>
      <c r="E221" s="51"/>
      <c r="F221" s="51"/>
      <c r="G221" s="83">
        <v>500</v>
      </c>
      <c r="H221" s="83">
        <v>500</v>
      </c>
      <c r="I221" s="83">
        <v>0</v>
      </c>
      <c r="J221" s="83">
        <v>0</v>
      </c>
      <c r="K221" s="83">
        <v>0</v>
      </c>
    </row>
    <row r="222" spans="1:11" outlineLevel="1" x14ac:dyDescent="0.35">
      <c r="B222" s="52" t="s">
        <v>55</v>
      </c>
      <c r="C222" s="51"/>
      <c r="D222" s="51"/>
      <c r="E222" s="51"/>
      <c r="F222" s="51"/>
      <c r="G222" s="83">
        <v>500</v>
      </c>
      <c r="H222" s="83">
        <v>500</v>
      </c>
      <c r="I222" s="83">
        <v>0</v>
      </c>
      <c r="J222" s="83">
        <v>0</v>
      </c>
      <c r="K222" s="83">
        <v>0</v>
      </c>
    </row>
    <row r="223" spans="1:11" outlineLevel="1" x14ac:dyDescent="0.35">
      <c r="B223" s="52" t="s">
        <v>56</v>
      </c>
      <c r="C223" s="51"/>
      <c r="D223" s="51"/>
      <c r="E223" s="51"/>
      <c r="F223" s="51"/>
      <c r="G223" s="83">
        <v>500</v>
      </c>
      <c r="H223" s="83">
        <v>500</v>
      </c>
      <c r="I223" s="83">
        <v>0</v>
      </c>
      <c r="J223" s="83">
        <v>0</v>
      </c>
      <c r="K223" s="83">
        <v>0</v>
      </c>
    </row>
    <row r="224" spans="1:11" outlineLevel="1" x14ac:dyDescent="0.35">
      <c r="B224" s="144" t="str">
        <f>"Current Case - "&amp;CHOOSE($G$3,$B$13,$B$14,$B$15)</f>
        <v>Current Case - Management Case</v>
      </c>
      <c r="C224" s="144"/>
      <c r="D224" s="144"/>
      <c r="E224" s="144"/>
      <c r="F224" s="144"/>
      <c r="G224" s="146">
        <f>CHOOSE($G$3,G221,G222,G223)</f>
        <v>500</v>
      </c>
      <c r="H224" s="146">
        <f t="shared" ref="H224" si="118">CHOOSE($G$3,H221,H222,H223)</f>
        <v>500</v>
      </c>
      <c r="I224" s="146">
        <f t="shared" ref="I224" si="119">CHOOSE($G$3,I221,I222,I223)</f>
        <v>0</v>
      </c>
      <c r="J224" s="146">
        <f t="shared" ref="J224" si="120">CHOOSE($G$3,J221,J222,J223)</f>
        <v>0</v>
      </c>
      <c r="K224" s="146">
        <f t="shared" ref="K224" si="121">CHOOSE($G$3,K221,K222,K223)</f>
        <v>0</v>
      </c>
    </row>
    <row r="226" spans="1:11" ht="18.5" x14ac:dyDescent="0.45">
      <c r="A226" s="46" t="s">
        <v>52</v>
      </c>
      <c r="B226" s="54" t="s">
        <v>150</v>
      </c>
      <c r="C226" s="55"/>
      <c r="D226" s="55"/>
      <c r="E226" s="55"/>
      <c r="F226" s="55"/>
      <c r="G226" s="55"/>
      <c r="H226" s="55"/>
      <c r="I226" s="55"/>
      <c r="J226" s="55"/>
      <c r="K226" s="55"/>
    </row>
    <row r="227" spans="1:11" outlineLevel="1" x14ac:dyDescent="0.35"/>
    <row r="228" spans="1:11" outlineLevel="1" x14ac:dyDescent="0.35">
      <c r="B228" s="45" t="s">
        <v>152</v>
      </c>
    </row>
    <row r="229" spans="1:11" outlineLevel="1" x14ac:dyDescent="0.35">
      <c r="B229" s="52" t="s">
        <v>54</v>
      </c>
      <c r="C229" s="51"/>
      <c r="D229" s="51"/>
      <c r="E229" s="51"/>
      <c r="F229" s="51"/>
      <c r="G229" s="84">
        <v>2E-3</v>
      </c>
      <c r="H229" s="84">
        <v>2E-3</v>
      </c>
      <c r="I229" s="84">
        <v>2E-3</v>
      </c>
      <c r="J229" s="84">
        <v>2E-3</v>
      </c>
      <c r="K229" s="84">
        <v>2E-3</v>
      </c>
    </row>
    <row r="230" spans="1:11" outlineLevel="1" x14ac:dyDescent="0.35">
      <c r="B230" s="52" t="s">
        <v>55</v>
      </c>
      <c r="C230" s="51"/>
      <c r="D230" s="51"/>
      <c r="E230" s="51"/>
      <c r="F230" s="51"/>
      <c r="G230" s="84">
        <v>1E-3</v>
      </c>
      <c r="H230" s="84">
        <v>1E-3</v>
      </c>
      <c r="I230" s="84">
        <v>1E-3</v>
      </c>
      <c r="J230" s="84">
        <v>1E-3</v>
      </c>
      <c r="K230" s="84">
        <v>1E-3</v>
      </c>
    </row>
    <row r="231" spans="1:11" outlineLevel="1" x14ac:dyDescent="0.35">
      <c r="B231" s="52" t="s">
        <v>56</v>
      </c>
      <c r="C231" s="51"/>
      <c r="D231" s="51"/>
      <c r="E231" s="51"/>
      <c r="F231" s="51"/>
      <c r="G231" s="84">
        <v>3.0000000000000001E-3</v>
      </c>
      <c r="H231" s="84">
        <v>3.0000000000000001E-3</v>
      </c>
      <c r="I231" s="84">
        <v>3.0000000000000001E-3</v>
      </c>
      <c r="J231" s="84">
        <v>3.0000000000000001E-3</v>
      </c>
      <c r="K231" s="84">
        <v>3.0000000000000001E-3</v>
      </c>
    </row>
    <row r="232" spans="1:11" outlineLevel="1" x14ac:dyDescent="0.35">
      <c r="B232" s="144" t="str">
        <f>"Current Case - "&amp;CHOOSE($G$3,$B$13,$B$14,$B$15)</f>
        <v>Current Case - Management Case</v>
      </c>
      <c r="C232" s="144"/>
      <c r="D232" s="144"/>
      <c r="E232" s="144"/>
      <c r="F232" s="144"/>
      <c r="G232" s="145">
        <f>CHOOSE($G$3,G229,G230,G231)</f>
        <v>2E-3</v>
      </c>
      <c r="H232" s="145">
        <f t="shared" ref="H232" si="122">CHOOSE($G$3,H229,H230,H231)</f>
        <v>2E-3</v>
      </c>
      <c r="I232" s="145">
        <f t="shared" ref="I232" si="123">CHOOSE($G$3,I229,I230,I231)</f>
        <v>2E-3</v>
      </c>
      <c r="J232" s="145">
        <f t="shared" ref="J232" si="124">CHOOSE($G$3,J229,J230,J231)</f>
        <v>2E-3</v>
      </c>
      <c r="K232" s="145">
        <f t="shared" ref="K232" si="125">CHOOSE($G$3,K229,K230,K231)</f>
        <v>2E-3</v>
      </c>
    </row>
    <row r="234" spans="1:11" ht="18.5" x14ac:dyDescent="0.45">
      <c r="A234" s="46" t="s">
        <v>52</v>
      </c>
      <c r="B234" s="54" t="s">
        <v>153</v>
      </c>
      <c r="C234" s="55"/>
      <c r="D234" s="55"/>
      <c r="E234" s="55"/>
      <c r="F234" s="55"/>
      <c r="G234" s="55"/>
      <c r="H234" s="55"/>
      <c r="I234" s="55"/>
      <c r="J234" s="55"/>
      <c r="K234" s="55"/>
    </row>
    <row r="235" spans="1:11" outlineLevel="1" x14ac:dyDescent="0.35"/>
    <row r="236" spans="1:11" outlineLevel="1" x14ac:dyDescent="0.35">
      <c r="B236" s="45" t="s">
        <v>154</v>
      </c>
    </row>
    <row r="237" spans="1:11" outlineLevel="1" x14ac:dyDescent="0.35">
      <c r="B237" s="52" t="s">
        <v>54</v>
      </c>
      <c r="C237" s="51"/>
      <c r="D237" s="51"/>
      <c r="E237" s="51"/>
      <c r="F237" s="51"/>
      <c r="G237" s="84">
        <v>3.5000000000000003E-2</v>
      </c>
      <c r="H237" s="84">
        <v>3.5000000000000003E-2</v>
      </c>
      <c r="I237" s="84">
        <v>3.5000000000000003E-2</v>
      </c>
      <c r="J237" s="84">
        <v>3.5000000000000003E-2</v>
      </c>
      <c r="K237" s="84">
        <v>3.5000000000000003E-2</v>
      </c>
    </row>
    <row r="238" spans="1:11" outlineLevel="1" x14ac:dyDescent="0.35">
      <c r="B238" s="52" t="s">
        <v>55</v>
      </c>
      <c r="C238" s="51"/>
      <c r="D238" s="51"/>
      <c r="E238" s="51"/>
      <c r="F238" s="51"/>
      <c r="G238" s="84">
        <v>3.5000000000000003E-2</v>
      </c>
      <c r="H238" s="84">
        <v>3.5000000000000003E-2</v>
      </c>
      <c r="I238" s="84">
        <v>3.5000000000000003E-2</v>
      </c>
      <c r="J238" s="84">
        <v>3.5000000000000003E-2</v>
      </c>
      <c r="K238" s="84">
        <v>3.5000000000000003E-2</v>
      </c>
    </row>
    <row r="239" spans="1:11" outlineLevel="1" x14ac:dyDescent="0.35">
      <c r="B239" s="52" t="s">
        <v>56</v>
      </c>
      <c r="C239" s="51"/>
      <c r="D239" s="51"/>
      <c r="E239" s="51"/>
      <c r="F239" s="51"/>
      <c r="G239" s="84">
        <v>3.5000000000000003E-2</v>
      </c>
      <c r="H239" s="84">
        <v>3.5000000000000003E-2</v>
      </c>
      <c r="I239" s="84">
        <v>3.5000000000000003E-2</v>
      </c>
      <c r="J239" s="84">
        <v>3.5000000000000003E-2</v>
      </c>
      <c r="K239" s="84">
        <v>3.5000000000000003E-2</v>
      </c>
    </row>
    <row r="240" spans="1:11" outlineLevel="1" x14ac:dyDescent="0.35">
      <c r="B240" s="144" t="str">
        <f>"Current Case - "&amp;CHOOSE($G$3,$B$13,$B$14,$B$15)</f>
        <v>Current Case - Management Case</v>
      </c>
      <c r="C240" s="144"/>
      <c r="D240" s="144"/>
      <c r="E240" s="144"/>
      <c r="F240" s="144"/>
      <c r="G240" s="145">
        <f>CHOOSE($G$3,G237,G238,G239)</f>
        <v>3.5000000000000003E-2</v>
      </c>
      <c r="H240" s="145">
        <f t="shared" ref="H240" si="126">CHOOSE($G$3,H237,H238,H239)</f>
        <v>3.5000000000000003E-2</v>
      </c>
      <c r="I240" s="145">
        <f t="shared" ref="I240" si="127">CHOOSE($G$3,I237,I238,I239)</f>
        <v>3.5000000000000003E-2</v>
      </c>
      <c r="J240" s="145">
        <f t="shared" ref="J240" si="128">CHOOSE($G$3,J237,J238,J239)</f>
        <v>3.5000000000000003E-2</v>
      </c>
      <c r="K240" s="145">
        <f t="shared" ref="K240" si="129">CHOOSE($G$3,K237,K238,K239)</f>
        <v>3.5000000000000003E-2</v>
      </c>
    </row>
    <row r="242" spans="1:11" ht="18.5" x14ac:dyDescent="0.45">
      <c r="A242" s="46" t="s">
        <v>52</v>
      </c>
      <c r="B242" s="54" t="s">
        <v>155</v>
      </c>
      <c r="C242" s="55"/>
      <c r="D242" s="55"/>
      <c r="E242" s="55"/>
      <c r="F242" s="55"/>
      <c r="G242" s="55"/>
      <c r="H242" s="55"/>
      <c r="I242" s="55"/>
      <c r="J242" s="55"/>
      <c r="K242" s="55"/>
    </row>
    <row r="243" spans="1:11" outlineLevel="1" x14ac:dyDescent="0.35"/>
    <row r="244" spans="1:11" outlineLevel="1" x14ac:dyDescent="0.35">
      <c r="B244" s="45" t="s">
        <v>156</v>
      </c>
    </row>
    <row r="245" spans="1:11" outlineLevel="1" x14ac:dyDescent="0.35">
      <c r="B245" s="52" t="s">
        <v>54</v>
      </c>
      <c r="C245" s="51"/>
      <c r="D245" s="51"/>
      <c r="E245" s="51"/>
      <c r="F245" s="51"/>
      <c r="G245" s="84">
        <v>0.3</v>
      </c>
      <c r="H245" s="84">
        <v>0.3</v>
      </c>
      <c r="I245" s="84">
        <v>0.3</v>
      </c>
      <c r="J245" s="84">
        <v>0.3</v>
      </c>
      <c r="K245" s="84">
        <v>0.3</v>
      </c>
    </row>
    <row r="246" spans="1:11" outlineLevel="1" x14ac:dyDescent="0.35">
      <c r="B246" s="52" t="s">
        <v>55</v>
      </c>
      <c r="C246" s="51"/>
      <c r="D246" s="51"/>
      <c r="E246" s="51"/>
      <c r="F246" s="51"/>
      <c r="G246" s="84">
        <v>0.3</v>
      </c>
      <c r="H246" s="84">
        <v>0.3</v>
      </c>
      <c r="I246" s="84">
        <v>0.3</v>
      </c>
      <c r="J246" s="84">
        <v>0.3</v>
      </c>
      <c r="K246" s="84">
        <v>0.3</v>
      </c>
    </row>
    <row r="247" spans="1:11" outlineLevel="1" x14ac:dyDescent="0.35">
      <c r="B247" s="52" t="s">
        <v>56</v>
      </c>
      <c r="C247" s="51"/>
      <c r="D247" s="51"/>
      <c r="E247" s="51"/>
      <c r="F247" s="51"/>
      <c r="G247" s="84">
        <v>0.3</v>
      </c>
      <c r="H247" s="84">
        <v>0.3</v>
      </c>
      <c r="I247" s="84">
        <v>0.3</v>
      </c>
      <c r="J247" s="84">
        <v>0.3</v>
      </c>
      <c r="K247" s="84">
        <v>0.3</v>
      </c>
    </row>
    <row r="248" spans="1:11" outlineLevel="1" x14ac:dyDescent="0.35">
      <c r="B248" s="144" t="str">
        <f>"Current Case - "&amp;CHOOSE($G$3,$B$13,$B$14,$B$15)</f>
        <v>Current Case - Management Case</v>
      </c>
      <c r="C248" s="144"/>
      <c r="D248" s="144"/>
      <c r="E248" s="144"/>
      <c r="F248" s="144"/>
      <c r="G248" s="145">
        <f>CHOOSE($G$3,G245,G246,G247)</f>
        <v>0.3</v>
      </c>
      <c r="H248" s="145">
        <f t="shared" ref="H248" si="130">CHOOSE($G$3,H245,H246,H247)</f>
        <v>0.3</v>
      </c>
      <c r="I248" s="145">
        <f t="shared" ref="I248" si="131">CHOOSE($G$3,I245,I246,I247)</f>
        <v>0.3</v>
      </c>
      <c r="J248" s="145">
        <f t="shared" ref="J248" si="132">CHOOSE($G$3,J245,J246,J247)</f>
        <v>0.3</v>
      </c>
      <c r="K248" s="145">
        <f t="shared" ref="K248" si="133">CHOOSE($G$3,K245,K246,K247)</f>
        <v>0.3</v>
      </c>
    </row>
  </sheetData>
  <sheetProtection algorithmName="SHA-512" hashValue="Z6BXtab9xCF0panetmCSvyT+zFWnzkdgmj8xuOdopHs6otRDBaWLE/DOjq1b9e7LtDu0ARdUU1NC3tz5z/pBmQ==" saltValue="BRetsTAF0VmqeLjU72iSzQ==" spinCount="100000" sheet="1" objects="1" scenarios="1"/>
  <mergeCells count="1">
    <mergeCell ref="G5:K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6</xdr:col>
                    <xdr:colOff>19050</xdr:colOff>
                    <xdr:row>1</xdr:row>
                    <xdr:rowOff>222250</xdr:rowOff>
                  </from>
                  <to>
                    <xdr:col>8</xdr:col>
                    <xdr:colOff>12700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5482-7FB6-4E75-A153-DACE6BF444D4}">
  <dimension ref="A2:J353"/>
  <sheetViews>
    <sheetView showGridLines="0" zoomScale="90" zoomScaleNormal="90" workbookViewId="0">
      <pane ySplit="6" topLeftCell="A297" activePane="bottomLeft" state="frozen"/>
      <selection pane="bottomLeft" activeCell="K315" sqref="K315"/>
    </sheetView>
  </sheetViews>
  <sheetFormatPr defaultRowHeight="14.5" outlineLevelRow="1" x14ac:dyDescent="0.35"/>
  <cols>
    <col min="1" max="1" width="1.81640625" customWidth="1"/>
    <col min="2" max="2" width="43.6328125" customWidth="1"/>
    <col min="3" max="3" width="22" customWidth="1"/>
    <col min="4" max="4" width="13.26953125" customWidth="1"/>
    <col min="5" max="10" width="13.1796875" customWidth="1"/>
  </cols>
  <sheetData>
    <row r="2" spans="1:10" ht="21" x14ac:dyDescent="0.5">
      <c r="B2" s="143" t="str">
        <f>'Audited Balance Sheet'!$B$2</f>
        <v>Mrs Sector Foods</v>
      </c>
    </row>
    <row r="3" spans="1:10" ht="15" customHeight="1" x14ac:dyDescent="0.45">
      <c r="B3" s="46" t="s">
        <v>110</v>
      </c>
      <c r="E3" t="s">
        <v>57</v>
      </c>
      <c r="F3">
        <v>1</v>
      </c>
    </row>
    <row r="4" spans="1:10" ht="15" customHeight="1" x14ac:dyDescent="0.45">
      <c r="B4" s="46"/>
    </row>
    <row r="5" spans="1:10" x14ac:dyDescent="0.35">
      <c r="E5" s="49" t="s">
        <v>49</v>
      </c>
      <c r="F5" s="190" t="s">
        <v>50</v>
      </c>
      <c r="G5" s="190"/>
      <c r="H5" s="190"/>
      <c r="I5" s="190"/>
      <c r="J5" s="190"/>
    </row>
    <row r="6" spans="1:10" x14ac:dyDescent="0.35">
      <c r="B6" s="47" t="s">
        <v>48</v>
      </c>
      <c r="C6" s="48"/>
      <c r="D6" s="48"/>
      <c r="E6" s="50">
        <f>'Audited Balance Sheet'!G6</f>
        <v>2023</v>
      </c>
      <c r="F6" s="50">
        <f>E6+1</f>
        <v>2024</v>
      </c>
      <c r="G6" s="50">
        <f t="shared" ref="G6:J6" si="0">F6+1</f>
        <v>2025</v>
      </c>
      <c r="H6" s="50">
        <f t="shared" si="0"/>
        <v>2026</v>
      </c>
      <c r="I6" s="50">
        <f t="shared" si="0"/>
        <v>2027</v>
      </c>
      <c r="J6" s="50">
        <f t="shared" si="0"/>
        <v>2028</v>
      </c>
    </row>
    <row r="8" spans="1:10" ht="18.5" x14ac:dyDescent="0.45">
      <c r="A8" s="46" t="s">
        <v>52</v>
      </c>
      <c r="B8" s="54" t="s">
        <v>72</v>
      </c>
      <c r="C8" s="55"/>
      <c r="D8" s="55"/>
      <c r="E8" s="55"/>
      <c r="F8" s="55"/>
      <c r="G8" s="55"/>
      <c r="H8" s="55"/>
      <c r="I8" s="55"/>
      <c r="J8" s="55"/>
    </row>
    <row r="9" spans="1:10" outlineLevel="1" x14ac:dyDescent="0.35"/>
    <row r="10" spans="1:10" ht="15.5" outlineLevel="1" x14ac:dyDescent="0.35">
      <c r="B10" s="56" t="s">
        <v>64</v>
      </c>
      <c r="C10" s="56"/>
      <c r="D10" s="56"/>
      <c r="E10" s="56"/>
      <c r="F10" s="56"/>
      <c r="G10" s="56"/>
      <c r="H10" s="56"/>
      <c r="I10" s="56"/>
      <c r="J10" s="56"/>
    </row>
    <row r="11" spans="1:10" ht="1.5" customHeight="1" outlineLevel="1" x14ac:dyDescent="0.35">
      <c r="B11" s="48"/>
      <c r="C11" s="48"/>
      <c r="D11" s="48"/>
      <c r="E11" s="48"/>
      <c r="F11" s="48"/>
      <c r="G11" s="48"/>
      <c r="H11" s="48"/>
      <c r="I11" s="48"/>
      <c r="J11" s="48"/>
    </row>
    <row r="12" spans="1:10" outlineLevel="1" x14ac:dyDescent="0.35">
      <c r="B12" t="s">
        <v>63</v>
      </c>
      <c r="E12" s="65">
        <v>150</v>
      </c>
      <c r="F12" s="62">
        <f>E12*(1+F16)</f>
        <v>154.5</v>
      </c>
      <c r="G12" s="62">
        <f t="shared" ref="G12:J12" si="1">F12*(1+G16)</f>
        <v>159.13499999999999</v>
      </c>
      <c r="H12" s="62">
        <f t="shared" si="1"/>
        <v>163.90905000000001</v>
      </c>
      <c r="I12" s="62">
        <f t="shared" si="1"/>
        <v>168.82632150000001</v>
      </c>
      <c r="J12" s="62">
        <f t="shared" si="1"/>
        <v>173.891111145</v>
      </c>
    </row>
    <row r="13" spans="1:10" outlineLevel="1" x14ac:dyDescent="0.35">
      <c r="B13" t="s">
        <v>68</v>
      </c>
      <c r="E13" s="66">
        <v>279</v>
      </c>
      <c r="F13" s="63">
        <f>E13*(1+F17)</f>
        <v>301.32</v>
      </c>
      <c r="G13" s="63">
        <f t="shared" ref="G13:J13" si="2">F13*(1+G17)</f>
        <v>325.42560000000003</v>
      </c>
      <c r="H13" s="63">
        <f t="shared" si="2"/>
        <v>351.45964800000007</v>
      </c>
      <c r="I13" s="63">
        <f t="shared" si="2"/>
        <v>376.06182336000012</v>
      </c>
      <c r="J13" s="63">
        <f t="shared" si="2"/>
        <v>402.38615099520013</v>
      </c>
    </row>
    <row r="14" spans="1:10" outlineLevel="1" x14ac:dyDescent="0.35">
      <c r="B14" s="60" t="str">
        <f>"Total Sales - "&amp;B10</f>
        <v>Total Sales - Cereals</v>
      </c>
      <c r="C14" s="59"/>
      <c r="D14" s="59"/>
      <c r="E14" s="64">
        <f>E13*E12</f>
        <v>41850</v>
      </c>
      <c r="F14" s="64">
        <f>F13*F12</f>
        <v>46553.94</v>
      </c>
      <c r="G14" s="64">
        <f t="shared" ref="G14:J14" si="3">G13*G12</f>
        <v>51786.602856000005</v>
      </c>
      <c r="H14" s="64">
        <f t="shared" si="3"/>
        <v>57607.417017014413</v>
      </c>
      <c r="I14" s="64">
        <f t="shared" si="3"/>
        <v>63489.134294451593</v>
      </c>
      <c r="J14" s="64">
        <f t="shared" si="3"/>
        <v>69971.374905915101</v>
      </c>
    </row>
    <row r="15" spans="1:10" outlineLevel="1" x14ac:dyDescent="0.35"/>
    <row r="16" spans="1:10" outlineLevel="1" x14ac:dyDescent="0.35">
      <c r="B16" s="147" t="s">
        <v>65</v>
      </c>
      <c r="C16" s="147"/>
      <c r="D16" s="147"/>
      <c r="E16" s="147"/>
      <c r="F16" s="148">
        <f>'Control Sheet'!G16</f>
        <v>0.03</v>
      </c>
      <c r="G16" s="148">
        <f>'Control Sheet'!H16</f>
        <v>0.03</v>
      </c>
      <c r="H16" s="148">
        <f>'Control Sheet'!I16</f>
        <v>0.03</v>
      </c>
      <c r="I16" s="148">
        <f>'Control Sheet'!J16</f>
        <v>0.03</v>
      </c>
      <c r="J16" s="148">
        <f>'Control Sheet'!K16</f>
        <v>0.03</v>
      </c>
    </row>
    <row r="17" spans="2:10" outlineLevel="1" x14ac:dyDescent="0.35">
      <c r="B17" s="147" t="s">
        <v>66</v>
      </c>
      <c r="C17" s="147"/>
      <c r="D17" s="147"/>
      <c r="E17" s="147"/>
      <c r="F17" s="148">
        <f>'Control Sheet'!G22</f>
        <v>0.08</v>
      </c>
      <c r="G17" s="148">
        <f>'Control Sheet'!H22</f>
        <v>0.08</v>
      </c>
      <c r="H17" s="148">
        <f>'Control Sheet'!I22</f>
        <v>0.08</v>
      </c>
      <c r="I17" s="148">
        <f>'Control Sheet'!J22</f>
        <v>7.0000000000000007E-2</v>
      </c>
      <c r="J17" s="148">
        <f>'Control Sheet'!K22</f>
        <v>7.0000000000000007E-2</v>
      </c>
    </row>
    <row r="18" spans="2:10" outlineLevel="1" x14ac:dyDescent="0.35">
      <c r="B18" s="157" t="str">
        <f>"Total Sales - "&amp;B10&amp;" Growth % YoY"</f>
        <v>Total Sales - Cereals Growth % YoY</v>
      </c>
      <c r="C18" s="158"/>
      <c r="D18" s="158"/>
      <c r="E18" s="158"/>
      <c r="F18" s="159">
        <f>F14/E14-1</f>
        <v>0.11240000000000006</v>
      </c>
      <c r="G18" s="159">
        <f t="shared" ref="G18:J18" si="4">G14/F14-1</f>
        <v>0.11240000000000006</v>
      </c>
      <c r="H18" s="159">
        <f t="shared" si="4"/>
        <v>0.11240000000000006</v>
      </c>
      <c r="I18" s="159">
        <f t="shared" si="4"/>
        <v>0.10210000000000008</v>
      </c>
      <c r="J18" s="159">
        <f t="shared" si="4"/>
        <v>0.10210000000000008</v>
      </c>
    </row>
    <row r="19" spans="2:10" outlineLevel="1" x14ac:dyDescent="0.35">
      <c r="F19" s="58"/>
      <c r="G19" s="58"/>
      <c r="H19" s="58"/>
      <c r="I19" s="58"/>
      <c r="J19" s="58"/>
    </row>
    <row r="20" spans="2:10" ht="15.5" outlineLevel="1" x14ac:dyDescent="0.35">
      <c r="B20" s="56" t="s">
        <v>58</v>
      </c>
      <c r="C20" s="56"/>
      <c r="D20" s="56"/>
      <c r="E20" s="56"/>
      <c r="F20" s="56"/>
      <c r="G20" s="56"/>
      <c r="H20" s="56"/>
      <c r="I20" s="56"/>
      <c r="J20" s="56"/>
    </row>
    <row r="21" spans="2:10" ht="1.5" customHeight="1" outlineLevel="1" x14ac:dyDescent="0.35">
      <c r="B21" s="48"/>
      <c r="C21" s="48"/>
      <c r="D21" s="48"/>
      <c r="E21" s="48"/>
      <c r="F21" s="48"/>
      <c r="G21" s="48"/>
      <c r="H21" s="48"/>
      <c r="I21" s="48"/>
      <c r="J21" s="48"/>
    </row>
    <row r="22" spans="2:10" outlineLevel="1" x14ac:dyDescent="0.35">
      <c r="B22" t="s">
        <v>67</v>
      </c>
      <c r="E22" s="65">
        <v>50</v>
      </c>
      <c r="F22" s="62">
        <f>E22*(1+F26)</f>
        <v>51</v>
      </c>
      <c r="G22" s="62">
        <f t="shared" ref="G22:J22" si="5">F22*(1+G26)</f>
        <v>52.02</v>
      </c>
      <c r="H22" s="62">
        <f t="shared" si="5"/>
        <v>53.060400000000001</v>
      </c>
      <c r="I22" s="62">
        <f t="shared" si="5"/>
        <v>54.121608000000002</v>
      </c>
      <c r="J22" s="62">
        <f t="shared" si="5"/>
        <v>55.204040160000005</v>
      </c>
    </row>
    <row r="23" spans="2:10" outlineLevel="1" x14ac:dyDescent="0.35">
      <c r="B23" t="s">
        <v>69</v>
      </c>
      <c r="E23" s="66">
        <v>217</v>
      </c>
      <c r="F23" s="63">
        <f>E23*(1+F27)</f>
        <v>232.19000000000003</v>
      </c>
      <c r="G23" s="63">
        <f t="shared" ref="G23:J23" si="6">F23*(1+G27)</f>
        <v>248.44330000000005</v>
      </c>
      <c r="H23" s="63">
        <f t="shared" si="6"/>
        <v>265.83433100000008</v>
      </c>
      <c r="I23" s="63">
        <f t="shared" si="6"/>
        <v>279.12604755000007</v>
      </c>
      <c r="J23" s="63">
        <f t="shared" si="6"/>
        <v>293.0823499275001</v>
      </c>
    </row>
    <row r="24" spans="2:10" outlineLevel="1" x14ac:dyDescent="0.35">
      <c r="B24" s="60" t="str">
        <f>"Total Sales - "&amp;B20</f>
        <v>Total Sales - Pickles</v>
      </c>
      <c r="C24" s="59"/>
      <c r="D24" s="59"/>
      <c r="E24" s="64">
        <f>E22*E23</f>
        <v>10850</v>
      </c>
      <c r="F24" s="64">
        <f t="shared" ref="F24:J24" si="7">F22*F23</f>
        <v>11841.69</v>
      </c>
      <c r="G24" s="64">
        <f t="shared" si="7"/>
        <v>12924.020466000004</v>
      </c>
      <c r="H24" s="64">
        <f t="shared" si="7"/>
        <v>14105.275936592405</v>
      </c>
      <c r="I24" s="64">
        <f t="shared" si="7"/>
        <v>15106.750528090464</v>
      </c>
      <c r="J24" s="64">
        <f t="shared" si="7"/>
        <v>16179.32981558489</v>
      </c>
    </row>
    <row r="25" spans="2:10" ht="15" customHeight="1" outlineLevel="1" x14ac:dyDescent="0.35"/>
    <row r="26" spans="2:10" outlineLevel="1" x14ac:dyDescent="0.35">
      <c r="B26" s="147" t="s">
        <v>65</v>
      </c>
      <c r="C26" s="147"/>
      <c r="D26" s="147"/>
      <c r="E26" s="147"/>
      <c r="F26" s="148">
        <f>'Control Sheet'!G30</f>
        <v>0.02</v>
      </c>
      <c r="G26" s="148">
        <f>'Control Sheet'!H30</f>
        <v>0.02</v>
      </c>
      <c r="H26" s="148">
        <f>'Control Sheet'!I30</f>
        <v>0.02</v>
      </c>
      <c r="I26" s="148">
        <f>'Control Sheet'!J30</f>
        <v>0.02</v>
      </c>
      <c r="J26" s="148">
        <f>'Control Sheet'!K30</f>
        <v>0.02</v>
      </c>
    </row>
    <row r="27" spans="2:10" outlineLevel="1" x14ac:dyDescent="0.35">
      <c r="B27" s="147" t="s">
        <v>66</v>
      </c>
      <c r="C27" s="147"/>
      <c r="D27" s="147"/>
      <c r="E27" s="147"/>
      <c r="F27" s="148">
        <f>'Control Sheet'!G36</f>
        <v>7.0000000000000007E-2</v>
      </c>
      <c r="G27" s="148">
        <f>'Control Sheet'!H36</f>
        <v>7.0000000000000007E-2</v>
      </c>
      <c r="H27" s="148">
        <f>'Control Sheet'!I36</f>
        <v>7.0000000000000007E-2</v>
      </c>
      <c r="I27" s="148">
        <f>'Control Sheet'!J36</f>
        <v>0.05</v>
      </c>
      <c r="J27" s="148">
        <f>'Control Sheet'!K36</f>
        <v>0.05</v>
      </c>
    </row>
    <row r="28" spans="2:10" outlineLevel="1" x14ac:dyDescent="0.35">
      <c r="B28" s="157" t="str">
        <f>"Total Sales - "&amp;B20&amp;" Growth % YoY"</f>
        <v>Total Sales - Pickles Growth % YoY</v>
      </c>
      <c r="C28" s="158"/>
      <c r="D28" s="158"/>
      <c r="E28" s="158"/>
      <c r="F28" s="159">
        <f>F24/E24-1</f>
        <v>9.1400000000000148E-2</v>
      </c>
      <c r="G28" s="159">
        <f t="shared" ref="G28:J28" si="8">G24/F24-1</f>
        <v>9.1400000000000148E-2</v>
      </c>
      <c r="H28" s="159">
        <f t="shared" si="8"/>
        <v>9.1400000000000148E-2</v>
      </c>
      <c r="I28" s="159">
        <f t="shared" si="8"/>
        <v>7.0999999999999952E-2</v>
      </c>
      <c r="J28" s="159">
        <f t="shared" si="8"/>
        <v>7.1000000000000174E-2</v>
      </c>
    </row>
    <row r="29" spans="2:10" outlineLevel="1" x14ac:dyDescent="0.35"/>
    <row r="30" spans="2:10" ht="15.5" outlineLevel="1" x14ac:dyDescent="0.35">
      <c r="B30" s="56" t="s">
        <v>60</v>
      </c>
      <c r="C30" s="56"/>
      <c r="D30" s="56"/>
      <c r="E30" s="56"/>
      <c r="F30" s="56"/>
      <c r="G30" s="56"/>
      <c r="H30" s="56"/>
      <c r="I30" s="56"/>
      <c r="J30" s="56"/>
    </row>
    <row r="31" spans="2:10" outlineLevel="1" x14ac:dyDescent="0.35">
      <c r="B31" s="48"/>
      <c r="C31" s="48"/>
      <c r="D31" s="48"/>
      <c r="E31" s="48"/>
      <c r="F31" s="48"/>
      <c r="G31" s="48"/>
      <c r="H31" s="48"/>
      <c r="I31" s="48"/>
      <c r="J31" s="48"/>
    </row>
    <row r="32" spans="2:10" outlineLevel="1" x14ac:dyDescent="0.35">
      <c r="B32" t="s">
        <v>67</v>
      </c>
      <c r="E32" s="65">
        <v>30</v>
      </c>
      <c r="F32" s="62">
        <f>E32*(1+F36)</f>
        <v>30.3</v>
      </c>
      <c r="G32" s="62">
        <f t="shared" ref="G32:J32" si="9">F32*(1+G36)</f>
        <v>30.603000000000002</v>
      </c>
      <c r="H32" s="62">
        <f t="shared" si="9"/>
        <v>30.909030000000001</v>
      </c>
      <c r="I32" s="62">
        <f t="shared" si="9"/>
        <v>31.218120300000002</v>
      </c>
      <c r="J32" s="62">
        <f t="shared" si="9"/>
        <v>31.530301503000004</v>
      </c>
    </row>
    <row r="33" spans="1:10" outlineLevel="1" x14ac:dyDescent="0.35">
      <c r="B33" t="s">
        <v>69</v>
      </c>
      <c r="E33" s="66">
        <v>177</v>
      </c>
      <c r="F33" s="63">
        <f>E33*(1+F37)</f>
        <v>185.85</v>
      </c>
      <c r="G33" s="63">
        <f t="shared" ref="G33:J33" si="10">F33*(1+G37)</f>
        <v>195.14250000000001</v>
      </c>
      <c r="H33" s="63">
        <f t="shared" si="10"/>
        <v>204.89962500000001</v>
      </c>
      <c r="I33" s="63">
        <f t="shared" si="10"/>
        <v>211.04661375000003</v>
      </c>
      <c r="J33" s="63">
        <f t="shared" si="10"/>
        <v>217.37801216250003</v>
      </c>
    </row>
    <row r="34" spans="1:10" outlineLevel="1" x14ac:dyDescent="0.35">
      <c r="B34" s="60" t="str">
        <f>"Total Sales - "&amp;B30</f>
        <v>Total Sales - Sauces</v>
      </c>
      <c r="C34" s="59"/>
      <c r="D34" s="59"/>
      <c r="E34" s="64">
        <f>E32*E33</f>
        <v>5310</v>
      </c>
      <c r="F34" s="64">
        <f t="shared" ref="F34" si="11">F32*F33</f>
        <v>5631.2550000000001</v>
      </c>
      <c r="G34" s="64">
        <f t="shared" ref="G34" si="12">G32*G33</f>
        <v>5971.9459275000008</v>
      </c>
      <c r="H34" s="64">
        <f t="shared" ref="H34" si="13">H32*H33</f>
        <v>6333.2486561137512</v>
      </c>
      <c r="I34" s="64">
        <f t="shared" ref="I34" si="14">I32*I33</f>
        <v>6588.4785769551354</v>
      </c>
      <c r="J34" s="64">
        <f t="shared" ref="J34" si="15">J32*J33</f>
        <v>6853.9942636064279</v>
      </c>
    </row>
    <row r="35" spans="1:10" outlineLevel="1" x14ac:dyDescent="0.35"/>
    <row r="36" spans="1:10" outlineLevel="1" x14ac:dyDescent="0.35">
      <c r="B36" s="147" t="s">
        <v>65</v>
      </c>
      <c r="C36" s="147"/>
      <c r="D36" s="147"/>
      <c r="E36" s="147"/>
      <c r="F36" s="148">
        <f>'Control Sheet'!G44</f>
        <v>0.01</v>
      </c>
      <c r="G36" s="148">
        <f>'Control Sheet'!H44</f>
        <v>0.01</v>
      </c>
      <c r="H36" s="148">
        <f>'Control Sheet'!I44</f>
        <v>0.01</v>
      </c>
      <c r="I36" s="148">
        <f>'Control Sheet'!J44</f>
        <v>0.01</v>
      </c>
      <c r="J36" s="148">
        <f>'Control Sheet'!K44</f>
        <v>0.01</v>
      </c>
    </row>
    <row r="37" spans="1:10" outlineLevel="1" x14ac:dyDescent="0.35">
      <c r="B37" s="147" t="s">
        <v>66</v>
      </c>
      <c r="C37" s="147"/>
      <c r="D37" s="147"/>
      <c r="E37" s="147"/>
      <c r="F37" s="148">
        <f>'Control Sheet'!G50</f>
        <v>0.05</v>
      </c>
      <c r="G37" s="148">
        <f>'Control Sheet'!H50</f>
        <v>0.05</v>
      </c>
      <c r="H37" s="148">
        <f>'Control Sheet'!I50</f>
        <v>0.05</v>
      </c>
      <c r="I37" s="148">
        <f>'Control Sheet'!J50</f>
        <v>0.03</v>
      </c>
      <c r="J37" s="148">
        <f>'Control Sheet'!K50</f>
        <v>0.03</v>
      </c>
    </row>
    <row r="38" spans="1:10" outlineLevel="1" x14ac:dyDescent="0.35">
      <c r="B38" s="157" t="str">
        <f>"Total Sales - "&amp;B30&amp;" Growth % YoY"</f>
        <v>Total Sales - Sauces Growth % YoY</v>
      </c>
      <c r="C38" s="158"/>
      <c r="D38" s="158"/>
      <c r="E38" s="158"/>
      <c r="F38" s="159">
        <f>F34/E34-1</f>
        <v>6.0499999999999998E-2</v>
      </c>
      <c r="G38" s="159">
        <f t="shared" ref="G38:J38" si="16">G34/F34-1</f>
        <v>6.050000000000022E-2</v>
      </c>
      <c r="H38" s="159">
        <f t="shared" si="16"/>
        <v>6.0499999999999998E-2</v>
      </c>
      <c r="I38" s="159">
        <f t="shared" si="16"/>
        <v>4.0300000000000002E-2</v>
      </c>
      <c r="J38" s="159">
        <f t="shared" si="16"/>
        <v>4.0300000000000002E-2</v>
      </c>
    </row>
    <row r="39" spans="1:10" ht="1.5" customHeight="1" outlineLevel="1" x14ac:dyDescent="0.35"/>
    <row r="40" spans="1:10" outlineLevel="1" x14ac:dyDescent="0.35">
      <c r="B40" s="45"/>
    </row>
    <row r="41" spans="1:10" ht="15" outlineLevel="1" thickBot="1" x14ac:dyDescent="0.4">
      <c r="B41" s="68" t="s">
        <v>70</v>
      </c>
      <c r="C41" s="67"/>
      <c r="D41" s="67"/>
      <c r="E41" s="69">
        <f>E34+E24+E14</f>
        <v>58010</v>
      </c>
      <c r="F41" s="69">
        <f>F34+F24+F14</f>
        <v>64026.885000000002</v>
      </c>
      <c r="G41" s="69">
        <f t="shared" ref="G41:J41" si="17">G34+G24+G14</f>
        <v>70682.569249500011</v>
      </c>
      <c r="H41" s="69">
        <f t="shared" si="17"/>
        <v>78045.941609720569</v>
      </c>
      <c r="I41" s="69">
        <f t="shared" si="17"/>
        <v>85184.36339949719</v>
      </c>
      <c r="J41" s="69">
        <f t="shared" si="17"/>
        <v>93004.698985106428</v>
      </c>
    </row>
    <row r="42" spans="1:10" outlineLevel="1" x14ac:dyDescent="0.35">
      <c r="B42" t="s">
        <v>71</v>
      </c>
      <c r="F42" s="70">
        <f>F41/E41-1</f>
        <v>0.10372151353214965</v>
      </c>
      <c r="G42" s="70">
        <f t="shared" ref="G42:J42" si="18">G41/F41-1</f>
        <v>0.10395139868978487</v>
      </c>
      <c r="H42" s="70">
        <f t="shared" si="18"/>
        <v>0.10417522224225939</v>
      </c>
      <c r="I42" s="70">
        <f t="shared" si="18"/>
        <v>9.146435602600933E-2</v>
      </c>
      <c r="J42" s="70">
        <f t="shared" si="18"/>
        <v>9.1804825128920298E-2</v>
      </c>
    </row>
    <row r="44" spans="1:10" ht="18.5" x14ac:dyDescent="0.45">
      <c r="A44" s="46" t="s">
        <v>52</v>
      </c>
      <c r="B44" s="54" t="s">
        <v>73</v>
      </c>
      <c r="C44" s="55"/>
      <c r="D44" s="55"/>
      <c r="E44" s="55"/>
      <c r="F44" s="55"/>
      <c r="G44" s="55"/>
      <c r="H44" s="55"/>
      <c r="I44" s="55"/>
      <c r="J44" s="55"/>
    </row>
    <row r="45" spans="1:10" outlineLevel="1" x14ac:dyDescent="0.35"/>
    <row r="46" spans="1:10" ht="15.5" outlineLevel="1" x14ac:dyDescent="0.35">
      <c r="B46" s="56" t="s">
        <v>64</v>
      </c>
      <c r="C46" s="56"/>
      <c r="D46" s="56"/>
      <c r="E46" s="56"/>
      <c r="F46" s="56"/>
      <c r="G46" s="56"/>
      <c r="H46" s="56"/>
      <c r="I46" s="56"/>
      <c r="J46" s="56"/>
    </row>
    <row r="47" spans="1:10" ht="15.5" outlineLevel="1" x14ac:dyDescent="0.35">
      <c r="B47" s="57"/>
      <c r="C47" s="57"/>
      <c r="D47" s="57"/>
      <c r="E47" s="57"/>
      <c r="F47" s="57"/>
      <c r="G47" s="57"/>
      <c r="H47" s="57"/>
      <c r="I47" s="57"/>
      <c r="J47" s="57"/>
    </row>
    <row r="48" spans="1:10" outlineLevel="1" x14ac:dyDescent="0.35">
      <c r="B48" s="71" t="s">
        <v>79</v>
      </c>
      <c r="C48" s="71"/>
      <c r="D48" s="71"/>
      <c r="E48" s="72">
        <f>E13</f>
        <v>279</v>
      </c>
      <c r="F48" s="72">
        <f t="shared" ref="F48:J48" si="19">F13</f>
        <v>301.32</v>
      </c>
      <c r="G48" s="72">
        <f t="shared" si="19"/>
        <v>325.42560000000003</v>
      </c>
      <c r="H48" s="72">
        <f t="shared" si="19"/>
        <v>351.45964800000007</v>
      </c>
      <c r="I48" s="72">
        <f t="shared" si="19"/>
        <v>376.06182336000012</v>
      </c>
      <c r="J48" s="72">
        <f t="shared" si="19"/>
        <v>402.38615099520013</v>
      </c>
    </row>
    <row r="49" spans="2:10" outlineLevel="1" x14ac:dyDescent="0.35">
      <c r="E49" s="65"/>
      <c r="F49" s="62"/>
      <c r="G49" s="62"/>
      <c r="H49" s="62"/>
      <c r="I49" s="62"/>
      <c r="J49" s="62"/>
    </row>
    <row r="50" spans="2:10" outlineLevel="1" x14ac:dyDescent="0.35">
      <c r="B50" t="s">
        <v>80</v>
      </c>
      <c r="E50" s="65">
        <v>27.5</v>
      </c>
      <c r="F50" s="62">
        <f>E50*(1+F64)</f>
        <v>27.5</v>
      </c>
      <c r="G50" s="62">
        <f t="shared" ref="G50:J50" si="20">F50*(1+G64)</f>
        <v>27.5</v>
      </c>
      <c r="H50" s="62">
        <f t="shared" si="20"/>
        <v>27.5</v>
      </c>
      <c r="I50" s="62">
        <f t="shared" si="20"/>
        <v>27.5</v>
      </c>
      <c r="J50" s="62">
        <f t="shared" si="20"/>
        <v>27.5</v>
      </c>
    </row>
    <row r="51" spans="2:10" outlineLevel="1" x14ac:dyDescent="0.35">
      <c r="B51" s="60" t="s">
        <v>81</v>
      </c>
      <c r="C51" s="59"/>
      <c r="D51" s="59"/>
      <c r="E51" s="64">
        <f>E50*E48</f>
        <v>7672.5</v>
      </c>
      <c r="F51" s="64">
        <f t="shared" ref="F51:J51" si="21">F50*F48</f>
        <v>8286.2999999999993</v>
      </c>
      <c r="G51" s="64">
        <f t="shared" si="21"/>
        <v>8949.2040000000015</v>
      </c>
      <c r="H51" s="64">
        <f t="shared" si="21"/>
        <v>9665.1403200000022</v>
      </c>
      <c r="I51" s="64">
        <f t="shared" si="21"/>
        <v>10341.700142400003</v>
      </c>
      <c r="J51" s="64">
        <f t="shared" si="21"/>
        <v>11065.619152368003</v>
      </c>
    </row>
    <row r="52" spans="2:10" outlineLevel="1" x14ac:dyDescent="0.35"/>
    <row r="53" spans="2:10" outlineLevel="1" x14ac:dyDescent="0.35">
      <c r="B53" t="s">
        <v>82</v>
      </c>
      <c r="E53" s="65">
        <v>10</v>
      </c>
      <c r="F53" s="62">
        <f>E53*(1+F65)</f>
        <v>10</v>
      </c>
      <c r="G53" s="62">
        <f t="shared" ref="G53:J53" si="22">F53*(1+G65)</f>
        <v>10</v>
      </c>
      <c r="H53" s="62">
        <f t="shared" si="22"/>
        <v>10</v>
      </c>
      <c r="I53" s="62">
        <f t="shared" si="22"/>
        <v>10</v>
      </c>
      <c r="J53" s="62">
        <f t="shared" si="22"/>
        <v>10</v>
      </c>
    </row>
    <row r="54" spans="2:10" outlineLevel="1" x14ac:dyDescent="0.35">
      <c r="B54" s="60" t="s">
        <v>83</v>
      </c>
      <c r="C54" s="59"/>
      <c r="D54" s="59"/>
      <c r="E54" s="64">
        <f>E53*E48</f>
        <v>2790</v>
      </c>
      <c r="F54" s="64">
        <f t="shared" ref="F54" si="23">F53*F48</f>
        <v>3013.2</v>
      </c>
      <c r="G54" s="64">
        <f>G53*G48</f>
        <v>3254.2560000000003</v>
      </c>
      <c r="H54" s="64">
        <f>H53*H48</f>
        <v>3514.5964800000006</v>
      </c>
      <c r="I54" s="64">
        <f>I53*I48</f>
        <v>3760.6182336000011</v>
      </c>
      <c r="J54" s="64">
        <f>J53*J48</f>
        <v>4023.8615099520011</v>
      </c>
    </row>
    <row r="55" spans="2:10" outlineLevel="1" x14ac:dyDescent="0.35"/>
    <row r="56" spans="2:10" outlineLevel="1" x14ac:dyDescent="0.35">
      <c r="B56" t="s">
        <v>84</v>
      </c>
      <c r="E56" s="65">
        <v>12.5</v>
      </c>
      <c r="F56" s="62">
        <f>E56*(1+F66)</f>
        <v>12.5</v>
      </c>
      <c r="G56" s="62">
        <f t="shared" ref="G56:J56" si="24">F56*(1+G66)</f>
        <v>12.5</v>
      </c>
      <c r="H56" s="62">
        <f t="shared" si="24"/>
        <v>12.5</v>
      </c>
      <c r="I56" s="62">
        <f t="shared" si="24"/>
        <v>12.5</v>
      </c>
      <c r="J56" s="62">
        <f t="shared" si="24"/>
        <v>12.5</v>
      </c>
    </row>
    <row r="57" spans="2:10" outlineLevel="1" x14ac:dyDescent="0.35">
      <c r="B57" s="60" t="s">
        <v>85</v>
      </c>
      <c r="C57" s="59"/>
      <c r="D57" s="59"/>
      <c r="E57" s="64">
        <f>E56*E48</f>
        <v>3487.5</v>
      </c>
      <c r="F57" s="64">
        <f t="shared" ref="F57:J57" si="25">F56*F48</f>
        <v>3766.5</v>
      </c>
      <c r="G57" s="64">
        <f t="shared" si="25"/>
        <v>4067.8200000000006</v>
      </c>
      <c r="H57" s="64">
        <f t="shared" si="25"/>
        <v>4393.2456000000011</v>
      </c>
      <c r="I57" s="64">
        <f t="shared" si="25"/>
        <v>4700.7727920000016</v>
      </c>
      <c r="J57" s="64">
        <f t="shared" si="25"/>
        <v>5029.8268874400019</v>
      </c>
    </row>
    <row r="58" spans="2:10" outlineLevel="1" x14ac:dyDescent="0.35"/>
    <row r="59" spans="2:10" outlineLevel="1" x14ac:dyDescent="0.35">
      <c r="B59" t="s">
        <v>86</v>
      </c>
      <c r="E59" s="65">
        <v>8</v>
      </c>
      <c r="F59" s="62">
        <f>E59*(1+F67)</f>
        <v>8</v>
      </c>
      <c r="G59" s="62">
        <f t="shared" ref="G59:J59" si="26">F59*(1+G67)</f>
        <v>8</v>
      </c>
      <c r="H59" s="62">
        <f t="shared" si="26"/>
        <v>8</v>
      </c>
      <c r="I59" s="62">
        <f t="shared" si="26"/>
        <v>8</v>
      </c>
      <c r="J59" s="62">
        <f t="shared" si="26"/>
        <v>8</v>
      </c>
    </row>
    <row r="60" spans="2:10" outlineLevel="1" x14ac:dyDescent="0.35">
      <c r="B60" s="60" t="s">
        <v>87</v>
      </c>
      <c r="C60" s="59"/>
      <c r="D60" s="59"/>
      <c r="E60" s="64">
        <f>E59*E48</f>
        <v>2232</v>
      </c>
      <c r="F60" s="64">
        <f t="shared" ref="F60:J60" si="27">F59*F48</f>
        <v>2410.56</v>
      </c>
      <c r="G60" s="64">
        <f t="shared" si="27"/>
        <v>2603.4048000000003</v>
      </c>
      <c r="H60" s="64">
        <f t="shared" si="27"/>
        <v>2811.6771840000006</v>
      </c>
      <c r="I60" s="64">
        <f t="shared" si="27"/>
        <v>3008.494586880001</v>
      </c>
      <c r="J60" s="64">
        <f t="shared" si="27"/>
        <v>3219.089207961601</v>
      </c>
    </row>
    <row r="61" spans="2:10" outlineLevel="1" x14ac:dyDescent="0.35"/>
    <row r="62" spans="2:10" ht="15" outlineLevel="1" thickBot="1" x14ac:dyDescent="0.4">
      <c r="B62" s="68" t="str">
        <f>"Total COGS - "&amp;B46</f>
        <v>Total COGS - Cereals</v>
      </c>
      <c r="C62" s="67"/>
      <c r="D62" s="67"/>
      <c r="E62" s="69">
        <f>E60+E57+E54+E51</f>
        <v>16182</v>
      </c>
      <c r="F62" s="69">
        <f t="shared" ref="F62" si="28">F60+F57+F54+F51</f>
        <v>17476.559999999998</v>
      </c>
      <c r="G62" s="69">
        <f>G60+G57+G54+G51</f>
        <v>18874.684800000003</v>
      </c>
      <c r="H62" s="69">
        <f>H60+H57+H54+H51</f>
        <v>20384.659584000005</v>
      </c>
      <c r="I62" s="69">
        <f>I60+I57+I54+I51</f>
        <v>21811.585754880005</v>
      </c>
      <c r="J62" s="69">
        <f>J60+J57+J54+J51</f>
        <v>23338.396757721606</v>
      </c>
    </row>
    <row r="63" spans="2:10" outlineLevel="1" x14ac:dyDescent="0.35">
      <c r="B63" s="45"/>
    </row>
    <row r="64" spans="2:10" outlineLevel="1" x14ac:dyDescent="0.35">
      <c r="B64" s="147" t="s">
        <v>93</v>
      </c>
      <c r="C64" s="147"/>
      <c r="D64" s="147"/>
      <c r="E64" s="147"/>
      <c r="F64" s="148">
        <f>'Control Sheet'!G60</f>
        <v>0</v>
      </c>
      <c r="G64" s="148">
        <f>'Control Sheet'!H60</f>
        <v>0</v>
      </c>
      <c r="H64" s="148">
        <f>'Control Sheet'!I60</f>
        <v>0</v>
      </c>
      <c r="I64" s="148">
        <f>'Control Sheet'!J60</f>
        <v>0</v>
      </c>
      <c r="J64" s="148">
        <f>'Control Sheet'!K60</f>
        <v>0</v>
      </c>
    </row>
    <row r="65" spans="2:10" outlineLevel="1" x14ac:dyDescent="0.35">
      <c r="B65" s="147" t="s">
        <v>94</v>
      </c>
      <c r="C65" s="147"/>
      <c r="D65" s="147"/>
      <c r="E65" s="147"/>
      <c r="F65" s="148">
        <f>'Control Sheet'!G66</f>
        <v>0</v>
      </c>
      <c r="G65" s="148">
        <f>'Control Sheet'!H66</f>
        <v>0</v>
      </c>
      <c r="H65" s="148">
        <f>'Control Sheet'!I66</f>
        <v>0</v>
      </c>
      <c r="I65" s="148">
        <f>'Control Sheet'!J66</f>
        <v>0</v>
      </c>
      <c r="J65" s="148">
        <f>'Control Sheet'!K66</f>
        <v>0</v>
      </c>
    </row>
    <row r="66" spans="2:10" outlineLevel="1" x14ac:dyDescent="0.35">
      <c r="B66" s="147" t="s">
        <v>95</v>
      </c>
      <c r="C66" s="147"/>
      <c r="D66" s="147"/>
      <c r="E66" s="147"/>
      <c r="F66" s="148">
        <f>'Control Sheet'!G72</f>
        <v>0</v>
      </c>
      <c r="G66" s="148">
        <f>'Control Sheet'!H72</f>
        <v>0</v>
      </c>
      <c r="H66" s="148">
        <f>'Control Sheet'!I72</f>
        <v>0</v>
      </c>
      <c r="I66" s="148">
        <f>'Control Sheet'!J72</f>
        <v>0</v>
      </c>
      <c r="J66" s="148">
        <f>'Control Sheet'!K72</f>
        <v>0</v>
      </c>
    </row>
    <row r="67" spans="2:10" outlineLevel="1" x14ac:dyDescent="0.35">
      <c r="B67" s="147" t="s">
        <v>96</v>
      </c>
      <c r="C67" s="147"/>
      <c r="D67" s="147"/>
      <c r="E67" s="147"/>
      <c r="F67" s="148">
        <f>'Control Sheet'!G78</f>
        <v>0</v>
      </c>
      <c r="G67" s="148">
        <f>'Control Sheet'!H78</f>
        <v>0</v>
      </c>
      <c r="H67" s="148">
        <f>'Control Sheet'!I78</f>
        <v>0</v>
      </c>
      <c r="I67" s="148">
        <f>'Control Sheet'!J78</f>
        <v>0</v>
      </c>
      <c r="J67" s="148">
        <f>'Control Sheet'!K78</f>
        <v>0</v>
      </c>
    </row>
    <row r="68" spans="2:10" outlineLevel="1" x14ac:dyDescent="0.35">
      <c r="B68" s="147" t="str">
        <f>"Total Cost - % of "&amp;B46&amp;" Sales"</f>
        <v>Total Cost - % of Cereals Sales</v>
      </c>
      <c r="C68" s="147"/>
      <c r="D68" s="147"/>
      <c r="E68" s="155">
        <f>E62/E14</f>
        <v>0.38666666666666666</v>
      </c>
      <c r="F68" s="155">
        <f t="shared" ref="F68:J68" si="29">F62/F14</f>
        <v>0.3754045307443365</v>
      </c>
      <c r="G68" s="155">
        <f t="shared" si="29"/>
        <v>0.36447041819838505</v>
      </c>
      <c r="H68" s="155">
        <f t="shared" si="29"/>
        <v>0.35385477494988837</v>
      </c>
      <c r="I68" s="155">
        <f t="shared" si="29"/>
        <v>0.34354832519406631</v>
      </c>
      <c r="J68" s="155">
        <f t="shared" si="29"/>
        <v>0.33354206329521002</v>
      </c>
    </row>
    <row r="69" spans="2:10" outlineLevel="1" x14ac:dyDescent="0.35">
      <c r="B69" s="144" t="str">
        <f>"Gross Margin - "&amp;B46</f>
        <v>Gross Margin - Cereals</v>
      </c>
      <c r="C69" s="147"/>
      <c r="D69" s="147"/>
      <c r="E69" s="152">
        <f>100%-E68</f>
        <v>0.61333333333333329</v>
      </c>
      <c r="F69" s="152">
        <f t="shared" ref="F69:J69" si="30">100%-F68</f>
        <v>0.62459546925566345</v>
      </c>
      <c r="G69" s="152">
        <f t="shared" si="30"/>
        <v>0.6355295818016149</v>
      </c>
      <c r="H69" s="152">
        <f t="shared" si="30"/>
        <v>0.64614522505011163</v>
      </c>
      <c r="I69" s="152">
        <f t="shared" si="30"/>
        <v>0.65645167480593369</v>
      </c>
      <c r="J69" s="152">
        <f t="shared" si="30"/>
        <v>0.66645793670479003</v>
      </c>
    </row>
    <row r="70" spans="2:10" outlineLevel="1" x14ac:dyDescent="0.35">
      <c r="B70" s="45"/>
    </row>
    <row r="71" spans="2:10" ht="15.5" outlineLevel="1" x14ac:dyDescent="0.35">
      <c r="B71" s="56" t="s">
        <v>58</v>
      </c>
      <c r="C71" s="56"/>
      <c r="D71" s="56"/>
      <c r="E71" s="56"/>
      <c r="F71" s="56"/>
      <c r="G71" s="56"/>
      <c r="H71" s="56"/>
      <c r="I71" s="56"/>
      <c r="J71" s="56"/>
    </row>
    <row r="72" spans="2:10" ht="15.5" outlineLevel="1" x14ac:dyDescent="0.35">
      <c r="B72" s="57"/>
      <c r="C72" s="57"/>
      <c r="D72" s="57"/>
      <c r="E72" s="57"/>
      <c r="F72" s="57"/>
      <c r="G72" s="57"/>
      <c r="H72" s="57"/>
      <c r="I72" s="57"/>
      <c r="J72" s="57"/>
    </row>
    <row r="73" spans="2:10" outlineLevel="1" x14ac:dyDescent="0.35">
      <c r="B73" s="71" t="s">
        <v>88</v>
      </c>
      <c r="C73" s="71"/>
      <c r="D73" s="71"/>
      <c r="E73" s="72">
        <f>E23</f>
        <v>217</v>
      </c>
      <c r="F73" s="72">
        <f t="shared" ref="F73:J73" si="31">F23</f>
        <v>232.19000000000003</v>
      </c>
      <c r="G73" s="72">
        <f t="shared" si="31"/>
        <v>248.44330000000005</v>
      </c>
      <c r="H73" s="72">
        <f t="shared" si="31"/>
        <v>265.83433100000008</v>
      </c>
      <c r="I73" s="72">
        <f t="shared" si="31"/>
        <v>279.12604755000007</v>
      </c>
      <c r="J73" s="72">
        <f t="shared" si="31"/>
        <v>293.0823499275001</v>
      </c>
    </row>
    <row r="74" spans="2:10" outlineLevel="1" x14ac:dyDescent="0.35">
      <c r="E74" s="65"/>
      <c r="F74" s="62"/>
      <c r="G74" s="62"/>
      <c r="H74" s="62"/>
      <c r="I74" s="62"/>
      <c r="J74" s="62"/>
    </row>
    <row r="75" spans="2:10" outlineLevel="1" x14ac:dyDescent="0.35">
      <c r="B75" t="s">
        <v>89</v>
      </c>
      <c r="E75" s="65">
        <v>7.5</v>
      </c>
      <c r="F75" s="62">
        <f>E75*(1+F89)</f>
        <v>7.5</v>
      </c>
      <c r="G75" s="62">
        <f t="shared" ref="G75:J75" si="32">F75*(1+G89)</f>
        <v>7.5</v>
      </c>
      <c r="H75" s="62">
        <f t="shared" si="32"/>
        <v>7.5</v>
      </c>
      <c r="I75" s="62">
        <f t="shared" si="32"/>
        <v>7.5</v>
      </c>
      <c r="J75" s="62">
        <f t="shared" si="32"/>
        <v>7.5</v>
      </c>
    </row>
    <row r="76" spans="2:10" outlineLevel="1" x14ac:dyDescent="0.35">
      <c r="B76" s="60" t="s">
        <v>81</v>
      </c>
      <c r="C76" s="59"/>
      <c r="D76" s="59"/>
      <c r="E76" s="64">
        <f>E75*E73</f>
        <v>1627.5</v>
      </c>
      <c r="F76" s="64">
        <f t="shared" ref="F76" si="33">F75*F73</f>
        <v>1741.4250000000002</v>
      </c>
      <c r="G76" s="64">
        <f t="shared" ref="G76" si="34">G75*G73</f>
        <v>1863.3247500000004</v>
      </c>
      <c r="H76" s="64">
        <f t="shared" ref="H76" si="35">H75*H73</f>
        <v>1993.7574825000006</v>
      </c>
      <c r="I76" s="64">
        <f t="shared" ref="I76" si="36">I75*I73</f>
        <v>2093.4453566250004</v>
      </c>
      <c r="J76" s="64">
        <f t="shared" ref="J76" si="37">J75*J73</f>
        <v>2198.1176244562507</v>
      </c>
    </row>
    <row r="77" spans="2:10" outlineLevel="1" x14ac:dyDescent="0.35"/>
    <row r="78" spans="2:10" outlineLevel="1" x14ac:dyDescent="0.35">
      <c r="B78" t="s">
        <v>90</v>
      </c>
      <c r="E78" s="65">
        <v>2.5</v>
      </c>
      <c r="F78" s="62">
        <f>E78*(1+F90)</f>
        <v>2.5</v>
      </c>
      <c r="G78" s="62">
        <f t="shared" ref="G78:J78" si="38">F78*(1+G90)</f>
        <v>2.5</v>
      </c>
      <c r="H78" s="62">
        <f t="shared" si="38"/>
        <v>2.5</v>
      </c>
      <c r="I78" s="62">
        <f t="shared" si="38"/>
        <v>2.5</v>
      </c>
      <c r="J78" s="62">
        <f t="shared" si="38"/>
        <v>2.5</v>
      </c>
    </row>
    <row r="79" spans="2:10" outlineLevel="1" x14ac:dyDescent="0.35">
      <c r="B79" s="60" t="s">
        <v>83</v>
      </c>
      <c r="C79" s="59"/>
      <c r="D79" s="59"/>
      <c r="E79" s="64">
        <f>E78*E73</f>
        <v>542.5</v>
      </c>
      <c r="F79" s="64">
        <f t="shared" ref="F79" si="39">F78*F73</f>
        <v>580.47500000000002</v>
      </c>
      <c r="G79" s="64">
        <f>G78*G73</f>
        <v>621.10825000000011</v>
      </c>
      <c r="H79" s="64">
        <f>H78*H73</f>
        <v>664.58582750000016</v>
      </c>
      <c r="I79" s="64">
        <f>I78*I73</f>
        <v>697.81511887500017</v>
      </c>
      <c r="J79" s="64">
        <f>J78*J73</f>
        <v>732.70587481875032</v>
      </c>
    </row>
    <row r="80" spans="2:10" outlineLevel="1" x14ac:dyDescent="0.35"/>
    <row r="81" spans="2:10" outlineLevel="1" x14ac:dyDescent="0.35">
      <c r="B81" t="s">
        <v>91</v>
      </c>
      <c r="E81" s="65">
        <v>20</v>
      </c>
      <c r="F81" s="62">
        <f>E81*(1+F91)</f>
        <v>20</v>
      </c>
      <c r="G81" s="62">
        <f t="shared" ref="G81:J81" si="40">F81*(1+G91)</f>
        <v>20</v>
      </c>
      <c r="H81" s="62">
        <f t="shared" si="40"/>
        <v>20</v>
      </c>
      <c r="I81" s="62">
        <f t="shared" si="40"/>
        <v>20</v>
      </c>
      <c r="J81" s="62">
        <f t="shared" si="40"/>
        <v>20</v>
      </c>
    </row>
    <row r="82" spans="2:10" outlineLevel="1" x14ac:dyDescent="0.35">
      <c r="B82" s="60" t="s">
        <v>85</v>
      </c>
      <c r="C82" s="59"/>
      <c r="D82" s="59"/>
      <c r="E82" s="64">
        <f>E81*E73</f>
        <v>4340</v>
      </c>
      <c r="F82" s="64">
        <f t="shared" ref="F82" si="41">F81*F73</f>
        <v>4643.8</v>
      </c>
      <c r="G82" s="64">
        <f t="shared" ref="G82" si="42">G81*G73</f>
        <v>4968.8660000000009</v>
      </c>
      <c r="H82" s="64">
        <f t="shared" ref="H82" si="43">H81*H73</f>
        <v>5316.6866200000013</v>
      </c>
      <c r="I82" s="64">
        <f t="shared" ref="I82" si="44">I81*I73</f>
        <v>5582.5209510000013</v>
      </c>
      <c r="J82" s="64">
        <f t="shared" ref="J82" si="45">J81*J73</f>
        <v>5861.6469985500025</v>
      </c>
    </row>
    <row r="83" spans="2:10" outlineLevel="1" x14ac:dyDescent="0.35"/>
    <row r="84" spans="2:10" outlineLevel="1" x14ac:dyDescent="0.35">
      <c r="B84" t="s">
        <v>92</v>
      </c>
      <c r="E84" s="65">
        <v>5</v>
      </c>
      <c r="F84" s="62">
        <f>E84*(1+F92)</f>
        <v>5</v>
      </c>
      <c r="G84" s="62">
        <f t="shared" ref="G84:J84" si="46">F84*(1+G92)</f>
        <v>5</v>
      </c>
      <c r="H84" s="62">
        <f t="shared" si="46"/>
        <v>5</v>
      </c>
      <c r="I84" s="62">
        <f t="shared" si="46"/>
        <v>5</v>
      </c>
      <c r="J84" s="62">
        <f t="shared" si="46"/>
        <v>5</v>
      </c>
    </row>
    <row r="85" spans="2:10" outlineLevel="1" x14ac:dyDescent="0.35">
      <c r="B85" s="60" t="s">
        <v>87</v>
      </c>
      <c r="C85" s="59"/>
      <c r="D85" s="59"/>
      <c r="E85" s="64">
        <f>E84*E73</f>
        <v>1085</v>
      </c>
      <c r="F85" s="64">
        <f t="shared" ref="F85" si="47">F84*F73</f>
        <v>1160.95</v>
      </c>
      <c r="G85" s="64">
        <f t="shared" ref="G85" si="48">G84*G73</f>
        <v>1242.2165000000002</v>
      </c>
      <c r="H85" s="64">
        <f t="shared" ref="H85" si="49">H84*H73</f>
        <v>1329.1716550000003</v>
      </c>
      <c r="I85" s="64">
        <f t="shared" ref="I85" si="50">I84*I73</f>
        <v>1395.6302377500003</v>
      </c>
      <c r="J85" s="64">
        <f t="shared" ref="J85" si="51">J84*J73</f>
        <v>1465.4117496375006</v>
      </c>
    </row>
    <row r="86" spans="2:10" outlineLevel="1" x14ac:dyDescent="0.35"/>
    <row r="87" spans="2:10" ht="15" outlineLevel="1" thickBot="1" x14ac:dyDescent="0.4">
      <c r="B87" s="68" t="str">
        <f>"Total COGS - "&amp;B71</f>
        <v>Total COGS - Pickles</v>
      </c>
      <c r="C87" s="67"/>
      <c r="D87" s="67"/>
      <c r="E87" s="69">
        <f>E85+E82+E79+E76</f>
        <v>7595</v>
      </c>
      <c r="F87" s="69">
        <f t="shared" ref="F87" si="52">F85+F82+F79+F76</f>
        <v>8126.6500000000005</v>
      </c>
      <c r="G87" s="69">
        <f>G85+G82+G79+G76</f>
        <v>8695.5155000000013</v>
      </c>
      <c r="H87" s="69">
        <f>H85+H82+H79+H76</f>
        <v>9304.2015850000025</v>
      </c>
      <c r="I87" s="69">
        <f>I85+I82+I79+I76</f>
        <v>9769.4116642500012</v>
      </c>
      <c r="J87" s="69">
        <f>J85+J82+J79+J76</f>
        <v>10257.882247462503</v>
      </c>
    </row>
    <row r="88" spans="2:10" outlineLevel="1" x14ac:dyDescent="0.35">
      <c r="B88" s="45"/>
    </row>
    <row r="89" spans="2:10" outlineLevel="1" x14ac:dyDescent="0.35">
      <c r="B89" s="147" t="s">
        <v>93</v>
      </c>
      <c r="C89" s="147"/>
      <c r="D89" s="147"/>
      <c r="E89" s="147"/>
      <c r="F89" s="148">
        <f>'Control Sheet'!G86</f>
        <v>0</v>
      </c>
      <c r="G89" s="148">
        <f>'Control Sheet'!H86</f>
        <v>0</v>
      </c>
      <c r="H89" s="148">
        <f>'Control Sheet'!I86</f>
        <v>0</v>
      </c>
      <c r="I89" s="148">
        <f>'Control Sheet'!J86</f>
        <v>0</v>
      </c>
      <c r="J89" s="148">
        <f>'Control Sheet'!K86</f>
        <v>0</v>
      </c>
    </row>
    <row r="90" spans="2:10" outlineLevel="1" x14ac:dyDescent="0.35">
      <c r="B90" s="147" t="s">
        <v>94</v>
      </c>
      <c r="C90" s="147"/>
      <c r="D90" s="147"/>
      <c r="E90" s="147"/>
      <c r="F90" s="148">
        <f>'Control Sheet'!G92</f>
        <v>0</v>
      </c>
      <c r="G90" s="148">
        <f>'Control Sheet'!H92</f>
        <v>0</v>
      </c>
      <c r="H90" s="148">
        <f>'Control Sheet'!I92</f>
        <v>0</v>
      </c>
      <c r="I90" s="148">
        <f>'Control Sheet'!J92</f>
        <v>0</v>
      </c>
      <c r="J90" s="148">
        <f>'Control Sheet'!K92</f>
        <v>0</v>
      </c>
    </row>
    <row r="91" spans="2:10" outlineLevel="1" x14ac:dyDescent="0.35">
      <c r="B91" s="147" t="s">
        <v>95</v>
      </c>
      <c r="C91" s="147"/>
      <c r="D91" s="147"/>
      <c r="E91" s="147"/>
      <c r="F91" s="148">
        <f>'Control Sheet'!G98</f>
        <v>0</v>
      </c>
      <c r="G91" s="148">
        <f>'Control Sheet'!H98</f>
        <v>0</v>
      </c>
      <c r="H91" s="148">
        <f>'Control Sheet'!I98</f>
        <v>0</v>
      </c>
      <c r="I91" s="148">
        <f>'Control Sheet'!J98</f>
        <v>0</v>
      </c>
      <c r="J91" s="148">
        <f>'Control Sheet'!K98</f>
        <v>0</v>
      </c>
    </row>
    <row r="92" spans="2:10" outlineLevel="1" x14ac:dyDescent="0.35">
      <c r="B92" s="147" t="s">
        <v>96</v>
      </c>
      <c r="C92" s="147"/>
      <c r="D92" s="147"/>
      <c r="E92" s="147"/>
      <c r="F92" s="148">
        <f>'Control Sheet'!G104</f>
        <v>0</v>
      </c>
      <c r="G92" s="148">
        <f>'Control Sheet'!H104</f>
        <v>0</v>
      </c>
      <c r="H92" s="148">
        <f>'Control Sheet'!I104</f>
        <v>0</v>
      </c>
      <c r="I92" s="148">
        <f>'Control Sheet'!J104</f>
        <v>0</v>
      </c>
      <c r="J92" s="148">
        <f>'Control Sheet'!K104</f>
        <v>0</v>
      </c>
    </row>
    <row r="93" spans="2:10" outlineLevel="1" x14ac:dyDescent="0.35">
      <c r="B93" s="147" t="str">
        <f>"Total Cost - % of "&amp;B71&amp;" Sales"</f>
        <v>Total Cost - % of Pickles Sales</v>
      </c>
      <c r="C93" s="147"/>
      <c r="D93" s="147"/>
      <c r="E93" s="155">
        <f>E87/E24</f>
        <v>0.7</v>
      </c>
      <c r="F93" s="155">
        <f t="shared" ref="F93:J93" si="53">F87/F24</f>
        <v>0.68627450980392157</v>
      </c>
      <c r="G93" s="155">
        <f t="shared" si="53"/>
        <v>0.67281814686658969</v>
      </c>
      <c r="H93" s="155">
        <f t="shared" si="53"/>
        <v>0.65962563418293108</v>
      </c>
      <c r="I93" s="155">
        <f t="shared" si="53"/>
        <v>0.64669179821855982</v>
      </c>
      <c r="J93" s="155">
        <f t="shared" si="53"/>
        <v>0.63401156688094107</v>
      </c>
    </row>
    <row r="94" spans="2:10" outlineLevel="1" x14ac:dyDescent="0.35">
      <c r="B94" s="144" t="str">
        <f>"Gross Margin - "&amp;B71</f>
        <v>Gross Margin - Pickles</v>
      </c>
      <c r="C94" s="147"/>
      <c r="D94" s="147"/>
      <c r="E94" s="152">
        <f>100%-E93</f>
        <v>0.30000000000000004</v>
      </c>
      <c r="F94" s="152">
        <f t="shared" ref="F94:J94" si="54">100%-F93</f>
        <v>0.31372549019607843</v>
      </c>
      <c r="G94" s="152">
        <f t="shared" si="54"/>
        <v>0.32718185313341031</v>
      </c>
      <c r="H94" s="152">
        <f t="shared" si="54"/>
        <v>0.34037436581706892</v>
      </c>
      <c r="I94" s="152">
        <f t="shared" si="54"/>
        <v>0.35330820178144018</v>
      </c>
      <c r="J94" s="152">
        <f t="shared" si="54"/>
        <v>0.36598843311905893</v>
      </c>
    </row>
    <row r="95" spans="2:10" outlineLevel="1" x14ac:dyDescent="0.35"/>
    <row r="96" spans="2:10" ht="15.5" outlineLevel="1" x14ac:dyDescent="0.35">
      <c r="B96" s="56" t="s">
        <v>60</v>
      </c>
      <c r="C96" s="56"/>
      <c r="D96" s="56"/>
      <c r="E96" s="56"/>
      <c r="F96" s="56"/>
      <c r="G96" s="56"/>
      <c r="H96" s="56"/>
      <c r="I96" s="56"/>
      <c r="J96" s="56"/>
    </row>
    <row r="97" spans="2:10" ht="15.5" outlineLevel="1" x14ac:dyDescent="0.35">
      <c r="B97" s="57"/>
      <c r="C97" s="57"/>
      <c r="D97" s="57"/>
      <c r="E97" s="57"/>
      <c r="F97" s="57"/>
      <c r="G97" s="57"/>
      <c r="H97" s="57"/>
      <c r="I97" s="57"/>
      <c r="J97" s="57"/>
    </row>
    <row r="98" spans="2:10" outlineLevel="1" x14ac:dyDescent="0.35">
      <c r="B98" s="71" t="s">
        <v>88</v>
      </c>
      <c r="C98" s="71"/>
      <c r="D98" s="71"/>
      <c r="E98" s="72">
        <f>E33</f>
        <v>177</v>
      </c>
      <c r="F98" s="72">
        <f t="shared" ref="F98:J98" si="55">F33</f>
        <v>185.85</v>
      </c>
      <c r="G98" s="72">
        <f t="shared" si="55"/>
        <v>195.14250000000001</v>
      </c>
      <c r="H98" s="72">
        <f t="shared" si="55"/>
        <v>204.89962500000001</v>
      </c>
      <c r="I98" s="72">
        <f t="shared" si="55"/>
        <v>211.04661375000003</v>
      </c>
      <c r="J98" s="72">
        <f t="shared" si="55"/>
        <v>217.37801216250003</v>
      </c>
    </row>
    <row r="99" spans="2:10" outlineLevel="1" x14ac:dyDescent="0.35">
      <c r="E99" s="65"/>
      <c r="F99" s="62"/>
      <c r="G99" s="62"/>
      <c r="H99" s="62"/>
      <c r="I99" s="62"/>
      <c r="J99" s="62"/>
    </row>
    <row r="100" spans="2:10" outlineLevel="1" x14ac:dyDescent="0.35">
      <c r="B100" t="s">
        <v>89</v>
      </c>
      <c r="E100" s="65">
        <v>5</v>
      </c>
      <c r="F100" s="62">
        <f>E100*(1+F116)</f>
        <v>5</v>
      </c>
      <c r="G100" s="62">
        <f t="shared" ref="G100:J100" si="56">F100*(1+G116)</f>
        <v>5</v>
      </c>
      <c r="H100" s="62">
        <f t="shared" si="56"/>
        <v>5</v>
      </c>
      <c r="I100" s="62">
        <f t="shared" si="56"/>
        <v>5</v>
      </c>
      <c r="J100" s="62">
        <f t="shared" si="56"/>
        <v>5</v>
      </c>
    </row>
    <row r="101" spans="2:10" outlineLevel="1" x14ac:dyDescent="0.35">
      <c r="B101" s="60" t="s">
        <v>81</v>
      </c>
      <c r="C101" s="59"/>
      <c r="D101" s="59"/>
      <c r="E101" s="64">
        <f>E100*E98</f>
        <v>885</v>
      </c>
      <c r="F101" s="64">
        <f t="shared" ref="F101" si="57">F100*F98</f>
        <v>929.25</v>
      </c>
      <c r="G101" s="64">
        <f t="shared" ref="G101" si="58">G100*G98</f>
        <v>975.71250000000009</v>
      </c>
      <c r="H101" s="64">
        <f t="shared" ref="H101" si="59">H100*H98</f>
        <v>1024.4981250000001</v>
      </c>
      <c r="I101" s="64">
        <f t="shared" ref="I101" si="60">I100*I98</f>
        <v>1055.2330687500003</v>
      </c>
      <c r="J101" s="64">
        <f t="shared" ref="J101" si="61">J100*J98</f>
        <v>1086.8900608125002</v>
      </c>
    </row>
    <row r="102" spans="2:10" outlineLevel="1" x14ac:dyDescent="0.35"/>
    <row r="103" spans="2:10" outlineLevel="1" x14ac:dyDescent="0.35">
      <c r="B103" t="s">
        <v>90</v>
      </c>
      <c r="E103" s="65">
        <v>2.5</v>
      </c>
      <c r="F103" s="62">
        <f>E103*(1+F117)</f>
        <v>2.5</v>
      </c>
      <c r="G103" s="62">
        <f t="shared" ref="G103:J103" si="62">F103*(1+G117)</f>
        <v>2.5</v>
      </c>
      <c r="H103" s="62">
        <f t="shared" si="62"/>
        <v>2.5</v>
      </c>
      <c r="I103" s="62">
        <f t="shared" si="62"/>
        <v>2.5</v>
      </c>
      <c r="J103" s="62">
        <f t="shared" si="62"/>
        <v>2.5</v>
      </c>
    </row>
    <row r="104" spans="2:10" outlineLevel="1" x14ac:dyDescent="0.35">
      <c r="B104" s="60" t="s">
        <v>83</v>
      </c>
      <c r="C104" s="59"/>
      <c r="D104" s="59"/>
      <c r="E104" s="64">
        <f>E103*E98</f>
        <v>442.5</v>
      </c>
      <c r="F104" s="64">
        <f t="shared" ref="F104" si="63">F103*F98</f>
        <v>464.625</v>
      </c>
      <c r="G104" s="64">
        <f>G103*G98</f>
        <v>487.85625000000005</v>
      </c>
      <c r="H104" s="64">
        <f>H103*H98</f>
        <v>512.24906250000004</v>
      </c>
      <c r="I104" s="64">
        <f>I103*I98</f>
        <v>527.61653437500013</v>
      </c>
      <c r="J104" s="64">
        <f>J103*J98</f>
        <v>543.44503040625011</v>
      </c>
    </row>
    <row r="105" spans="2:10" outlineLevel="1" x14ac:dyDescent="0.35"/>
    <row r="106" spans="2:10" outlineLevel="1" x14ac:dyDescent="0.35">
      <c r="B106" t="s">
        <v>91</v>
      </c>
      <c r="E106" s="65">
        <v>2.5</v>
      </c>
      <c r="F106" s="62">
        <f>E106*(1+F118)</f>
        <v>2.5</v>
      </c>
      <c r="G106" s="62">
        <f t="shared" ref="G106:J106" si="64">F106*(1+G118)</f>
        <v>2.5</v>
      </c>
      <c r="H106" s="62">
        <f t="shared" si="64"/>
        <v>2.5</v>
      </c>
      <c r="I106" s="62">
        <f t="shared" si="64"/>
        <v>2.5</v>
      </c>
      <c r="J106" s="62">
        <f t="shared" si="64"/>
        <v>2.5</v>
      </c>
    </row>
    <row r="107" spans="2:10" outlineLevel="1" x14ac:dyDescent="0.35">
      <c r="B107" s="60" t="s">
        <v>85</v>
      </c>
      <c r="C107" s="59"/>
      <c r="D107" s="59"/>
      <c r="E107" s="64">
        <f>E106*E98</f>
        <v>442.5</v>
      </c>
      <c r="F107" s="64">
        <f t="shared" ref="F107" si="65">F106*F98</f>
        <v>464.625</v>
      </c>
      <c r="G107" s="64">
        <f t="shared" ref="G107" si="66">G106*G98</f>
        <v>487.85625000000005</v>
      </c>
      <c r="H107" s="64">
        <f t="shared" ref="H107" si="67">H106*H98</f>
        <v>512.24906250000004</v>
      </c>
      <c r="I107" s="64">
        <f t="shared" ref="I107" si="68">I106*I98</f>
        <v>527.61653437500013</v>
      </c>
      <c r="J107" s="64">
        <f t="shared" ref="J107" si="69">J106*J98</f>
        <v>543.44503040625011</v>
      </c>
    </row>
    <row r="108" spans="2:10" outlineLevel="1" x14ac:dyDescent="0.35"/>
    <row r="109" spans="2:10" outlineLevel="1" x14ac:dyDescent="0.35">
      <c r="B109" t="s">
        <v>92</v>
      </c>
      <c r="E109" s="65">
        <v>10</v>
      </c>
      <c r="F109" s="62">
        <f>E109*(1+F119)</f>
        <v>10</v>
      </c>
      <c r="G109" s="62">
        <f t="shared" ref="G109:J109" si="70">F109*(1+G119)</f>
        <v>10</v>
      </c>
      <c r="H109" s="62">
        <f t="shared" si="70"/>
        <v>10</v>
      </c>
      <c r="I109" s="62">
        <f t="shared" si="70"/>
        <v>10</v>
      </c>
      <c r="J109" s="62">
        <f t="shared" si="70"/>
        <v>10</v>
      </c>
    </row>
    <row r="110" spans="2:10" outlineLevel="1" x14ac:dyDescent="0.35">
      <c r="B110" s="60" t="s">
        <v>87</v>
      </c>
      <c r="C110" s="59"/>
      <c r="D110" s="59"/>
      <c r="E110" s="64">
        <f>E109*E98</f>
        <v>1770</v>
      </c>
      <c r="F110" s="64">
        <f t="shared" ref="F110" si="71">F109*F98</f>
        <v>1858.5</v>
      </c>
      <c r="G110" s="64">
        <f t="shared" ref="G110" si="72">G109*G98</f>
        <v>1951.4250000000002</v>
      </c>
      <c r="H110" s="64">
        <f t="shared" ref="H110" si="73">H109*H98</f>
        <v>2048.9962500000001</v>
      </c>
      <c r="I110" s="64">
        <f t="shared" ref="I110" si="74">I109*I98</f>
        <v>2110.4661375000005</v>
      </c>
      <c r="J110" s="64">
        <f t="shared" ref="J110" si="75">J109*J98</f>
        <v>2173.7801216250004</v>
      </c>
    </row>
    <row r="111" spans="2:10" outlineLevel="1" x14ac:dyDescent="0.35">
      <c r="B111" s="45"/>
      <c r="E111" s="73"/>
      <c r="F111" s="73"/>
      <c r="G111" s="73"/>
      <c r="H111" s="73"/>
      <c r="I111" s="73"/>
      <c r="J111" s="73"/>
    </row>
    <row r="112" spans="2:10" outlineLevel="1" x14ac:dyDescent="0.35">
      <c r="B112" s="45" t="s">
        <v>97</v>
      </c>
      <c r="E112" s="73">
        <f>E120*E34</f>
        <v>796.5</v>
      </c>
      <c r="F112" s="73">
        <f>F34*F120</f>
        <v>844.68825000000004</v>
      </c>
      <c r="G112" s="73">
        <f t="shared" ref="G112:J112" si="76">G34*G120</f>
        <v>895.79188912500013</v>
      </c>
      <c r="H112" s="73">
        <f t="shared" si="76"/>
        <v>949.98729841706268</v>
      </c>
      <c r="I112" s="73">
        <f t="shared" si="76"/>
        <v>988.27178654327031</v>
      </c>
      <c r="J112" s="73">
        <f t="shared" si="76"/>
        <v>1028.0991395409642</v>
      </c>
    </row>
    <row r="113" spans="1:10" outlineLevel="1" x14ac:dyDescent="0.35"/>
    <row r="114" spans="1:10" ht="15" outlineLevel="1" thickBot="1" x14ac:dyDescent="0.4">
      <c r="B114" s="68" t="str">
        <f>"Total COGS - "&amp;B96</f>
        <v>Total COGS - Sauces</v>
      </c>
      <c r="C114" s="67"/>
      <c r="D114" s="67"/>
      <c r="E114" s="69">
        <f>E110+E107+E104+E101+E112</f>
        <v>4336.5</v>
      </c>
      <c r="F114" s="69">
        <f t="shared" ref="F114:J114" si="77">F110+F107+F104+F101+F112</f>
        <v>4561.6882500000002</v>
      </c>
      <c r="G114" s="69">
        <f t="shared" si="77"/>
        <v>4798.6418891249996</v>
      </c>
      <c r="H114" s="69">
        <f t="shared" si="77"/>
        <v>5047.9797984170627</v>
      </c>
      <c r="I114" s="69">
        <f t="shared" si="77"/>
        <v>5209.2040615432716</v>
      </c>
      <c r="J114" s="69">
        <f t="shared" si="77"/>
        <v>5375.6593827909655</v>
      </c>
    </row>
    <row r="115" spans="1:10" outlineLevel="1" x14ac:dyDescent="0.35">
      <c r="B115" s="45"/>
    </row>
    <row r="116" spans="1:10" outlineLevel="1" x14ac:dyDescent="0.35">
      <c r="B116" s="147" t="s">
        <v>93</v>
      </c>
      <c r="C116" s="147"/>
      <c r="D116" s="147"/>
      <c r="E116" s="147"/>
      <c r="F116" s="148">
        <f>'Control Sheet'!G112</f>
        <v>0</v>
      </c>
      <c r="G116" s="148">
        <f>'Control Sheet'!H112</f>
        <v>0</v>
      </c>
      <c r="H116" s="148">
        <f>'Control Sheet'!I112</f>
        <v>0</v>
      </c>
      <c r="I116" s="148">
        <f>'Control Sheet'!J112</f>
        <v>0</v>
      </c>
      <c r="J116" s="148">
        <f>'Control Sheet'!K112</f>
        <v>0</v>
      </c>
    </row>
    <row r="117" spans="1:10" outlineLevel="1" x14ac:dyDescent="0.35">
      <c r="B117" s="147" t="s">
        <v>94</v>
      </c>
      <c r="C117" s="147"/>
      <c r="D117" s="147"/>
      <c r="E117" s="147"/>
      <c r="F117" s="148">
        <f>'Control Sheet'!G118</f>
        <v>0</v>
      </c>
      <c r="G117" s="148">
        <f>'Control Sheet'!H118</f>
        <v>0</v>
      </c>
      <c r="H117" s="148">
        <f>'Control Sheet'!I118</f>
        <v>0</v>
      </c>
      <c r="I117" s="148">
        <f>'Control Sheet'!J118</f>
        <v>0</v>
      </c>
      <c r="J117" s="148">
        <f>'Control Sheet'!K118</f>
        <v>0</v>
      </c>
    </row>
    <row r="118" spans="1:10" outlineLevel="1" x14ac:dyDescent="0.35">
      <c r="B118" s="147" t="s">
        <v>95</v>
      </c>
      <c r="C118" s="147"/>
      <c r="D118" s="147"/>
      <c r="E118" s="147"/>
      <c r="F118" s="148">
        <f>'Control Sheet'!G124</f>
        <v>0</v>
      </c>
      <c r="G118" s="148">
        <f>'Control Sheet'!H124</f>
        <v>0</v>
      </c>
      <c r="H118" s="148">
        <f>'Control Sheet'!I124</f>
        <v>0</v>
      </c>
      <c r="I118" s="148">
        <f>'Control Sheet'!J124</f>
        <v>0</v>
      </c>
      <c r="J118" s="148">
        <f>'Control Sheet'!K124</f>
        <v>0</v>
      </c>
    </row>
    <row r="119" spans="1:10" outlineLevel="1" x14ac:dyDescent="0.35">
      <c r="B119" s="147" t="s">
        <v>96</v>
      </c>
      <c r="C119" s="147"/>
      <c r="D119" s="147"/>
      <c r="E119" s="147"/>
      <c r="F119" s="148">
        <f>'Control Sheet'!G130</f>
        <v>0</v>
      </c>
      <c r="G119" s="148">
        <f>'Control Sheet'!H130</f>
        <v>0</v>
      </c>
      <c r="H119" s="148">
        <f>'Control Sheet'!I130</f>
        <v>0</v>
      </c>
      <c r="I119" s="148">
        <f>'Control Sheet'!J130</f>
        <v>0</v>
      </c>
      <c r="J119" s="148">
        <f>'Control Sheet'!K130</f>
        <v>0</v>
      </c>
    </row>
    <row r="120" spans="1:10" outlineLevel="1" x14ac:dyDescent="0.35">
      <c r="B120" s="147" t="s">
        <v>98</v>
      </c>
      <c r="C120" s="147"/>
      <c r="D120" s="147"/>
      <c r="E120" s="156">
        <v>0.15</v>
      </c>
      <c r="F120" s="148">
        <f>'Control Sheet'!G136</f>
        <v>0.15</v>
      </c>
      <c r="G120" s="148">
        <f>'Control Sheet'!H136</f>
        <v>0.15</v>
      </c>
      <c r="H120" s="148">
        <f>'Control Sheet'!I136</f>
        <v>0.15</v>
      </c>
      <c r="I120" s="148">
        <f>'Control Sheet'!J136</f>
        <v>0.15</v>
      </c>
      <c r="J120" s="148">
        <f>'Control Sheet'!K136</f>
        <v>0.15</v>
      </c>
    </row>
    <row r="121" spans="1:10" outlineLevel="1" x14ac:dyDescent="0.35">
      <c r="B121" s="147" t="str">
        <f>"Total Cost - % of "&amp;B96&amp;" Sales"</f>
        <v>Total Cost - % of Sauces Sales</v>
      </c>
      <c r="C121" s="147"/>
      <c r="D121" s="147"/>
      <c r="E121" s="155">
        <f>E114/E34</f>
        <v>0.81666666666666665</v>
      </c>
      <c r="F121" s="155">
        <f t="shared" ref="F121:J121" si="78">F114/F34</f>
        <v>0.81006600660066008</v>
      </c>
      <c r="G121" s="155">
        <f t="shared" si="78"/>
        <v>0.80353069960461376</v>
      </c>
      <c r="H121" s="155">
        <f t="shared" si="78"/>
        <v>0.79706009861842952</v>
      </c>
      <c r="I121" s="155">
        <f t="shared" si="78"/>
        <v>0.79065356298854428</v>
      </c>
      <c r="J121" s="155">
        <f t="shared" si="78"/>
        <v>0.7843104584044992</v>
      </c>
    </row>
    <row r="122" spans="1:10" outlineLevel="1" x14ac:dyDescent="0.35">
      <c r="B122" s="144" t="str">
        <f>"Gross Margin - "&amp;B96</f>
        <v>Gross Margin - Sauces</v>
      </c>
      <c r="C122" s="147"/>
      <c r="D122" s="147"/>
      <c r="E122" s="152">
        <f>100%-E121</f>
        <v>0.18333333333333335</v>
      </c>
      <c r="F122" s="152">
        <f t="shared" ref="F122:J122" si="79">100%-F121</f>
        <v>0.18993399339933992</v>
      </c>
      <c r="G122" s="152">
        <f t="shared" si="79"/>
        <v>0.19646930039538624</v>
      </c>
      <c r="H122" s="152">
        <f t="shared" si="79"/>
        <v>0.20293990138157048</v>
      </c>
      <c r="I122" s="152">
        <f t="shared" si="79"/>
        <v>0.20934643701145572</v>
      </c>
      <c r="J122" s="152">
        <f t="shared" si="79"/>
        <v>0.2156895415955008</v>
      </c>
    </row>
    <row r="123" spans="1:10" outlineLevel="1" x14ac:dyDescent="0.35">
      <c r="B123" s="45"/>
      <c r="E123" s="75"/>
      <c r="F123" s="75"/>
      <c r="G123" s="75"/>
      <c r="H123" s="75"/>
      <c r="I123" s="75"/>
      <c r="J123" s="75"/>
    </row>
    <row r="124" spans="1:10" ht="15" outlineLevel="1" thickBot="1" x14ac:dyDescent="0.4">
      <c r="B124" s="68" t="s">
        <v>182</v>
      </c>
      <c r="C124" s="68"/>
      <c r="D124" s="68"/>
      <c r="E124" s="69">
        <f t="shared" ref="E124:J124" si="80">E114+E87+E62</f>
        <v>28113.5</v>
      </c>
      <c r="F124" s="69">
        <f t="shared" si="80"/>
        <v>30164.898249999998</v>
      </c>
      <c r="G124" s="69">
        <f t="shared" si="80"/>
        <v>32368.842189125004</v>
      </c>
      <c r="H124" s="69">
        <f t="shared" si="80"/>
        <v>34736.840967417069</v>
      </c>
      <c r="I124" s="69">
        <f t="shared" si="80"/>
        <v>36790.201480673277</v>
      </c>
      <c r="J124" s="69">
        <f t="shared" si="80"/>
        <v>38971.938387975075</v>
      </c>
    </row>
    <row r="125" spans="1:10" outlineLevel="1" x14ac:dyDescent="0.35">
      <c r="B125" s="45" t="s">
        <v>183</v>
      </c>
      <c r="C125" s="45"/>
      <c r="D125" s="45"/>
      <c r="E125" s="75">
        <f>E124/E41</f>
        <v>0.48463196000689535</v>
      </c>
      <c r="F125" s="75">
        <f t="shared" ref="F125:J125" si="81">F124/F41</f>
        <v>0.47112862432710878</v>
      </c>
      <c r="G125" s="75">
        <f t="shared" si="81"/>
        <v>0.45794659889720934</v>
      </c>
      <c r="H125" s="75">
        <f t="shared" si="81"/>
        <v>0.44508196391714261</v>
      </c>
      <c r="I125" s="75">
        <f t="shared" si="81"/>
        <v>0.43188914035941994</v>
      </c>
      <c r="J125" s="75">
        <f t="shared" si="81"/>
        <v>0.4190319286363795</v>
      </c>
    </row>
    <row r="126" spans="1:10" outlineLevel="1" x14ac:dyDescent="0.35">
      <c r="B126" s="45" t="s">
        <v>184</v>
      </c>
      <c r="C126" s="45"/>
      <c r="D126" s="45"/>
      <c r="E126" s="75">
        <f>100%-E125</f>
        <v>0.51536803999310465</v>
      </c>
      <c r="F126" s="75">
        <f t="shared" ref="F126:J126" si="82">100%-F125</f>
        <v>0.52887137567289122</v>
      </c>
      <c r="G126" s="75">
        <f t="shared" si="82"/>
        <v>0.54205340110279066</v>
      </c>
      <c r="H126" s="75">
        <f t="shared" si="82"/>
        <v>0.55491803608285739</v>
      </c>
      <c r="I126" s="75">
        <f t="shared" si="82"/>
        <v>0.56811085964058006</v>
      </c>
      <c r="J126" s="75">
        <f t="shared" si="82"/>
        <v>0.5809680713636205</v>
      </c>
    </row>
    <row r="128" spans="1:10" ht="18.5" x14ac:dyDescent="0.45">
      <c r="A128" s="46" t="s">
        <v>52</v>
      </c>
      <c r="B128" s="54" t="s">
        <v>111</v>
      </c>
      <c r="C128" s="55"/>
      <c r="D128" s="55"/>
      <c r="E128" s="55"/>
      <c r="F128" s="55"/>
      <c r="G128" s="55"/>
      <c r="H128" s="55"/>
      <c r="I128" s="55"/>
      <c r="J128" s="55"/>
    </row>
    <row r="129" spans="2:10" outlineLevel="1" x14ac:dyDescent="0.35"/>
    <row r="130" spans="2:10" ht="15.5" outlineLevel="1" x14ac:dyDescent="0.35">
      <c r="B130" s="56" t="s">
        <v>112</v>
      </c>
      <c r="C130" s="56"/>
      <c r="D130" s="56"/>
      <c r="E130" s="56"/>
      <c r="F130" s="56"/>
      <c r="G130" s="56"/>
      <c r="H130" s="56"/>
      <c r="I130" s="56"/>
      <c r="J130" s="56"/>
    </row>
    <row r="131" spans="2:10" ht="15.5" outlineLevel="1" x14ac:dyDescent="0.35">
      <c r="B131" s="57"/>
      <c r="C131" s="57"/>
      <c r="D131" s="57"/>
      <c r="E131" s="57"/>
      <c r="F131" s="57"/>
      <c r="G131" s="57"/>
      <c r="H131" s="57"/>
      <c r="I131" s="57"/>
      <c r="J131" s="57"/>
    </row>
    <row r="132" spans="2:10" outlineLevel="1" x14ac:dyDescent="0.35">
      <c r="B132" t="s">
        <v>113</v>
      </c>
      <c r="E132" s="76">
        <v>980</v>
      </c>
      <c r="F132" s="62">
        <f>E132*(1+F136)</f>
        <v>980</v>
      </c>
      <c r="G132" s="62">
        <f t="shared" ref="G132:J132" si="83">F132*(1+G136)</f>
        <v>980</v>
      </c>
      <c r="H132" s="62">
        <f t="shared" si="83"/>
        <v>980</v>
      </c>
      <c r="I132" s="62">
        <f t="shared" si="83"/>
        <v>980</v>
      </c>
      <c r="J132" s="62">
        <f t="shared" si="83"/>
        <v>980</v>
      </c>
    </row>
    <row r="133" spans="2:10" outlineLevel="1" x14ac:dyDescent="0.35">
      <c r="B133" t="s">
        <v>114</v>
      </c>
      <c r="E133" s="66">
        <v>294</v>
      </c>
      <c r="F133" s="63">
        <f>E133*(1+F137)</f>
        <v>294</v>
      </c>
      <c r="G133" s="63">
        <f t="shared" ref="G133:J133" si="84">F133*(1+G137)</f>
        <v>294</v>
      </c>
      <c r="H133" s="63">
        <f t="shared" si="84"/>
        <v>294</v>
      </c>
      <c r="I133" s="63">
        <f t="shared" si="84"/>
        <v>294</v>
      </c>
      <c r="J133" s="63">
        <f t="shared" si="84"/>
        <v>294</v>
      </c>
    </row>
    <row r="134" spans="2:10" outlineLevel="1" x14ac:dyDescent="0.35">
      <c r="B134" s="60" t="str">
        <f>"Total "&amp;B130</f>
        <v>Total Rent - Current Factories</v>
      </c>
      <c r="C134" s="59"/>
      <c r="D134" s="59"/>
      <c r="E134" s="64">
        <f>E133+E132</f>
        <v>1274</v>
      </c>
      <c r="F134" s="64">
        <f t="shared" ref="F134:J134" si="85">F133+F132</f>
        <v>1274</v>
      </c>
      <c r="G134" s="64">
        <f t="shared" si="85"/>
        <v>1274</v>
      </c>
      <c r="H134" s="64">
        <f t="shared" si="85"/>
        <v>1274</v>
      </c>
      <c r="I134" s="64">
        <f t="shared" si="85"/>
        <v>1274</v>
      </c>
      <c r="J134" s="64">
        <f t="shared" si="85"/>
        <v>1274</v>
      </c>
    </row>
    <row r="135" spans="2:10" outlineLevel="1" x14ac:dyDescent="0.35"/>
    <row r="136" spans="2:10" outlineLevel="1" x14ac:dyDescent="0.35">
      <c r="B136" s="147" t="s">
        <v>115</v>
      </c>
      <c r="C136" s="147"/>
      <c r="D136" s="147"/>
      <c r="E136" s="147"/>
      <c r="F136" s="148">
        <f>'Control Sheet'!G146</f>
        <v>0</v>
      </c>
      <c r="G136" s="148">
        <f>'Control Sheet'!H146</f>
        <v>0</v>
      </c>
      <c r="H136" s="148">
        <f>'Control Sheet'!I146</f>
        <v>0</v>
      </c>
      <c r="I136" s="148">
        <f>'Control Sheet'!J146</f>
        <v>0</v>
      </c>
      <c r="J136" s="148">
        <f>'Control Sheet'!K146</f>
        <v>0</v>
      </c>
    </row>
    <row r="137" spans="2:10" outlineLevel="1" x14ac:dyDescent="0.35">
      <c r="B137" s="147" t="s">
        <v>116</v>
      </c>
      <c r="C137" s="147"/>
      <c r="D137" s="147"/>
      <c r="E137" s="147"/>
      <c r="F137" s="148">
        <f>'Control Sheet'!G152</f>
        <v>0</v>
      </c>
      <c r="G137" s="148">
        <f>'Control Sheet'!H152</f>
        <v>0</v>
      </c>
      <c r="H137" s="148">
        <f>'Control Sheet'!I152</f>
        <v>0</v>
      </c>
      <c r="I137" s="148">
        <f>'Control Sheet'!J152</f>
        <v>0</v>
      </c>
      <c r="J137" s="148">
        <f>'Control Sheet'!K152</f>
        <v>0</v>
      </c>
    </row>
    <row r="138" spans="2:10" outlineLevel="1" x14ac:dyDescent="0.35">
      <c r="B138" s="147" t="s">
        <v>117</v>
      </c>
      <c r="C138" s="147"/>
      <c r="D138" s="147"/>
      <c r="E138" s="147"/>
      <c r="F138" s="150">
        <f>F134/E134-1</f>
        <v>0</v>
      </c>
      <c r="G138" s="150">
        <f t="shared" ref="G138:J138" si="86">G134/F134-1</f>
        <v>0</v>
      </c>
      <c r="H138" s="150">
        <f t="shared" si="86"/>
        <v>0</v>
      </c>
      <c r="I138" s="150">
        <f t="shared" si="86"/>
        <v>0</v>
      </c>
      <c r="J138" s="150">
        <f t="shared" si="86"/>
        <v>0</v>
      </c>
    </row>
    <row r="139" spans="2:10" outlineLevel="1" x14ac:dyDescent="0.35">
      <c r="B139" s="147" t="s">
        <v>118</v>
      </c>
      <c r="C139" s="147"/>
      <c r="D139" s="147"/>
      <c r="E139" s="150">
        <f t="shared" ref="E139:J139" si="87">E134/E41</f>
        <v>2.1961730736079987E-2</v>
      </c>
      <c r="F139" s="150">
        <f t="shared" si="87"/>
        <v>1.9897891331118168E-2</v>
      </c>
      <c r="G139" s="150">
        <f t="shared" si="87"/>
        <v>1.8024245772715906E-2</v>
      </c>
      <c r="H139" s="150">
        <f t="shared" si="87"/>
        <v>1.6323718744669796E-2</v>
      </c>
      <c r="I139" s="150">
        <f t="shared" si="87"/>
        <v>1.4955796453219957E-2</v>
      </c>
      <c r="J139" s="150">
        <f t="shared" si="87"/>
        <v>1.369823260439793E-2</v>
      </c>
    </row>
    <row r="140" spans="2:10" outlineLevel="1" x14ac:dyDescent="0.35"/>
    <row r="141" spans="2:10" ht="15.5" outlineLevel="1" x14ac:dyDescent="0.35">
      <c r="B141" s="56" t="s">
        <v>119</v>
      </c>
      <c r="C141" s="56"/>
      <c r="D141" s="56"/>
      <c r="E141" s="56"/>
      <c r="F141" s="56"/>
      <c r="G141" s="56"/>
      <c r="H141" s="56"/>
      <c r="I141" s="56"/>
      <c r="J141" s="56"/>
    </row>
    <row r="142" spans="2:10" ht="15.5" outlineLevel="1" x14ac:dyDescent="0.35">
      <c r="B142" s="57"/>
      <c r="C142" s="57"/>
      <c r="D142" s="57"/>
      <c r="E142" s="57"/>
      <c r="F142" s="57"/>
      <c r="G142" s="57"/>
      <c r="H142" s="57"/>
      <c r="I142" s="57"/>
      <c r="J142" s="57"/>
    </row>
    <row r="143" spans="2:10" outlineLevel="1" x14ac:dyDescent="0.35">
      <c r="B143" t="s">
        <v>120</v>
      </c>
      <c r="C143" s="77" t="s">
        <v>122</v>
      </c>
      <c r="D143" s="78">
        <v>39200</v>
      </c>
      <c r="E143" s="79">
        <f t="shared" ref="E143:J144" si="88">(E$41*$D143)/($D$143+$D$144)</f>
        <v>41435.714285714283</v>
      </c>
      <c r="F143" s="79">
        <f t="shared" si="88"/>
        <v>45733.489285714284</v>
      </c>
      <c r="G143" s="79">
        <f t="shared" si="88"/>
        <v>50487.549463928583</v>
      </c>
      <c r="H143" s="79">
        <f t="shared" si="88"/>
        <v>55747.101149800401</v>
      </c>
      <c r="I143" s="79">
        <f t="shared" si="88"/>
        <v>60845.973856783705</v>
      </c>
      <c r="J143" s="79">
        <f t="shared" si="88"/>
        <v>66431.927846504594</v>
      </c>
    </row>
    <row r="144" spans="2:10" outlineLevel="1" x14ac:dyDescent="0.35">
      <c r="B144" t="s">
        <v>121</v>
      </c>
      <c r="C144" s="77" t="s">
        <v>122</v>
      </c>
      <c r="D144" s="78">
        <v>15680</v>
      </c>
      <c r="E144" s="79">
        <f t="shared" si="88"/>
        <v>16574.285714285714</v>
      </c>
      <c r="F144" s="79">
        <f t="shared" si="88"/>
        <v>18293.395714285714</v>
      </c>
      <c r="G144" s="79">
        <f t="shared" si="88"/>
        <v>20195.019785571432</v>
      </c>
      <c r="H144" s="79">
        <f t="shared" si="88"/>
        <v>22298.84045992016</v>
      </c>
      <c r="I144" s="79">
        <f t="shared" si="88"/>
        <v>24338.389542713485</v>
      </c>
      <c r="J144" s="79">
        <f t="shared" si="88"/>
        <v>26572.771138601835</v>
      </c>
    </row>
    <row r="145" spans="2:10" outlineLevel="1" x14ac:dyDescent="0.35">
      <c r="B145" s="45"/>
      <c r="E145" s="73"/>
      <c r="F145" s="73"/>
      <c r="G145" s="73"/>
      <c r="H145" s="73"/>
      <c r="I145" s="73"/>
      <c r="J145" s="73"/>
    </row>
    <row r="146" spans="2:10" outlineLevel="1" x14ac:dyDescent="0.35">
      <c r="B146" t="s">
        <v>123</v>
      </c>
      <c r="C146" s="77" t="s">
        <v>125</v>
      </c>
      <c r="D146" s="80">
        <v>0.85</v>
      </c>
      <c r="E146" s="79">
        <f>$E$143/$D$146</f>
        <v>48747.899159663866</v>
      </c>
      <c r="F146" s="79">
        <f t="shared" ref="F146:J146" si="89">$E$143/$D$146</f>
        <v>48747.899159663866</v>
      </c>
      <c r="G146" s="79">
        <f t="shared" si="89"/>
        <v>48747.899159663866</v>
      </c>
      <c r="H146" s="79">
        <f t="shared" si="89"/>
        <v>48747.899159663866</v>
      </c>
      <c r="I146" s="79">
        <f t="shared" si="89"/>
        <v>48747.899159663866</v>
      </c>
      <c r="J146" s="79">
        <f t="shared" si="89"/>
        <v>48747.899159663866</v>
      </c>
    </row>
    <row r="147" spans="2:10" outlineLevel="1" x14ac:dyDescent="0.35">
      <c r="B147" t="s">
        <v>124</v>
      </c>
      <c r="C147" s="77" t="s">
        <v>125</v>
      </c>
      <c r="D147" s="80">
        <v>0.85</v>
      </c>
      <c r="E147" s="79">
        <f>$E$144/$D$147</f>
        <v>19499.159663865546</v>
      </c>
      <c r="F147" s="79">
        <f t="shared" ref="F147:J147" si="90">$E$144/$D$147</f>
        <v>19499.159663865546</v>
      </c>
      <c r="G147" s="79">
        <f t="shared" si="90"/>
        <v>19499.159663865546</v>
      </c>
      <c r="H147" s="79">
        <f t="shared" si="90"/>
        <v>19499.159663865546</v>
      </c>
      <c r="I147" s="79">
        <f t="shared" si="90"/>
        <v>19499.159663865546</v>
      </c>
      <c r="J147" s="79">
        <f t="shared" si="90"/>
        <v>19499.159663865546</v>
      </c>
    </row>
    <row r="148" spans="2:10" outlineLevel="1" x14ac:dyDescent="0.35"/>
    <row r="149" spans="2:10" outlineLevel="1" x14ac:dyDescent="0.35">
      <c r="B149" t="s">
        <v>126</v>
      </c>
      <c r="E149" s="81" t="str">
        <f>IF((E146-E143)&gt;0,"Yes","No")</f>
        <v>Yes</v>
      </c>
      <c r="F149" s="81" t="str">
        <f t="shared" ref="F149:J149" si="91">IF((F146-F143)&gt;0,"Yes","No")</f>
        <v>Yes</v>
      </c>
      <c r="G149" s="81" t="str">
        <f t="shared" si="91"/>
        <v>No</v>
      </c>
      <c r="H149" s="81" t="str">
        <f t="shared" si="91"/>
        <v>No</v>
      </c>
      <c r="I149" s="81" t="str">
        <f t="shared" si="91"/>
        <v>No</v>
      </c>
      <c r="J149" s="81" t="str">
        <f t="shared" si="91"/>
        <v>No</v>
      </c>
    </row>
    <row r="150" spans="2:10" outlineLevel="1" x14ac:dyDescent="0.35">
      <c r="B150" t="s">
        <v>127</v>
      </c>
      <c r="E150" s="81" t="str">
        <f>IF((E147-E144)&gt;0,"Yes","No")</f>
        <v>Yes</v>
      </c>
      <c r="F150" s="81" t="str">
        <f t="shared" ref="F150:J150" si="92">IF((F147-F144)&gt;0,"Yes","No")</f>
        <v>Yes</v>
      </c>
      <c r="G150" s="81" t="str">
        <f t="shared" si="92"/>
        <v>No</v>
      </c>
      <c r="H150" s="81" t="str">
        <f t="shared" si="92"/>
        <v>No</v>
      </c>
      <c r="I150" s="81" t="str">
        <f t="shared" si="92"/>
        <v>No</v>
      </c>
      <c r="J150" s="81" t="str">
        <f t="shared" si="92"/>
        <v>No</v>
      </c>
    </row>
    <row r="151" spans="2:10" outlineLevel="1" x14ac:dyDescent="0.35"/>
    <row r="152" spans="2:10" outlineLevel="1" x14ac:dyDescent="0.35">
      <c r="B152" s="45" t="s">
        <v>128</v>
      </c>
      <c r="C152" s="77" t="s">
        <v>122</v>
      </c>
      <c r="D152" s="78">
        <v>16000</v>
      </c>
      <c r="E152" s="73">
        <f>IF(OR(E149="No",E150="No"),$D$152*E133/$D$144,0)</f>
        <v>0</v>
      </c>
      <c r="F152" s="73">
        <f t="shared" ref="F152:J152" si="93">IF(OR(F149="No",F150="No"),$D$152*F133/$D$144,0)</f>
        <v>0</v>
      </c>
      <c r="G152" s="73">
        <f t="shared" si="93"/>
        <v>300</v>
      </c>
      <c r="H152" s="73">
        <f t="shared" si="93"/>
        <v>300</v>
      </c>
      <c r="I152" s="73">
        <f t="shared" si="93"/>
        <v>300</v>
      </c>
      <c r="J152" s="73">
        <f t="shared" si="93"/>
        <v>300</v>
      </c>
    </row>
    <row r="153" spans="2:10" outlineLevel="1" x14ac:dyDescent="0.35">
      <c r="B153" t="s">
        <v>129</v>
      </c>
      <c r="E153" s="70">
        <f t="shared" ref="E153:J153" si="94">E152/E41</f>
        <v>0</v>
      </c>
      <c r="F153" s="70">
        <f t="shared" si="94"/>
        <v>0</v>
      </c>
      <c r="G153" s="70">
        <f t="shared" si="94"/>
        <v>4.2443278899644997E-3</v>
      </c>
      <c r="H153" s="70">
        <f t="shared" si="94"/>
        <v>3.8438898142864513E-3</v>
      </c>
      <c r="I153" s="70">
        <f t="shared" si="94"/>
        <v>3.5217731051538359E-3</v>
      </c>
      <c r="J153" s="70">
        <f t="shared" si="94"/>
        <v>3.2256434704233746E-3</v>
      </c>
    </row>
    <row r="154" spans="2:10" outlineLevel="1" x14ac:dyDescent="0.35"/>
    <row r="155" spans="2:10" ht="15" outlineLevel="1" thickBot="1" x14ac:dyDescent="0.4">
      <c r="B155" s="68" t="s">
        <v>130</v>
      </c>
      <c r="C155" s="68"/>
      <c r="D155" s="68"/>
      <c r="E155" s="69">
        <f>E152+E134</f>
        <v>1274</v>
      </c>
      <c r="F155" s="69">
        <f t="shared" ref="F155:J155" si="95">F152+F134</f>
        <v>1274</v>
      </c>
      <c r="G155" s="69">
        <f t="shared" si="95"/>
        <v>1574</v>
      </c>
      <c r="H155" s="69">
        <f t="shared" si="95"/>
        <v>1574</v>
      </c>
      <c r="I155" s="69">
        <f t="shared" si="95"/>
        <v>1574</v>
      </c>
      <c r="J155" s="69">
        <f t="shared" si="95"/>
        <v>1574</v>
      </c>
    </row>
    <row r="156" spans="2:10" outlineLevel="1" x14ac:dyDescent="0.35"/>
    <row r="157" spans="2:10" ht="15.5" outlineLevel="1" x14ac:dyDescent="0.35">
      <c r="B157" s="56" t="s">
        <v>131</v>
      </c>
      <c r="C157" s="56"/>
      <c r="D157" s="56"/>
      <c r="E157" s="56"/>
      <c r="F157" s="56"/>
      <c r="G157" s="56"/>
      <c r="H157" s="56"/>
      <c r="I157" s="56"/>
      <c r="J157" s="56"/>
    </row>
    <row r="158" spans="2:10" ht="15.5" outlineLevel="1" x14ac:dyDescent="0.35">
      <c r="B158" s="57"/>
      <c r="C158" s="57"/>
      <c r="D158" s="57"/>
      <c r="E158" s="57"/>
      <c r="F158" s="57"/>
      <c r="G158" s="57"/>
      <c r="H158" s="57"/>
      <c r="I158" s="57"/>
      <c r="J158" s="57"/>
    </row>
    <row r="159" spans="2:10" outlineLevel="1" x14ac:dyDescent="0.35">
      <c r="B159" t="str">
        <f>B157</f>
        <v>Salaries &amp; Wages</v>
      </c>
      <c r="E159" s="76">
        <v>5711</v>
      </c>
      <c r="F159" s="79">
        <f>F41*F160</f>
        <v>5762.4196499999998</v>
      </c>
      <c r="G159" s="79">
        <f>G41*G160</f>
        <v>6361.431232455001</v>
      </c>
      <c r="H159" s="79">
        <f>H41*H160</f>
        <v>7024.1347448748511</v>
      </c>
      <c r="I159" s="79">
        <f>I41*I160</f>
        <v>7666.5927059547466</v>
      </c>
      <c r="J159" s="79">
        <f>J41*J160</f>
        <v>8370.4229086595788</v>
      </c>
    </row>
    <row r="160" spans="2:10" outlineLevel="1" x14ac:dyDescent="0.35">
      <c r="B160" s="147" t="str">
        <f>B157&amp;" % Revenue"</f>
        <v>Salaries &amp; Wages % Revenue</v>
      </c>
      <c r="C160" s="147"/>
      <c r="D160" s="147"/>
      <c r="E160" s="155">
        <f>E159/E41</f>
        <v>9.8448543354594034E-2</v>
      </c>
      <c r="F160" s="148">
        <f>'Control Sheet'!G158</f>
        <v>0.09</v>
      </c>
      <c r="G160" s="148">
        <f>'Control Sheet'!H158</f>
        <v>0.09</v>
      </c>
      <c r="H160" s="148">
        <f>'Control Sheet'!I158</f>
        <v>0.09</v>
      </c>
      <c r="I160" s="148">
        <f>'Control Sheet'!J158</f>
        <v>0.09</v>
      </c>
      <c r="J160" s="148">
        <f>'Control Sheet'!K158</f>
        <v>0.09</v>
      </c>
    </row>
    <row r="161" spans="2:10" outlineLevel="1" x14ac:dyDescent="0.35"/>
    <row r="162" spans="2:10" ht="15.5" outlineLevel="1" x14ac:dyDescent="0.35">
      <c r="B162" s="56" t="s">
        <v>132</v>
      </c>
      <c r="C162" s="56"/>
      <c r="D162" s="56"/>
      <c r="E162" s="56"/>
      <c r="F162" s="56"/>
      <c r="G162" s="56"/>
      <c r="H162" s="56"/>
      <c r="I162" s="56"/>
      <c r="J162" s="56"/>
    </row>
    <row r="163" spans="2:10" ht="15.5" outlineLevel="1" x14ac:dyDescent="0.35">
      <c r="B163" s="57"/>
      <c r="C163" s="57"/>
      <c r="D163" s="57"/>
      <c r="E163" s="57"/>
      <c r="F163" s="57"/>
      <c r="G163" s="57"/>
      <c r="H163" s="57"/>
      <c r="I163" s="57"/>
      <c r="J163" s="57"/>
    </row>
    <row r="164" spans="2:10" outlineLevel="1" x14ac:dyDescent="0.35">
      <c r="B164" t="s">
        <v>40</v>
      </c>
      <c r="E164" s="76">
        <v>8708</v>
      </c>
      <c r="F164" s="79">
        <f>F41*F165</f>
        <v>9604.0327500000003</v>
      </c>
      <c r="G164" s="79">
        <f>G41*G165</f>
        <v>10602.385387425002</v>
      </c>
      <c r="H164" s="79">
        <f>H41*H165</f>
        <v>12487.350657555291</v>
      </c>
      <c r="I164" s="79">
        <f>I41*I165</f>
        <v>13629.498143919551</v>
      </c>
      <c r="J164" s="79">
        <f>J41*J165</f>
        <v>14880.751837617028</v>
      </c>
    </row>
    <row r="165" spans="2:10" outlineLevel="1" x14ac:dyDescent="0.35">
      <c r="B165" s="147" t="str">
        <f>B164&amp;" % Revenue"</f>
        <v>Retailer Commission % Revenue</v>
      </c>
      <c r="C165" s="147"/>
      <c r="D165" s="147"/>
      <c r="E165" s="155">
        <f>E164/E41</f>
        <v>0.15011204964661265</v>
      </c>
      <c r="F165" s="148">
        <f>'Control Sheet'!G164</f>
        <v>0.15</v>
      </c>
      <c r="G165" s="148">
        <f>'Control Sheet'!H164</f>
        <v>0.15</v>
      </c>
      <c r="H165" s="148">
        <f>'Control Sheet'!I164</f>
        <v>0.16</v>
      </c>
      <c r="I165" s="148">
        <f>'Control Sheet'!J164</f>
        <v>0.16</v>
      </c>
      <c r="J165" s="148">
        <f>'Control Sheet'!K164</f>
        <v>0.16</v>
      </c>
    </row>
    <row r="166" spans="2:10" outlineLevel="1" x14ac:dyDescent="0.35"/>
    <row r="167" spans="2:10" ht="15.5" outlineLevel="1" x14ac:dyDescent="0.35">
      <c r="B167" s="56" t="s">
        <v>133</v>
      </c>
      <c r="C167" s="56"/>
      <c r="D167" s="56"/>
      <c r="E167" s="56"/>
      <c r="F167" s="56"/>
      <c r="G167" s="56"/>
      <c r="H167" s="56"/>
      <c r="I167" s="56"/>
      <c r="J167" s="56"/>
    </row>
    <row r="168" spans="2:10" ht="15.5" outlineLevel="1" x14ac:dyDescent="0.35">
      <c r="B168" s="57"/>
      <c r="C168" s="57"/>
      <c r="D168" s="57"/>
      <c r="E168" s="57"/>
      <c r="F168" s="57"/>
      <c r="G168" s="57"/>
      <c r="H168" s="57"/>
      <c r="I168" s="57"/>
      <c r="J168" s="57"/>
    </row>
    <row r="169" spans="2:10" outlineLevel="1" x14ac:dyDescent="0.35">
      <c r="B169" t="str">
        <f>B167</f>
        <v>Administrative Expenses</v>
      </c>
      <c r="E169" s="76">
        <v>348</v>
      </c>
      <c r="F169" s="79">
        <f>F41*F170</f>
        <v>640.26885000000004</v>
      </c>
      <c r="G169" s="79">
        <f>G41*G170</f>
        <v>706.82569249500011</v>
      </c>
      <c r="H169" s="79">
        <f>H41*H170</f>
        <v>780.45941609720569</v>
      </c>
      <c r="I169" s="79">
        <f>I41*I170</f>
        <v>851.84363399497192</v>
      </c>
      <c r="J169" s="79">
        <f>J41*J170</f>
        <v>930.04698985106427</v>
      </c>
    </row>
    <row r="170" spans="2:10" outlineLevel="1" x14ac:dyDescent="0.35">
      <c r="B170" s="147" t="str">
        <f>B167&amp;" % Revenue"</f>
        <v>Administrative Expenses % Revenue</v>
      </c>
      <c r="C170" s="147"/>
      <c r="D170" s="147"/>
      <c r="E170" s="155">
        <f>E169/E41</f>
        <v>5.9989656955697296E-3</v>
      </c>
      <c r="F170" s="148">
        <f>'Control Sheet'!G170</f>
        <v>0.01</v>
      </c>
      <c r="G170" s="148">
        <f>'Control Sheet'!H170</f>
        <v>0.01</v>
      </c>
      <c r="H170" s="148">
        <f>'Control Sheet'!I170</f>
        <v>0.01</v>
      </c>
      <c r="I170" s="148">
        <f>'Control Sheet'!J170</f>
        <v>0.01</v>
      </c>
      <c r="J170" s="148">
        <f>'Control Sheet'!K170</f>
        <v>0.01</v>
      </c>
    </row>
    <row r="171" spans="2:10" outlineLevel="1" x14ac:dyDescent="0.35"/>
    <row r="172" spans="2:10" ht="15.5" outlineLevel="1" x14ac:dyDescent="0.35">
      <c r="B172" s="56" t="s">
        <v>134</v>
      </c>
      <c r="C172" s="56"/>
      <c r="D172" s="56"/>
      <c r="E172" s="56"/>
      <c r="F172" s="56"/>
      <c r="G172" s="56"/>
      <c r="H172" s="56"/>
      <c r="I172" s="56"/>
      <c r="J172" s="56"/>
    </row>
    <row r="173" spans="2:10" ht="15.5" outlineLevel="1" x14ac:dyDescent="0.35">
      <c r="B173" s="57"/>
      <c r="C173" s="57"/>
      <c r="D173" s="57"/>
      <c r="E173" s="57"/>
      <c r="F173" s="57"/>
      <c r="G173" s="57"/>
      <c r="H173" s="57"/>
      <c r="I173" s="57"/>
      <c r="J173" s="57"/>
    </row>
    <row r="174" spans="2:10" outlineLevel="1" x14ac:dyDescent="0.35">
      <c r="B174" t="str">
        <f>B172</f>
        <v>Marketing Expenses</v>
      </c>
      <c r="E174" s="76">
        <v>1451</v>
      </c>
      <c r="F174" s="79">
        <f>F41*F175</f>
        <v>1600.6721250000001</v>
      </c>
      <c r="G174" s="79">
        <f>G41*G175</f>
        <v>1767.0642312375003</v>
      </c>
      <c r="H174" s="79">
        <f>H41*H175</f>
        <v>1951.1485402430144</v>
      </c>
      <c r="I174" s="79">
        <f>I41*I175</f>
        <v>2129.6090849874299</v>
      </c>
      <c r="J174" s="79">
        <f>J41*J175</f>
        <v>2325.1174746276606</v>
      </c>
    </row>
    <row r="175" spans="2:10" outlineLevel="1" x14ac:dyDescent="0.35">
      <c r="B175" s="147" t="str">
        <f>B172&amp;" % Revenue"</f>
        <v>Marketing Expenses % Revenue</v>
      </c>
      <c r="C175" s="147"/>
      <c r="D175" s="147"/>
      <c r="E175" s="155">
        <f>E174/E41</f>
        <v>2.5012928805378382E-2</v>
      </c>
      <c r="F175" s="148">
        <f>'Control Sheet'!G176</f>
        <v>2.5000000000000001E-2</v>
      </c>
      <c r="G175" s="148">
        <f>'Control Sheet'!H176</f>
        <v>2.5000000000000001E-2</v>
      </c>
      <c r="H175" s="148">
        <f>'Control Sheet'!I176</f>
        <v>2.5000000000000001E-2</v>
      </c>
      <c r="I175" s="148">
        <f>'Control Sheet'!J176</f>
        <v>2.5000000000000001E-2</v>
      </c>
      <c r="J175" s="148">
        <f>'Control Sheet'!K176</f>
        <v>2.5000000000000001E-2</v>
      </c>
    </row>
    <row r="176" spans="2:10" outlineLevel="1" x14ac:dyDescent="0.35"/>
    <row r="177" spans="1:10" ht="15.5" outlineLevel="1" x14ac:dyDescent="0.35">
      <c r="B177" s="56" t="s">
        <v>135</v>
      </c>
      <c r="C177" s="56"/>
      <c r="D177" s="56"/>
      <c r="E177" s="56"/>
      <c r="F177" s="56"/>
      <c r="G177" s="56"/>
      <c r="H177" s="56"/>
      <c r="I177" s="56"/>
      <c r="J177" s="56"/>
    </row>
    <row r="178" spans="1:10" ht="15.5" outlineLevel="1" x14ac:dyDescent="0.35">
      <c r="B178" s="57"/>
      <c r="C178" s="57"/>
      <c r="D178" s="57"/>
      <c r="E178" s="57"/>
      <c r="F178" s="57"/>
      <c r="G178" s="57"/>
      <c r="H178" s="57"/>
      <c r="I178" s="57"/>
      <c r="J178" s="57"/>
    </row>
    <row r="179" spans="1:10" outlineLevel="1" x14ac:dyDescent="0.35">
      <c r="B179" t="s">
        <v>136</v>
      </c>
      <c r="E179" s="76">
        <v>1470</v>
      </c>
      <c r="F179" s="79">
        <f>E179*(1+F183)</f>
        <v>1499.4</v>
      </c>
      <c r="G179" s="79">
        <f t="shared" ref="G179:J179" si="96">F179*(1+G183)</f>
        <v>1529.3880000000001</v>
      </c>
      <c r="H179" s="79">
        <f t="shared" si="96"/>
        <v>1559.9757600000003</v>
      </c>
      <c r="I179" s="79">
        <f t="shared" si="96"/>
        <v>1591.1752752000002</v>
      </c>
      <c r="J179" s="79">
        <f t="shared" si="96"/>
        <v>1622.9987807040002</v>
      </c>
    </row>
    <row r="180" spans="1:10" outlineLevel="1" x14ac:dyDescent="0.35">
      <c r="B180" t="s">
        <v>137</v>
      </c>
      <c r="E180" s="79">
        <f>E181-E179</f>
        <v>1432.7795999999998</v>
      </c>
      <c r="F180" s="79">
        <f>F184*F41</f>
        <v>1920.80655</v>
      </c>
      <c r="G180" s="79">
        <f>G184*G41</f>
        <v>2120.4770774850003</v>
      </c>
      <c r="H180" s="79">
        <f>H184*H41</f>
        <v>2341.3782482916172</v>
      </c>
      <c r="I180" s="79">
        <f>I184*I41</f>
        <v>2555.5309019849155</v>
      </c>
      <c r="J180" s="79">
        <f>J184*J41</f>
        <v>2790.1409695531929</v>
      </c>
    </row>
    <row r="181" spans="1:10" outlineLevel="1" x14ac:dyDescent="0.35">
      <c r="B181" s="45" t="str">
        <f>"Total "&amp;B177</f>
        <v>Total Executive Compensation Expenses</v>
      </c>
      <c r="E181" s="82">
        <f>-'Audited Income Statement'!G16</f>
        <v>2902.7795999999998</v>
      </c>
      <c r="F181" s="73">
        <f t="shared" ref="F181:J181" si="97">F180+F179</f>
        <v>3420.2065499999999</v>
      </c>
      <c r="G181" s="73">
        <f t="shared" si="97"/>
        <v>3649.8650774850003</v>
      </c>
      <c r="H181" s="73">
        <f t="shared" si="97"/>
        <v>3901.3540082916174</v>
      </c>
      <c r="I181" s="73">
        <f t="shared" si="97"/>
        <v>4146.7061771849158</v>
      </c>
      <c r="J181" s="73">
        <f t="shared" si="97"/>
        <v>4413.1397502571926</v>
      </c>
    </row>
    <row r="182" spans="1:10" outlineLevel="1" x14ac:dyDescent="0.35"/>
    <row r="183" spans="1:10" outlineLevel="1" x14ac:dyDescent="0.35">
      <c r="B183" s="147" t="s">
        <v>138</v>
      </c>
      <c r="C183" s="147"/>
      <c r="D183" s="147"/>
      <c r="E183" s="147"/>
      <c r="F183" s="148">
        <f>'Control Sheet'!G184</f>
        <v>0.02</v>
      </c>
      <c r="G183" s="148">
        <f>'Control Sheet'!H184</f>
        <v>0.02</v>
      </c>
      <c r="H183" s="148">
        <f>'Control Sheet'!I184</f>
        <v>0.02</v>
      </c>
      <c r="I183" s="148">
        <f>'Control Sheet'!J184</f>
        <v>0.02</v>
      </c>
      <c r="J183" s="148">
        <f>'Control Sheet'!K184</f>
        <v>0.02</v>
      </c>
    </row>
    <row r="184" spans="1:10" outlineLevel="1" x14ac:dyDescent="0.35">
      <c r="B184" s="147" t="s">
        <v>139</v>
      </c>
      <c r="C184" s="147"/>
      <c r="D184" s="147"/>
      <c r="E184" s="155">
        <f>E180/E41</f>
        <v>2.4698838131356659E-2</v>
      </c>
      <c r="F184" s="148">
        <f>'Control Sheet'!G190</f>
        <v>0.03</v>
      </c>
      <c r="G184" s="148">
        <f>'Control Sheet'!H190</f>
        <v>0.03</v>
      </c>
      <c r="H184" s="148">
        <f>'Control Sheet'!I190</f>
        <v>0.03</v>
      </c>
      <c r="I184" s="148">
        <f>'Control Sheet'!J190</f>
        <v>0.03</v>
      </c>
      <c r="J184" s="148">
        <f>'Control Sheet'!K190</f>
        <v>0.03</v>
      </c>
    </row>
    <row r="185" spans="1:10" outlineLevel="1" x14ac:dyDescent="0.35">
      <c r="B185" s="147" t="s">
        <v>140</v>
      </c>
      <c r="C185" s="147"/>
      <c r="D185" s="147"/>
      <c r="E185" s="155">
        <f t="shared" ref="E185:J185" si="98">E181/E41</f>
        <v>5.0039296672987413E-2</v>
      </c>
      <c r="F185" s="155">
        <f t="shared" si="98"/>
        <v>5.3418287489700615E-2</v>
      </c>
      <c r="G185" s="155">
        <f t="shared" si="98"/>
        <v>5.163741380992342E-2</v>
      </c>
      <c r="H185" s="155">
        <f t="shared" si="98"/>
        <v>4.9987916447992553E-2</v>
      </c>
      <c r="I185" s="155">
        <f t="shared" si="98"/>
        <v>4.8679194299283711E-2</v>
      </c>
      <c r="J185" s="155">
        <f t="shared" si="98"/>
        <v>4.7450718064943186E-2</v>
      </c>
    </row>
    <row r="186" spans="1:10" outlineLevel="1" x14ac:dyDescent="0.35"/>
    <row r="187" spans="1:10" ht="15" outlineLevel="1" thickBot="1" x14ac:dyDescent="0.4">
      <c r="B187" s="68" t="s">
        <v>141</v>
      </c>
      <c r="C187" s="67"/>
      <c r="D187" s="67"/>
      <c r="E187" s="69">
        <f>E181+E174+E169+E164+E159+E155</f>
        <v>20394.779600000002</v>
      </c>
      <c r="F187" s="69">
        <f t="shared" ref="F187:J187" si="99">F181+F174+F169+F164+F159+F155</f>
        <v>22301.599925000002</v>
      </c>
      <c r="G187" s="69">
        <f t="shared" si="99"/>
        <v>24661.571621097504</v>
      </c>
      <c r="H187" s="69">
        <f t="shared" si="99"/>
        <v>27718.447367061977</v>
      </c>
      <c r="I187" s="69">
        <f t="shared" si="99"/>
        <v>29998.249746041616</v>
      </c>
      <c r="J187" s="69">
        <f t="shared" si="99"/>
        <v>32493.478961012523</v>
      </c>
    </row>
    <row r="188" spans="1:10" outlineLevel="1" x14ac:dyDescent="0.35">
      <c r="B188" t="s">
        <v>142</v>
      </c>
      <c r="E188" s="70">
        <f t="shared" ref="E188:J188" si="100">E187/E41</f>
        <v>0.35157351491122224</v>
      </c>
      <c r="F188" s="70">
        <f t="shared" si="100"/>
        <v>0.34831617882081883</v>
      </c>
      <c r="G188" s="70">
        <f t="shared" si="100"/>
        <v>0.34890598747260382</v>
      </c>
      <c r="H188" s="70">
        <f t="shared" si="100"/>
        <v>0.3551555250069488</v>
      </c>
      <c r="I188" s="70">
        <f t="shared" si="100"/>
        <v>0.35215676385765754</v>
      </c>
      <c r="J188" s="70">
        <f t="shared" si="100"/>
        <v>0.34937459413976446</v>
      </c>
    </row>
    <row r="190" spans="1:10" ht="18.5" x14ac:dyDescent="0.45">
      <c r="A190" s="46" t="s">
        <v>52</v>
      </c>
      <c r="B190" s="54" t="s">
        <v>158</v>
      </c>
      <c r="C190" s="55"/>
      <c r="D190" s="55"/>
      <c r="E190" s="55"/>
      <c r="F190" s="55"/>
      <c r="G190" s="55"/>
      <c r="H190" s="55"/>
      <c r="I190" s="55"/>
      <c r="J190" s="55"/>
    </row>
    <row r="191" spans="1:10" outlineLevel="1" x14ac:dyDescent="0.35"/>
    <row r="192" spans="1:10" ht="15.5" outlineLevel="1" x14ac:dyDescent="0.35">
      <c r="B192" s="56" t="s">
        <v>157</v>
      </c>
      <c r="C192" s="56"/>
      <c r="D192" s="56"/>
      <c r="E192" s="56"/>
      <c r="F192" s="56"/>
      <c r="G192" s="56"/>
      <c r="H192" s="56"/>
      <c r="I192" s="56"/>
      <c r="J192" s="56"/>
    </row>
    <row r="193" spans="1:10" outlineLevel="1" x14ac:dyDescent="0.35"/>
    <row r="194" spans="1:10" outlineLevel="1" x14ac:dyDescent="0.35">
      <c r="B194" t="s">
        <v>159</v>
      </c>
      <c r="E194" s="87">
        <f>'Audited Balance Sheet'!G16-'Audited Balance Sheet'!F16-'Audited Income Statement'!G14</f>
        <v>1965.3507999999993</v>
      </c>
      <c r="F194" s="79">
        <f>F195*F41</f>
        <v>3201.3442500000001</v>
      </c>
      <c r="G194" s="79">
        <f>G195*G41</f>
        <v>3534.1284624750006</v>
      </c>
      <c r="H194" s="79">
        <f>H195*H41</f>
        <v>3902.2970804860288</v>
      </c>
      <c r="I194" s="79">
        <f>I195*I41</f>
        <v>4259.2181699748598</v>
      </c>
      <c r="J194" s="79">
        <f>J195*J41</f>
        <v>4650.2349492553212</v>
      </c>
    </row>
    <row r="195" spans="1:10" outlineLevel="1" x14ac:dyDescent="0.35">
      <c r="B195" s="147" t="str">
        <f>B192&amp;" Spend % Revenue"</f>
        <v>Tangible Non Current Assets Spend % Revenue</v>
      </c>
      <c r="C195" s="147"/>
      <c r="D195" s="147"/>
      <c r="E195" s="155">
        <f>E194/E41</f>
        <v>3.3879517324599193E-2</v>
      </c>
      <c r="F195" s="148">
        <f>'Control Sheet'!G200</f>
        <v>0.05</v>
      </c>
      <c r="G195" s="148">
        <f>'Control Sheet'!H200</f>
        <v>0.05</v>
      </c>
      <c r="H195" s="148">
        <f>'Control Sheet'!I200</f>
        <v>0.05</v>
      </c>
      <c r="I195" s="148">
        <f>'Control Sheet'!J200</f>
        <v>0.05</v>
      </c>
      <c r="J195" s="148">
        <f>'Control Sheet'!K200</f>
        <v>0.05</v>
      </c>
    </row>
    <row r="196" spans="1:10" outlineLevel="1" x14ac:dyDescent="0.35"/>
    <row r="197" spans="1:10" ht="15.5" outlineLevel="1" x14ac:dyDescent="0.35">
      <c r="B197" s="56" t="s">
        <v>160</v>
      </c>
      <c r="C197" s="56"/>
      <c r="D197" s="56"/>
      <c r="E197" s="56"/>
      <c r="F197" s="56"/>
      <c r="G197" s="56"/>
      <c r="H197" s="56"/>
      <c r="I197" s="56"/>
      <c r="J197" s="56"/>
    </row>
    <row r="198" spans="1:10" outlineLevel="1" x14ac:dyDescent="0.35"/>
    <row r="199" spans="1:10" outlineLevel="1" x14ac:dyDescent="0.35">
      <c r="B199" t="s">
        <v>161</v>
      </c>
      <c r="E199" s="87">
        <f>'Audited Balance Sheet'!G17-'Audited Balance Sheet'!F17-'Audited Income Statement'!G15</f>
        <v>488.68288000000024</v>
      </c>
      <c r="F199" s="79">
        <f>F200*F41</f>
        <v>1920.80655</v>
      </c>
      <c r="G199" s="79">
        <f>G200*G41</f>
        <v>2120.4770774850003</v>
      </c>
      <c r="H199" s="79">
        <f>H200*H41</f>
        <v>2341.3782482916172</v>
      </c>
      <c r="I199" s="79">
        <f>I200*I41</f>
        <v>2555.5309019849155</v>
      </c>
      <c r="J199" s="79">
        <f>J200*J41</f>
        <v>2790.1409695531929</v>
      </c>
    </row>
    <row r="200" spans="1:10" outlineLevel="1" x14ac:dyDescent="0.35">
      <c r="B200" s="147" t="str">
        <f>B197&amp;" Spend % Revenue"</f>
        <v>Intangible Non Current Assets Spend % Revenue</v>
      </c>
      <c r="C200" s="147"/>
      <c r="D200" s="147"/>
      <c r="E200" s="155">
        <f>E199/E41</f>
        <v>8.4241144630236211E-3</v>
      </c>
      <c r="F200" s="148">
        <f>'Control Sheet'!G208</f>
        <v>0.03</v>
      </c>
      <c r="G200" s="148">
        <f>'Control Sheet'!H208</f>
        <v>0.03</v>
      </c>
      <c r="H200" s="148">
        <f>'Control Sheet'!I208</f>
        <v>0.03</v>
      </c>
      <c r="I200" s="148">
        <f>'Control Sheet'!J208</f>
        <v>0.03</v>
      </c>
      <c r="J200" s="148">
        <f>'Control Sheet'!K208</f>
        <v>0.03</v>
      </c>
    </row>
    <row r="202" spans="1:10" ht="18.5" x14ac:dyDescent="0.45">
      <c r="A202" s="46" t="s">
        <v>52</v>
      </c>
      <c r="B202" s="54" t="s">
        <v>162</v>
      </c>
      <c r="C202" s="55"/>
      <c r="D202" s="55"/>
      <c r="E202" s="55"/>
      <c r="F202" s="55"/>
      <c r="G202" s="55"/>
      <c r="H202" s="55"/>
      <c r="I202" s="55"/>
      <c r="J202" s="55"/>
    </row>
    <row r="203" spans="1:10" outlineLevel="1" x14ac:dyDescent="0.35"/>
    <row r="204" spans="1:10" ht="15.5" outlineLevel="1" x14ac:dyDescent="0.35">
      <c r="B204" s="56" t="s">
        <v>157</v>
      </c>
      <c r="C204" s="56"/>
      <c r="D204" s="56"/>
      <c r="E204" s="56"/>
      <c r="F204" s="56"/>
      <c r="G204" s="56"/>
      <c r="H204" s="56"/>
      <c r="I204" s="56"/>
      <c r="J204" s="56"/>
    </row>
    <row r="205" spans="1:10" outlineLevel="1" x14ac:dyDescent="0.35"/>
    <row r="206" spans="1:10" outlineLevel="1" x14ac:dyDescent="0.35">
      <c r="B206" t="s">
        <v>163</v>
      </c>
      <c r="E206" s="87"/>
      <c r="F206" s="79">
        <f>E209</f>
        <v>9491.2999999999993</v>
      </c>
      <c r="G206" s="79">
        <f t="shared" ref="G206:J206" si="101">F209</f>
        <v>11589.137025</v>
      </c>
      <c r="H206" s="79">
        <f t="shared" si="101"/>
        <v>13666.345416227501</v>
      </c>
      <c r="I206" s="79">
        <f t="shared" si="101"/>
        <v>15721.492717417428</v>
      </c>
      <c r="J206" s="79">
        <f t="shared" si="101"/>
        <v>17707.639291098698</v>
      </c>
    </row>
    <row r="207" spans="1:10" outlineLevel="1" x14ac:dyDescent="0.35">
      <c r="B207" s="85" t="s">
        <v>164</v>
      </c>
      <c r="C207" s="77" t="s">
        <v>170</v>
      </c>
      <c r="D207" s="86">
        <v>10</v>
      </c>
      <c r="F207" s="79">
        <f>F194</f>
        <v>3201.3442500000001</v>
      </c>
      <c r="G207" s="79">
        <f t="shared" ref="G207:J207" si="102">G194</f>
        <v>3534.1284624750006</v>
      </c>
      <c r="H207" s="79">
        <f t="shared" si="102"/>
        <v>3902.2970804860288</v>
      </c>
      <c r="I207" s="79">
        <f t="shared" si="102"/>
        <v>4259.2181699748598</v>
      </c>
      <c r="J207" s="79">
        <f t="shared" si="102"/>
        <v>4650.2349492553212</v>
      </c>
    </row>
    <row r="208" spans="1:10" outlineLevel="1" x14ac:dyDescent="0.35">
      <c r="B208" s="85" t="s">
        <v>165</v>
      </c>
      <c r="F208" s="79">
        <f>F225</f>
        <v>1103.5072250000001</v>
      </c>
      <c r="G208" s="79">
        <f t="shared" ref="G208:J208" si="103">G225</f>
        <v>1456.9200712475001</v>
      </c>
      <c r="H208" s="79">
        <f t="shared" si="103"/>
        <v>1847.1497792961031</v>
      </c>
      <c r="I208" s="79">
        <f t="shared" si="103"/>
        <v>2273.0715962935892</v>
      </c>
      <c r="J208" s="79">
        <f t="shared" si="103"/>
        <v>2738.0950912191215</v>
      </c>
    </row>
    <row r="209" spans="2:10" outlineLevel="1" x14ac:dyDescent="0.35">
      <c r="B209" s="60" t="s">
        <v>166</v>
      </c>
      <c r="C209" s="59"/>
      <c r="D209" s="59"/>
      <c r="E209" s="88">
        <f>'Audited Balance Sheet'!$G$16</f>
        <v>9491.2999999999993</v>
      </c>
      <c r="F209" s="64">
        <f>F206+F207-F208</f>
        <v>11589.137025</v>
      </c>
      <c r="G209" s="64">
        <f t="shared" ref="G209:J209" si="104">G206+G207-G208</f>
        <v>13666.345416227501</v>
      </c>
      <c r="H209" s="64">
        <f t="shared" si="104"/>
        <v>15721.492717417428</v>
      </c>
      <c r="I209" s="64">
        <f t="shared" si="104"/>
        <v>17707.639291098698</v>
      </c>
      <c r="J209" s="64">
        <f t="shared" si="104"/>
        <v>19619.779149134898</v>
      </c>
    </row>
    <row r="210" spans="2:10" outlineLevel="1" x14ac:dyDescent="0.35"/>
    <row r="211" spans="2:10" outlineLevel="1" x14ac:dyDescent="0.35">
      <c r="B211" t="s">
        <v>167</v>
      </c>
      <c r="F211" s="79">
        <f>E214</f>
        <v>2854.5636</v>
      </c>
      <c r="G211" s="79">
        <f t="shared" ref="G211:J211" si="105">F214</f>
        <v>4415.0955799999992</v>
      </c>
      <c r="H211" s="79">
        <f t="shared" si="105"/>
        <v>6033.9329489859992</v>
      </c>
      <c r="I211" s="79">
        <f t="shared" si="105"/>
        <v>7717.5796055591754</v>
      </c>
      <c r="J211" s="79">
        <f t="shared" si="105"/>
        <v>9445.0101890266542</v>
      </c>
    </row>
    <row r="212" spans="2:10" outlineLevel="1" x14ac:dyDescent="0.35">
      <c r="B212" s="85" t="s">
        <v>168</v>
      </c>
      <c r="C212" s="77" t="s">
        <v>170</v>
      </c>
      <c r="D212" s="86">
        <v>15</v>
      </c>
      <c r="F212" s="79">
        <f>F199</f>
        <v>1920.80655</v>
      </c>
      <c r="G212" s="79">
        <f t="shared" ref="G212:J212" si="106">G199</f>
        <v>2120.4770774850003</v>
      </c>
      <c r="H212" s="79">
        <f t="shared" si="106"/>
        <v>2341.3782482916172</v>
      </c>
      <c r="I212" s="79">
        <f t="shared" si="106"/>
        <v>2555.5309019849155</v>
      </c>
      <c r="J212" s="79">
        <f t="shared" si="106"/>
        <v>2790.1409695531929</v>
      </c>
    </row>
    <row r="213" spans="2:10" outlineLevel="1" x14ac:dyDescent="0.35">
      <c r="B213" s="85" t="s">
        <v>181</v>
      </c>
      <c r="F213" s="79">
        <f>F236</f>
        <v>360.27457000000004</v>
      </c>
      <c r="G213" s="79">
        <f t="shared" ref="G213:J213" si="107">G236</f>
        <v>501.63970849900005</v>
      </c>
      <c r="H213" s="79">
        <f t="shared" si="107"/>
        <v>657.73159171844122</v>
      </c>
      <c r="I213" s="79">
        <f t="shared" si="107"/>
        <v>828.10031851743565</v>
      </c>
      <c r="J213" s="79">
        <f t="shared" si="107"/>
        <v>1014.1097164876485</v>
      </c>
    </row>
    <row r="214" spans="2:10" outlineLevel="1" x14ac:dyDescent="0.35">
      <c r="B214" s="60" t="s">
        <v>169</v>
      </c>
      <c r="C214" s="59"/>
      <c r="D214" s="59"/>
      <c r="E214" s="88">
        <f>'Audited Balance Sheet'!G17</f>
        <v>2854.5636</v>
      </c>
      <c r="F214" s="64">
        <f>F211+F212-F213</f>
        <v>4415.0955799999992</v>
      </c>
      <c r="G214" s="64">
        <f t="shared" ref="G214:J214" si="108">G211+G212-G213</f>
        <v>6033.9329489859992</v>
      </c>
      <c r="H214" s="64">
        <f t="shared" si="108"/>
        <v>7717.5796055591754</v>
      </c>
      <c r="I214" s="64">
        <f t="shared" si="108"/>
        <v>9445.0101890266542</v>
      </c>
      <c r="J214" s="64">
        <f t="shared" si="108"/>
        <v>11221.041442092199</v>
      </c>
    </row>
    <row r="215" spans="2:10" outlineLevel="1" x14ac:dyDescent="0.35"/>
    <row r="216" spans="2:10" outlineLevel="1" x14ac:dyDescent="0.35"/>
    <row r="217" spans="2:10" outlineLevel="1" x14ac:dyDescent="0.35">
      <c r="B217" s="89" t="s">
        <v>171</v>
      </c>
    </row>
    <row r="218" spans="2:10" outlineLevel="1" x14ac:dyDescent="0.35"/>
    <row r="219" spans="2:10" outlineLevel="1" x14ac:dyDescent="0.35">
      <c r="B219" s="91">
        <f>$E$6</f>
        <v>2023</v>
      </c>
      <c r="E219" s="87">
        <f>-'Audited Income Statement'!G14</f>
        <v>783.37279999999998</v>
      </c>
      <c r="F219" s="79">
        <f>E219</f>
        <v>783.37279999999998</v>
      </c>
      <c r="G219" s="79">
        <f t="shared" ref="G219:J219" si="109">F219</f>
        <v>783.37279999999998</v>
      </c>
      <c r="H219" s="79">
        <f t="shared" si="109"/>
        <v>783.37279999999998</v>
      </c>
      <c r="I219" s="79">
        <f t="shared" si="109"/>
        <v>783.37279999999998</v>
      </c>
      <c r="J219" s="79">
        <f t="shared" si="109"/>
        <v>783.37279999999998</v>
      </c>
    </row>
    <row r="220" spans="2:10" outlineLevel="1" x14ac:dyDescent="0.35">
      <c r="B220" s="91">
        <f>B219+1</f>
        <v>2024</v>
      </c>
      <c r="E220" s="61"/>
      <c r="F220" s="79">
        <f>$F$207/$D$207</f>
        <v>320.13442500000002</v>
      </c>
      <c r="G220" s="79">
        <f t="shared" ref="G220:J220" si="110">$F$207/$D$207</f>
        <v>320.13442500000002</v>
      </c>
      <c r="H220" s="79">
        <f t="shared" si="110"/>
        <v>320.13442500000002</v>
      </c>
      <c r="I220" s="79">
        <f t="shared" si="110"/>
        <v>320.13442500000002</v>
      </c>
      <c r="J220" s="79">
        <f t="shared" si="110"/>
        <v>320.13442500000002</v>
      </c>
    </row>
    <row r="221" spans="2:10" outlineLevel="1" x14ac:dyDescent="0.35">
      <c r="B221" s="91">
        <f t="shared" ref="B221:B224" si="111">B220+1</f>
        <v>2025</v>
      </c>
      <c r="E221" s="61"/>
      <c r="F221" s="74"/>
      <c r="G221" s="79">
        <f t="shared" ref="G221:J221" si="112">$G$207/$D$207</f>
        <v>353.41284624750006</v>
      </c>
      <c r="H221" s="79">
        <f t="shared" si="112"/>
        <v>353.41284624750006</v>
      </c>
      <c r="I221" s="79">
        <f t="shared" si="112"/>
        <v>353.41284624750006</v>
      </c>
      <c r="J221" s="79">
        <f t="shared" si="112"/>
        <v>353.41284624750006</v>
      </c>
    </row>
    <row r="222" spans="2:10" outlineLevel="1" x14ac:dyDescent="0.35">
      <c r="B222" s="91">
        <f t="shared" si="111"/>
        <v>2026</v>
      </c>
      <c r="E222" s="61"/>
      <c r="F222" s="74"/>
      <c r="G222" s="74"/>
      <c r="H222" s="79">
        <f>$H$207/$D$207</f>
        <v>390.2297080486029</v>
      </c>
      <c r="I222" s="79">
        <f>$H$207/$D$207</f>
        <v>390.2297080486029</v>
      </c>
      <c r="J222" s="79">
        <f>$H$207/$D$207</f>
        <v>390.2297080486029</v>
      </c>
    </row>
    <row r="223" spans="2:10" outlineLevel="1" x14ac:dyDescent="0.35">
      <c r="B223" s="91">
        <f t="shared" si="111"/>
        <v>2027</v>
      </c>
      <c r="E223" s="61"/>
      <c r="F223" s="74"/>
      <c r="G223" s="74"/>
      <c r="H223" s="74"/>
      <c r="I223" s="79">
        <f>$I$207/$D$207</f>
        <v>425.92181699748596</v>
      </c>
      <c r="J223" s="79">
        <f>$I$207/$D$207</f>
        <v>425.92181699748596</v>
      </c>
    </row>
    <row r="224" spans="2:10" outlineLevel="1" x14ac:dyDescent="0.35">
      <c r="B224" s="91">
        <f t="shared" si="111"/>
        <v>2028</v>
      </c>
      <c r="E224" s="61"/>
      <c r="F224" s="74"/>
      <c r="G224" s="74"/>
      <c r="H224" s="74"/>
      <c r="I224" s="74"/>
      <c r="J224" s="79">
        <f>$J$207/$D$207</f>
        <v>465.02349492553213</v>
      </c>
    </row>
    <row r="225" spans="1:10" outlineLevel="1" x14ac:dyDescent="0.35">
      <c r="B225" s="60" t="s">
        <v>172</v>
      </c>
      <c r="C225" s="59"/>
      <c r="D225" s="59"/>
      <c r="E225" s="64">
        <f>SUM(E219:E224)</f>
        <v>783.37279999999998</v>
      </c>
      <c r="F225" s="64">
        <f t="shared" ref="F225:J225" si="113">SUM(F219:F224)</f>
        <v>1103.5072250000001</v>
      </c>
      <c r="G225" s="64">
        <f t="shared" si="113"/>
        <v>1456.9200712475001</v>
      </c>
      <c r="H225" s="64">
        <f t="shared" si="113"/>
        <v>1847.1497792961031</v>
      </c>
      <c r="I225" s="64">
        <f t="shared" si="113"/>
        <v>2273.0715962935892</v>
      </c>
      <c r="J225" s="64">
        <f t="shared" si="113"/>
        <v>2738.0950912191215</v>
      </c>
    </row>
    <row r="226" spans="1:10" outlineLevel="1" x14ac:dyDescent="0.35"/>
    <row r="227" spans="1:10" outlineLevel="1" x14ac:dyDescent="0.35"/>
    <row r="228" spans="1:10" outlineLevel="1" x14ac:dyDescent="0.35">
      <c r="B228" s="89" t="s">
        <v>173</v>
      </c>
    </row>
    <row r="229" spans="1:10" outlineLevel="1" x14ac:dyDescent="0.35"/>
    <row r="230" spans="1:10" outlineLevel="1" x14ac:dyDescent="0.35">
      <c r="B230" s="91">
        <f>$E$6</f>
        <v>2023</v>
      </c>
      <c r="E230" s="87">
        <f>-'Audited Income Statement'!G15</f>
        <v>232.2208</v>
      </c>
      <c r="F230" s="79">
        <f>E230</f>
        <v>232.2208</v>
      </c>
      <c r="G230" s="79">
        <f t="shared" ref="G230:J230" si="114">F230</f>
        <v>232.2208</v>
      </c>
      <c r="H230" s="79">
        <f t="shared" si="114"/>
        <v>232.2208</v>
      </c>
      <c r="I230" s="79">
        <f t="shared" si="114"/>
        <v>232.2208</v>
      </c>
      <c r="J230" s="79">
        <f t="shared" si="114"/>
        <v>232.2208</v>
      </c>
    </row>
    <row r="231" spans="1:10" outlineLevel="1" x14ac:dyDescent="0.35">
      <c r="B231" s="91">
        <f>B230+1</f>
        <v>2024</v>
      </c>
      <c r="E231" s="61"/>
      <c r="F231" s="79">
        <f>$F$212/$D$212</f>
        <v>128.05377000000001</v>
      </c>
      <c r="G231" s="79">
        <f t="shared" ref="G231:J231" si="115">$F$212/$D$212</f>
        <v>128.05377000000001</v>
      </c>
      <c r="H231" s="79">
        <f t="shared" si="115"/>
        <v>128.05377000000001</v>
      </c>
      <c r="I231" s="79">
        <f t="shared" si="115"/>
        <v>128.05377000000001</v>
      </c>
      <c r="J231" s="79">
        <f t="shared" si="115"/>
        <v>128.05377000000001</v>
      </c>
    </row>
    <row r="232" spans="1:10" outlineLevel="1" x14ac:dyDescent="0.35">
      <c r="B232" s="91">
        <f t="shared" ref="B232:B235" si="116">B231+1</f>
        <v>2025</v>
      </c>
      <c r="E232" s="61"/>
      <c r="F232" s="74"/>
      <c r="G232" s="79">
        <f>$G$212/$D$212</f>
        <v>141.36513849900001</v>
      </c>
      <c r="H232" s="79">
        <f t="shared" ref="H232:J232" si="117">$G$212/$D$212</f>
        <v>141.36513849900001</v>
      </c>
      <c r="I232" s="79">
        <f t="shared" si="117"/>
        <v>141.36513849900001</v>
      </c>
      <c r="J232" s="79">
        <f t="shared" si="117"/>
        <v>141.36513849900001</v>
      </c>
    </row>
    <row r="233" spans="1:10" outlineLevel="1" x14ac:dyDescent="0.35">
      <c r="B233" s="91">
        <f t="shared" si="116"/>
        <v>2026</v>
      </c>
      <c r="E233" s="61"/>
      <c r="F233" s="74"/>
      <c r="G233" s="74"/>
      <c r="H233" s="79">
        <f>$H$212/$D$212</f>
        <v>156.09188321944114</v>
      </c>
      <c r="I233" s="79">
        <f t="shared" ref="I233:J233" si="118">$H$212/$D$212</f>
        <v>156.09188321944114</v>
      </c>
      <c r="J233" s="79">
        <f t="shared" si="118"/>
        <v>156.09188321944114</v>
      </c>
    </row>
    <row r="234" spans="1:10" outlineLevel="1" x14ac:dyDescent="0.35">
      <c r="B234" s="91">
        <f t="shared" si="116"/>
        <v>2027</v>
      </c>
      <c r="E234" s="61"/>
      <c r="F234" s="74"/>
      <c r="G234" s="74"/>
      <c r="H234" s="74"/>
      <c r="I234" s="79">
        <f>$I$212/$D$212</f>
        <v>170.36872679899437</v>
      </c>
      <c r="J234" s="79">
        <f>$I$212/$D$212</f>
        <v>170.36872679899437</v>
      </c>
    </row>
    <row r="235" spans="1:10" outlineLevel="1" x14ac:dyDescent="0.35">
      <c r="B235" s="91">
        <f t="shared" si="116"/>
        <v>2028</v>
      </c>
      <c r="E235" s="61"/>
      <c r="F235" s="74"/>
      <c r="G235" s="74"/>
      <c r="H235" s="74"/>
      <c r="I235" s="74"/>
      <c r="J235" s="79">
        <f>$J$212/$D$212</f>
        <v>186.00939797021286</v>
      </c>
    </row>
    <row r="236" spans="1:10" outlineLevel="1" x14ac:dyDescent="0.35">
      <c r="B236" s="60" t="s">
        <v>174</v>
      </c>
      <c r="C236" s="59"/>
      <c r="D236" s="59"/>
      <c r="E236" s="64">
        <f>SUM(E230:E235)</f>
        <v>232.2208</v>
      </c>
      <c r="F236" s="64">
        <f t="shared" ref="F236" si="119">SUM(F230:F235)</f>
        <v>360.27457000000004</v>
      </c>
      <c r="G236" s="64">
        <f t="shared" ref="G236" si="120">SUM(G230:G235)</f>
        <v>501.63970849900005</v>
      </c>
      <c r="H236" s="64">
        <f t="shared" ref="H236" si="121">SUM(H230:H235)</f>
        <v>657.73159171844122</v>
      </c>
      <c r="I236" s="64">
        <f t="shared" ref="I236" si="122">SUM(I230:I235)</f>
        <v>828.10031851743565</v>
      </c>
      <c r="J236" s="64">
        <f t="shared" ref="J236" si="123">SUM(J230:J235)</f>
        <v>1014.1097164876485</v>
      </c>
    </row>
    <row r="238" spans="1:10" ht="18.5" x14ac:dyDescent="0.45">
      <c r="A238" s="46" t="s">
        <v>52</v>
      </c>
      <c r="B238" s="54" t="s">
        <v>175</v>
      </c>
      <c r="C238" s="55"/>
      <c r="D238" s="55"/>
      <c r="E238" s="55"/>
      <c r="F238" s="55"/>
      <c r="G238" s="55"/>
      <c r="H238" s="55"/>
      <c r="I238" s="55"/>
      <c r="J238" s="55"/>
    </row>
    <row r="239" spans="1:10" outlineLevel="1" x14ac:dyDescent="0.35"/>
    <row r="240" spans="1:10" outlineLevel="1" x14ac:dyDescent="0.35">
      <c r="B240" t="s">
        <v>176</v>
      </c>
      <c r="E240" s="79">
        <f t="shared" ref="E240:J240" si="124">E41</f>
        <v>58010</v>
      </c>
      <c r="F240" s="79">
        <f t="shared" si="124"/>
        <v>64026.885000000002</v>
      </c>
      <c r="G240" s="79">
        <f t="shared" si="124"/>
        <v>70682.569249500011</v>
      </c>
      <c r="H240" s="79">
        <f t="shared" si="124"/>
        <v>78045.941609720569</v>
      </c>
      <c r="I240" s="79">
        <f t="shared" si="124"/>
        <v>85184.36339949719</v>
      </c>
      <c r="J240" s="79">
        <f t="shared" si="124"/>
        <v>93004.698985106428</v>
      </c>
    </row>
    <row r="241" spans="1:10" outlineLevel="1" x14ac:dyDescent="0.35">
      <c r="B241" s="85" t="s">
        <v>31</v>
      </c>
      <c r="E241" s="93">
        <f>E124*-1</f>
        <v>-28113.5</v>
      </c>
      <c r="F241" s="93">
        <f t="shared" ref="F241:J241" si="125">F124*-1</f>
        <v>-30164.898249999998</v>
      </c>
      <c r="G241" s="93">
        <f t="shared" si="125"/>
        <v>-32368.842189125004</v>
      </c>
      <c r="H241" s="93">
        <f t="shared" si="125"/>
        <v>-34736.840967417069</v>
      </c>
      <c r="I241" s="93">
        <f t="shared" si="125"/>
        <v>-36790.201480673277</v>
      </c>
      <c r="J241" s="93">
        <f t="shared" si="125"/>
        <v>-38971.938387975075</v>
      </c>
    </row>
    <row r="242" spans="1:10" outlineLevel="1" x14ac:dyDescent="0.35">
      <c r="B242" s="85" t="s">
        <v>177</v>
      </c>
      <c r="E242" s="93">
        <f>E187*-1</f>
        <v>-20394.779600000002</v>
      </c>
      <c r="F242" s="93">
        <f t="shared" ref="F242:J242" si="126">F187*-1</f>
        <v>-22301.599925000002</v>
      </c>
      <c r="G242" s="93">
        <f t="shared" si="126"/>
        <v>-24661.571621097504</v>
      </c>
      <c r="H242" s="93">
        <f t="shared" si="126"/>
        <v>-27718.447367061977</v>
      </c>
      <c r="I242" s="93">
        <f t="shared" si="126"/>
        <v>-29998.249746041616</v>
      </c>
      <c r="J242" s="93">
        <f t="shared" si="126"/>
        <v>-32493.478961012523</v>
      </c>
    </row>
    <row r="243" spans="1:10" outlineLevel="1" x14ac:dyDescent="0.35">
      <c r="B243" s="85" t="s">
        <v>185</v>
      </c>
      <c r="E243" s="93">
        <f>-1*(E236+E225)</f>
        <v>-1015.5935999999999</v>
      </c>
      <c r="F243" s="93">
        <f t="shared" ref="F243:J243" si="127">-1*(F236+F225)</f>
        <v>-1463.7817950000001</v>
      </c>
      <c r="G243" s="93">
        <f t="shared" si="127"/>
        <v>-1958.5597797465002</v>
      </c>
      <c r="H243" s="93">
        <f t="shared" si="127"/>
        <v>-2504.8813710145441</v>
      </c>
      <c r="I243" s="93">
        <f t="shared" si="127"/>
        <v>-3101.1719148110251</v>
      </c>
      <c r="J243" s="93">
        <f t="shared" si="127"/>
        <v>-3752.2048077067702</v>
      </c>
    </row>
    <row r="244" spans="1:10" outlineLevel="1" x14ac:dyDescent="0.35">
      <c r="B244" s="85" t="s">
        <v>178</v>
      </c>
      <c r="E244" s="93">
        <f>-E351</f>
        <v>-278.71199999999999</v>
      </c>
      <c r="F244" s="93">
        <f t="shared" ref="F244:J244" si="128">-F351</f>
        <v>-653.16719999999998</v>
      </c>
      <c r="G244" s="93">
        <f t="shared" si="128"/>
        <v>-707.05439999999999</v>
      </c>
      <c r="H244" s="93">
        <f t="shared" si="128"/>
        <v>-733.37160000000006</v>
      </c>
      <c r="I244" s="93">
        <f t="shared" si="128"/>
        <v>-733.16880000000003</v>
      </c>
      <c r="J244" s="93">
        <f t="shared" si="128"/>
        <v>-732.44600000000003</v>
      </c>
    </row>
    <row r="245" spans="1:10" outlineLevel="1" x14ac:dyDescent="0.35">
      <c r="B245" s="92" t="s">
        <v>179</v>
      </c>
      <c r="C245" s="59"/>
      <c r="D245" s="59"/>
      <c r="E245" s="64">
        <f>SUM(E240:E244)</f>
        <v>8207.4147999999986</v>
      </c>
      <c r="F245" s="64">
        <f t="shared" ref="F245:J245" si="129">SUM(F240:F244)</f>
        <v>9443.4378300000008</v>
      </c>
      <c r="G245" s="64">
        <f t="shared" si="129"/>
        <v>10986.541259531004</v>
      </c>
      <c r="H245" s="64">
        <f t="shared" si="129"/>
        <v>12352.400304226978</v>
      </c>
      <c r="I245" s="64">
        <f t="shared" si="129"/>
        <v>14561.571457971273</v>
      </c>
      <c r="J245" s="64">
        <f t="shared" si="129"/>
        <v>17054.630828412061</v>
      </c>
    </row>
    <row r="246" spans="1:10" outlineLevel="1" x14ac:dyDescent="0.35">
      <c r="B246" s="85" t="s">
        <v>180</v>
      </c>
      <c r="E246" s="94">
        <f>'Audited Income Statement'!G26</f>
        <v>-1659.4470437999992</v>
      </c>
      <c r="F246" s="93">
        <f>F245*-F249</f>
        <v>-2360.8594575000002</v>
      </c>
      <c r="G246" s="93">
        <f t="shared" ref="G246:J246" si="130">G245*-G249</f>
        <v>-2746.6353148827511</v>
      </c>
      <c r="H246" s="93">
        <f t="shared" si="130"/>
        <v>-3088.1000760567445</v>
      </c>
      <c r="I246" s="93">
        <f t="shared" si="130"/>
        <v>-3640.3928644928183</v>
      </c>
      <c r="J246" s="93">
        <f t="shared" si="130"/>
        <v>-4263.6577071030151</v>
      </c>
    </row>
    <row r="247" spans="1:10" outlineLevel="1" x14ac:dyDescent="0.35">
      <c r="B247" s="92" t="s">
        <v>45</v>
      </c>
      <c r="C247" s="60"/>
      <c r="D247" s="60"/>
      <c r="E247" s="64">
        <f>SUM(E245:E246)</f>
        <v>6547.9677561999997</v>
      </c>
      <c r="F247" s="64">
        <f t="shared" ref="F247:J247" si="131">SUM(F245:F246)</f>
        <v>7082.5783725000001</v>
      </c>
      <c r="G247" s="64">
        <f t="shared" si="131"/>
        <v>8239.9059446482534</v>
      </c>
      <c r="H247" s="64">
        <f t="shared" si="131"/>
        <v>9264.3002281702338</v>
      </c>
      <c r="I247" s="64">
        <f t="shared" si="131"/>
        <v>10921.178593478455</v>
      </c>
      <c r="J247" s="64">
        <f t="shared" si="131"/>
        <v>12790.973121309045</v>
      </c>
    </row>
    <row r="248" spans="1:10" outlineLevel="1" x14ac:dyDescent="0.35"/>
    <row r="249" spans="1:10" outlineLevel="1" x14ac:dyDescent="0.35">
      <c r="B249" s="147" t="s">
        <v>147</v>
      </c>
      <c r="C249" s="147"/>
      <c r="D249" s="147"/>
      <c r="E249" s="150"/>
      <c r="F249" s="148">
        <f>'Control Sheet'!G216</f>
        <v>0.25</v>
      </c>
      <c r="G249" s="148">
        <f>'Control Sheet'!H216</f>
        <v>0.25</v>
      </c>
      <c r="H249" s="148">
        <f>'Control Sheet'!I216</f>
        <v>0.25</v>
      </c>
      <c r="I249" s="148">
        <f>'Control Sheet'!J216</f>
        <v>0.25</v>
      </c>
      <c r="J249" s="148">
        <f>'Control Sheet'!K216</f>
        <v>0.25</v>
      </c>
    </row>
    <row r="251" spans="1:10" ht="18.5" x14ac:dyDescent="0.45">
      <c r="A251" s="46" t="s">
        <v>52</v>
      </c>
      <c r="B251" s="54" t="s">
        <v>186</v>
      </c>
      <c r="C251" s="55"/>
      <c r="D251" s="55"/>
      <c r="E251" s="55"/>
      <c r="F251" s="55"/>
      <c r="G251" s="55"/>
      <c r="H251" s="55"/>
      <c r="I251" s="55"/>
      <c r="J251" s="55"/>
    </row>
    <row r="252" spans="1:10" outlineLevel="1" x14ac:dyDescent="0.35"/>
    <row r="253" spans="1:10" outlineLevel="1" x14ac:dyDescent="0.35">
      <c r="B253" t="s">
        <v>187</v>
      </c>
      <c r="F253" s="79">
        <f>E256</f>
        <v>13098.562399999999</v>
      </c>
      <c r="G253" s="79">
        <f t="shared" ref="G253:J253" si="132">F256</f>
        <v>18056.367260749998</v>
      </c>
      <c r="H253" s="79">
        <f t="shared" si="132"/>
        <v>23824.301422003773</v>
      </c>
      <c r="I253" s="79">
        <f t="shared" si="132"/>
        <v>30309.311581722937</v>
      </c>
      <c r="J253" s="79">
        <f t="shared" si="132"/>
        <v>37954.136597157856</v>
      </c>
    </row>
    <row r="254" spans="1:10" outlineLevel="1" x14ac:dyDescent="0.35">
      <c r="B254" s="85" t="s">
        <v>188</v>
      </c>
      <c r="F254" s="79">
        <f>F247</f>
        <v>7082.5783725000001</v>
      </c>
      <c r="G254" s="79">
        <f t="shared" ref="G254:J254" si="133">G247</f>
        <v>8239.9059446482534</v>
      </c>
      <c r="H254" s="79">
        <f t="shared" si="133"/>
        <v>9264.3002281702338</v>
      </c>
      <c r="I254" s="79">
        <f t="shared" si="133"/>
        <v>10921.178593478455</v>
      </c>
      <c r="J254" s="79">
        <f t="shared" si="133"/>
        <v>12790.973121309045</v>
      </c>
    </row>
    <row r="255" spans="1:10" outlineLevel="1" x14ac:dyDescent="0.35">
      <c r="B255" s="85" t="s">
        <v>189</v>
      </c>
      <c r="F255" s="93">
        <f>F254*-F258</f>
        <v>-2124.7735117500001</v>
      </c>
      <c r="G255" s="93">
        <f t="shared" ref="G255:J255" si="134">G254*-G258</f>
        <v>-2471.971783394476</v>
      </c>
      <c r="H255" s="93">
        <f t="shared" si="134"/>
        <v>-2779.2900684510701</v>
      </c>
      <c r="I255" s="93">
        <f t="shared" si="134"/>
        <v>-3276.3535780435363</v>
      </c>
      <c r="J255" s="93">
        <f t="shared" si="134"/>
        <v>-3837.2919363927135</v>
      </c>
    </row>
    <row r="256" spans="1:10" outlineLevel="1" x14ac:dyDescent="0.35">
      <c r="B256" s="60" t="s">
        <v>190</v>
      </c>
      <c r="C256" s="60"/>
      <c r="D256" s="60"/>
      <c r="E256" s="88">
        <f>'Audited Balance Sheet'!G37</f>
        <v>13098.562399999999</v>
      </c>
      <c r="F256" s="64">
        <f>SUM(F253:F255)</f>
        <v>18056.367260749998</v>
      </c>
      <c r="G256" s="64">
        <f t="shared" ref="G256:J256" si="135">SUM(G253:G255)</f>
        <v>23824.301422003773</v>
      </c>
      <c r="H256" s="64">
        <f t="shared" si="135"/>
        <v>30309.311581722937</v>
      </c>
      <c r="I256" s="64">
        <f t="shared" si="135"/>
        <v>37954.136597157856</v>
      </c>
      <c r="J256" s="64">
        <f t="shared" si="135"/>
        <v>46907.817782074191</v>
      </c>
    </row>
    <row r="257" spans="1:10" outlineLevel="1" x14ac:dyDescent="0.35"/>
    <row r="258" spans="1:10" outlineLevel="1" x14ac:dyDescent="0.35">
      <c r="B258" s="147" t="s">
        <v>191</v>
      </c>
      <c r="C258" s="147"/>
      <c r="D258" s="147"/>
      <c r="E258" s="147"/>
      <c r="F258" s="148">
        <f>'Control Sheet'!G248</f>
        <v>0.3</v>
      </c>
      <c r="G258" s="148">
        <f>'Control Sheet'!H248</f>
        <v>0.3</v>
      </c>
      <c r="H258" s="148">
        <f>'Control Sheet'!I248</f>
        <v>0.3</v>
      </c>
      <c r="I258" s="148">
        <f>'Control Sheet'!J248</f>
        <v>0.3</v>
      </c>
      <c r="J258" s="148">
        <f>'Control Sheet'!K248</f>
        <v>0.3</v>
      </c>
    </row>
    <row r="260" spans="1:10" ht="18.5" x14ac:dyDescent="0.45">
      <c r="A260" s="46" t="s">
        <v>52</v>
      </c>
      <c r="B260" s="54" t="s">
        <v>192</v>
      </c>
      <c r="C260" s="55"/>
      <c r="D260" s="55"/>
      <c r="E260" s="55"/>
      <c r="F260" s="55"/>
      <c r="G260" s="55"/>
      <c r="H260" s="55"/>
      <c r="I260" s="55"/>
      <c r="J260" s="55"/>
    </row>
    <row r="261" spans="1:10" outlineLevel="1" x14ac:dyDescent="0.35">
      <c r="J261" s="96">
        <v>365</v>
      </c>
    </row>
    <row r="262" spans="1:10" ht="15.5" outlineLevel="1" x14ac:dyDescent="0.35">
      <c r="B262" s="95" t="s">
        <v>6</v>
      </c>
      <c r="C262" s="57"/>
      <c r="D262" s="57"/>
      <c r="E262" s="57"/>
      <c r="F262" s="57"/>
      <c r="G262" s="57"/>
      <c r="H262" s="57"/>
      <c r="I262" s="57"/>
      <c r="J262" s="57"/>
    </row>
    <row r="263" spans="1:10" outlineLevel="1" x14ac:dyDescent="0.35">
      <c r="B263" t="s">
        <v>30</v>
      </c>
      <c r="E263" s="79">
        <f>E$41</f>
        <v>58010</v>
      </c>
      <c r="F263" s="79">
        <f t="shared" ref="F263:J263" si="136">F$41</f>
        <v>64026.885000000002</v>
      </c>
      <c r="G263" s="79">
        <f t="shared" si="136"/>
        <v>70682.569249500011</v>
      </c>
      <c r="H263" s="79">
        <f t="shared" si="136"/>
        <v>78045.941609720569</v>
      </c>
      <c r="I263" s="79">
        <f t="shared" si="136"/>
        <v>85184.36339949719</v>
      </c>
      <c r="J263" s="79">
        <f t="shared" si="136"/>
        <v>93004.698985106428</v>
      </c>
    </row>
    <row r="264" spans="1:10" outlineLevel="1" x14ac:dyDescent="0.35">
      <c r="B264" t="s">
        <v>6</v>
      </c>
      <c r="E264" s="87">
        <f>'Audited Balance Sheet'!G11</f>
        <v>6550.7708000000002</v>
      </c>
      <c r="F264" s="79">
        <f>F263/$J$261*F265</f>
        <v>7230.2266621782101</v>
      </c>
      <c r="G264" s="79">
        <f t="shared" ref="G264:J264" si="137">G263/$J$261*G265</f>
        <v>7981.8188365558099</v>
      </c>
      <c r="H264" s="79">
        <f t="shared" si="137"/>
        <v>8813.3265877514641</v>
      </c>
      <c r="I264" s="79">
        <f t="shared" si="137"/>
        <v>9619.4318285470581</v>
      </c>
      <c r="J264" s="79">
        <f t="shared" si="137"/>
        <v>10502.542085406392</v>
      </c>
    </row>
    <row r="265" spans="1:10" outlineLevel="1" x14ac:dyDescent="0.35">
      <c r="B265" s="144" t="s">
        <v>194</v>
      </c>
      <c r="C265" s="144"/>
      <c r="D265" s="144"/>
      <c r="E265" s="154">
        <f>E264/E263*$J$261</f>
        <v>41.21757183244268</v>
      </c>
      <c r="F265" s="154">
        <f>E265</f>
        <v>41.21757183244268</v>
      </c>
      <c r="G265" s="154">
        <f t="shared" ref="G265:J265" si="138">F265</f>
        <v>41.21757183244268</v>
      </c>
      <c r="H265" s="154">
        <f t="shared" si="138"/>
        <v>41.21757183244268</v>
      </c>
      <c r="I265" s="154">
        <f t="shared" si="138"/>
        <v>41.21757183244268</v>
      </c>
      <c r="J265" s="154">
        <f t="shared" si="138"/>
        <v>41.21757183244268</v>
      </c>
    </row>
    <row r="266" spans="1:10" outlineLevel="1" x14ac:dyDescent="0.35"/>
    <row r="267" spans="1:10" ht="15.5" outlineLevel="1" x14ac:dyDescent="0.35">
      <c r="B267" s="95" t="s">
        <v>5</v>
      </c>
      <c r="C267" s="57"/>
      <c r="D267" s="57"/>
      <c r="E267" s="57"/>
      <c r="F267" s="57"/>
      <c r="G267" s="57"/>
      <c r="H267" s="57"/>
      <c r="I267" s="57"/>
      <c r="J267" s="57"/>
    </row>
    <row r="268" spans="1:10" outlineLevel="1" x14ac:dyDescent="0.35">
      <c r="B268" t="s">
        <v>193</v>
      </c>
      <c r="E268" s="79">
        <f>E$124</f>
        <v>28113.5</v>
      </c>
      <c r="F268" s="79">
        <f t="shared" ref="F268:J268" si="139">F$124</f>
        <v>30164.898249999998</v>
      </c>
      <c r="G268" s="79">
        <f t="shared" si="139"/>
        <v>32368.842189125004</v>
      </c>
      <c r="H268" s="79">
        <f t="shared" si="139"/>
        <v>34736.840967417069</v>
      </c>
      <c r="I268" s="79">
        <f t="shared" si="139"/>
        <v>36790.201480673277</v>
      </c>
      <c r="J268" s="79">
        <f t="shared" si="139"/>
        <v>38971.938387975075</v>
      </c>
    </row>
    <row r="269" spans="1:10" outlineLevel="1" x14ac:dyDescent="0.35">
      <c r="B269" t="s">
        <v>5</v>
      </c>
      <c r="E269" s="87">
        <f>'Audited Balance Sheet'!G10</f>
        <v>5592.6248000000005</v>
      </c>
      <c r="F269" s="79">
        <f>F268/$J$261*F270</f>
        <v>6000.7099095604108</v>
      </c>
      <c r="G269" s="79">
        <f t="shared" ref="G269:J269" si="140">G268/$J$261*G270</f>
        <v>6439.1409669442373</v>
      </c>
      <c r="H269" s="79">
        <f t="shared" si="140"/>
        <v>6910.2074899259333</v>
      </c>
      <c r="I269" s="79">
        <f t="shared" si="140"/>
        <v>7318.682952951789</v>
      </c>
      <c r="J269" s="79">
        <f t="shared" si="140"/>
        <v>7752.6963605620604</v>
      </c>
    </row>
    <row r="270" spans="1:10" outlineLevel="1" x14ac:dyDescent="0.35">
      <c r="B270" s="144" t="str">
        <f>B267&amp;" Days"</f>
        <v>Inventory Days</v>
      </c>
      <c r="C270" s="144"/>
      <c r="D270" s="144"/>
      <c r="E270" s="154">
        <f>E269/E268*$J$261</f>
        <v>72.60953107937469</v>
      </c>
      <c r="F270" s="154">
        <f>E270</f>
        <v>72.60953107937469</v>
      </c>
      <c r="G270" s="154">
        <f t="shared" ref="G270:J270" si="141">F270</f>
        <v>72.60953107937469</v>
      </c>
      <c r="H270" s="154">
        <f t="shared" si="141"/>
        <v>72.60953107937469</v>
      </c>
      <c r="I270" s="154">
        <f t="shared" si="141"/>
        <v>72.60953107937469</v>
      </c>
      <c r="J270" s="154">
        <f t="shared" si="141"/>
        <v>72.60953107937469</v>
      </c>
    </row>
    <row r="271" spans="1:10" outlineLevel="1" x14ac:dyDescent="0.35"/>
    <row r="272" spans="1:10" ht="15.5" outlineLevel="1" x14ac:dyDescent="0.35">
      <c r="B272" s="95" t="s">
        <v>7</v>
      </c>
      <c r="C272" s="57"/>
      <c r="D272" s="57"/>
      <c r="E272" s="57"/>
      <c r="F272" s="57"/>
      <c r="G272" s="57"/>
      <c r="H272" s="57"/>
      <c r="I272" s="57"/>
      <c r="J272" s="57"/>
    </row>
    <row r="273" spans="2:10" outlineLevel="1" x14ac:dyDescent="0.35">
      <c r="B273" t="s">
        <v>30</v>
      </c>
      <c r="E273" s="79">
        <f>E$41</f>
        <v>58010</v>
      </c>
      <c r="F273" s="79">
        <f t="shared" ref="F273:J273" si="142">F$41</f>
        <v>64026.885000000002</v>
      </c>
      <c r="G273" s="79">
        <f t="shared" si="142"/>
        <v>70682.569249500011</v>
      </c>
      <c r="H273" s="79">
        <f t="shared" si="142"/>
        <v>78045.941609720569</v>
      </c>
      <c r="I273" s="79">
        <f t="shared" si="142"/>
        <v>85184.36339949719</v>
      </c>
      <c r="J273" s="79">
        <f t="shared" si="142"/>
        <v>93004.698985106428</v>
      </c>
    </row>
    <row r="274" spans="2:10" outlineLevel="1" x14ac:dyDescent="0.35">
      <c r="B274" t="s">
        <v>7</v>
      </c>
      <c r="E274" s="87">
        <f>'Audited Balance Sheet'!G12</f>
        <v>2186.9875999999999</v>
      </c>
      <c r="F274" s="79">
        <f>F273*F275</f>
        <v>2413.8252639480434</v>
      </c>
      <c r="G274" s="79">
        <f t="shared" ref="G274:J274" si="143">G273*G275</f>
        <v>2664.7457763281818</v>
      </c>
      <c r="H274" s="79">
        <f t="shared" si="143"/>
        <v>2942.3462597962921</v>
      </c>
      <c r="I274" s="79">
        <f t="shared" si="143"/>
        <v>3211.4660656540973</v>
      </c>
      <c r="J274" s="79">
        <f t="shared" si="143"/>
        <v>3506.2941462189333</v>
      </c>
    </row>
    <row r="275" spans="2:10" outlineLevel="1" x14ac:dyDescent="0.35">
      <c r="B275" s="144" t="str">
        <f>B272&amp;" % Sales"</f>
        <v>Prepaid Expenses % Sales</v>
      </c>
      <c r="C275" s="144"/>
      <c r="D275" s="144"/>
      <c r="E275" s="152">
        <f>E274/E273</f>
        <v>3.7700182727116012E-2</v>
      </c>
      <c r="F275" s="153">
        <f>E275</f>
        <v>3.7700182727116012E-2</v>
      </c>
      <c r="G275" s="153">
        <f t="shared" ref="G275:J275" si="144">F275</f>
        <v>3.7700182727116012E-2</v>
      </c>
      <c r="H275" s="153">
        <f t="shared" si="144"/>
        <v>3.7700182727116012E-2</v>
      </c>
      <c r="I275" s="153">
        <f t="shared" si="144"/>
        <v>3.7700182727116012E-2</v>
      </c>
      <c r="J275" s="153">
        <f t="shared" si="144"/>
        <v>3.7700182727116012E-2</v>
      </c>
    </row>
    <row r="276" spans="2:10" outlineLevel="1" x14ac:dyDescent="0.35"/>
    <row r="277" spans="2:10" ht="15.5" outlineLevel="1" x14ac:dyDescent="0.35">
      <c r="B277" s="95" t="s">
        <v>8</v>
      </c>
      <c r="C277" s="57"/>
      <c r="D277" s="57"/>
      <c r="E277" s="57"/>
      <c r="F277" s="57"/>
      <c r="G277" s="57"/>
      <c r="H277" s="57"/>
      <c r="I277" s="57"/>
      <c r="J277" s="57"/>
    </row>
    <row r="278" spans="2:10" outlineLevel="1" x14ac:dyDescent="0.35">
      <c r="B278" t="s">
        <v>30</v>
      </c>
      <c r="E278" s="79">
        <f>E$41</f>
        <v>58010</v>
      </c>
      <c r="F278" s="79">
        <f t="shared" ref="F278:J278" si="145">F$41</f>
        <v>64026.885000000002</v>
      </c>
      <c r="G278" s="79">
        <f t="shared" si="145"/>
        <v>70682.569249500011</v>
      </c>
      <c r="H278" s="79">
        <f t="shared" si="145"/>
        <v>78045.941609720569</v>
      </c>
      <c r="I278" s="79">
        <f t="shared" si="145"/>
        <v>85184.36339949719</v>
      </c>
      <c r="J278" s="79">
        <f t="shared" si="145"/>
        <v>93004.698985106428</v>
      </c>
    </row>
    <row r="279" spans="2:10" outlineLevel="1" x14ac:dyDescent="0.35">
      <c r="B279" t="s">
        <v>8</v>
      </c>
      <c r="E279" s="87">
        <f>'Audited Balance Sheet'!G13</f>
        <v>151.15520000000001</v>
      </c>
      <c r="F279" s="79">
        <f>F278*F280</f>
        <v>166.83324612225479</v>
      </c>
      <c r="G279" s="79">
        <f t="shared" ref="G279:J279" si="146">G278*G280</f>
        <v>184.17579540462032</v>
      </c>
      <c r="H279" s="79">
        <f t="shared" si="146"/>
        <v>203.36234982254155</v>
      </c>
      <c r="I279" s="79">
        <f t="shared" si="146"/>
        <v>221.96275618899637</v>
      </c>
      <c r="J279" s="79">
        <f t="shared" si="146"/>
        <v>242.34000820606033</v>
      </c>
    </row>
    <row r="280" spans="2:10" outlineLevel="1" x14ac:dyDescent="0.35">
      <c r="B280" s="144" t="str">
        <f>B277&amp;" % Sales"</f>
        <v>Other Current Assets % Sales</v>
      </c>
      <c r="C280" s="144"/>
      <c r="D280" s="144"/>
      <c r="E280" s="152">
        <f>E279/E278</f>
        <v>2.6056748836407518E-3</v>
      </c>
      <c r="F280" s="153">
        <f>E280</f>
        <v>2.6056748836407518E-3</v>
      </c>
      <c r="G280" s="153">
        <f t="shared" ref="G280:J280" si="147">F280</f>
        <v>2.6056748836407518E-3</v>
      </c>
      <c r="H280" s="153">
        <f t="shared" si="147"/>
        <v>2.6056748836407518E-3</v>
      </c>
      <c r="I280" s="153">
        <f t="shared" si="147"/>
        <v>2.6056748836407518E-3</v>
      </c>
      <c r="J280" s="153">
        <f t="shared" si="147"/>
        <v>2.6056748836407518E-3</v>
      </c>
    </row>
    <row r="281" spans="2:10" outlineLevel="1" x14ac:dyDescent="0.35"/>
    <row r="282" spans="2:10" ht="15.5" outlineLevel="1" x14ac:dyDescent="0.35">
      <c r="B282" s="95" t="s">
        <v>17</v>
      </c>
      <c r="C282" s="57"/>
      <c r="D282" s="57"/>
      <c r="E282" s="57"/>
      <c r="F282" s="57"/>
      <c r="G282" s="57"/>
      <c r="H282" s="57"/>
      <c r="I282" s="57"/>
      <c r="J282" s="57"/>
    </row>
    <row r="283" spans="2:10" outlineLevel="1" x14ac:dyDescent="0.35">
      <c r="B283" t="s">
        <v>193</v>
      </c>
      <c r="E283" s="79">
        <f>E$124</f>
        <v>28113.5</v>
      </c>
      <c r="F283" s="79">
        <f t="shared" ref="F283:J283" si="148">F$124</f>
        <v>30164.898249999998</v>
      </c>
      <c r="G283" s="79">
        <f t="shared" si="148"/>
        <v>32368.842189125004</v>
      </c>
      <c r="H283" s="79">
        <f t="shared" si="148"/>
        <v>34736.840967417069</v>
      </c>
      <c r="I283" s="79">
        <f t="shared" si="148"/>
        <v>36790.201480673277</v>
      </c>
      <c r="J283" s="79">
        <f t="shared" si="148"/>
        <v>38971.938387975075</v>
      </c>
    </row>
    <row r="284" spans="2:10" outlineLevel="1" x14ac:dyDescent="0.35">
      <c r="B284" t="s">
        <v>17</v>
      </c>
      <c r="E284" s="87">
        <f>'Audited Balance Sheet'!G26</f>
        <v>6055.8119999999999</v>
      </c>
      <c r="F284" s="79">
        <f>F283/$J$261*F285</f>
        <v>6497.6951571710742</v>
      </c>
      <c r="G284" s="79">
        <f t="shared" ref="G284:J284" si="149">G283/$J$261*G285</f>
        <v>6972.4375461970039</v>
      </c>
      <c r="H284" s="79">
        <f t="shared" si="149"/>
        <v>7482.5183051763706</v>
      </c>
      <c r="I284" s="79">
        <f t="shared" si="149"/>
        <v>7924.8241453066676</v>
      </c>
      <c r="J284" s="79">
        <f t="shared" si="149"/>
        <v>8394.7830100542487</v>
      </c>
    </row>
    <row r="285" spans="2:10" outlineLevel="1" x14ac:dyDescent="0.35">
      <c r="B285" s="144" t="s">
        <v>195</v>
      </c>
      <c r="C285" s="144"/>
      <c r="D285" s="144"/>
      <c r="E285" s="154">
        <f>E284/E283*$J$261</f>
        <v>78.623130524481127</v>
      </c>
      <c r="F285" s="154">
        <f>E285</f>
        <v>78.623130524481127</v>
      </c>
      <c r="G285" s="154">
        <f t="shared" ref="G285:J285" si="150">F285</f>
        <v>78.623130524481127</v>
      </c>
      <c r="H285" s="154">
        <f t="shared" si="150"/>
        <v>78.623130524481127</v>
      </c>
      <c r="I285" s="154">
        <f t="shared" si="150"/>
        <v>78.623130524481127</v>
      </c>
      <c r="J285" s="154">
        <f t="shared" si="150"/>
        <v>78.623130524481127</v>
      </c>
    </row>
    <row r="286" spans="2:10" outlineLevel="1" x14ac:dyDescent="0.35"/>
    <row r="287" spans="2:10" ht="15.5" outlineLevel="1" x14ac:dyDescent="0.35">
      <c r="B287" s="95" t="s">
        <v>18</v>
      </c>
      <c r="C287" s="57"/>
      <c r="D287" s="57"/>
      <c r="E287" s="57"/>
      <c r="F287" s="57"/>
      <c r="G287" s="57"/>
      <c r="H287" s="57"/>
      <c r="I287" s="57"/>
      <c r="J287" s="57"/>
    </row>
    <row r="288" spans="2:10" outlineLevel="1" x14ac:dyDescent="0.35">
      <c r="B288" t="s">
        <v>30</v>
      </c>
      <c r="E288" s="79">
        <f>E$41</f>
        <v>58010</v>
      </c>
      <c r="F288" s="79">
        <f t="shared" ref="F288:J288" si="151">F$41</f>
        <v>64026.885000000002</v>
      </c>
      <c r="G288" s="79">
        <f t="shared" si="151"/>
        <v>70682.569249500011</v>
      </c>
      <c r="H288" s="79">
        <f t="shared" si="151"/>
        <v>78045.941609720569</v>
      </c>
      <c r="I288" s="79">
        <f t="shared" si="151"/>
        <v>85184.36339949719</v>
      </c>
      <c r="J288" s="79">
        <f t="shared" si="151"/>
        <v>93004.698985106428</v>
      </c>
    </row>
    <row r="289" spans="2:10" outlineLevel="1" x14ac:dyDescent="0.35">
      <c r="B289" t="s">
        <v>18</v>
      </c>
      <c r="E289" s="87">
        <f>'Audited Balance Sheet'!G27</f>
        <v>3343.4071999999996</v>
      </c>
      <c r="F289" s="79">
        <f>F288*F290</f>
        <v>3690.1904551382863</v>
      </c>
      <c r="G289" s="79">
        <f t="shared" ref="G289:J289" si="152">G288*G290</f>
        <v>4073.790914381605</v>
      </c>
      <c r="H289" s="79">
        <f t="shared" si="152"/>
        <v>4498.178988255806</v>
      </c>
      <c r="I289" s="79">
        <f t="shared" si="152"/>
        <v>4909.6020327063497</v>
      </c>
      <c r="J289" s="79">
        <f t="shared" si="152"/>
        <v>5360.3271887715482</v>
      </c>
    </row>
    <row r="290" spans="2:10" outlineLevel="1" x14ac:dyDescent="0.35">
      <c r="B290" s="144" t="str">
        <f>B287&amp;" % Sales"</f>
        <v>Other Payables % Sales</v>
      </c>
      <c r="C290" s="144"/>
      <c r="D290" s="144"/>
      <c r="E290" s="152">
        <f>E289/E288</f>
        <v>5.7635014652646088E-2</v>
      </c>
      <c r="F290" s="153">
        <f>E290</f>
        <v>5.7635014652646088E-2</v>
      </c>
      <c r="G290" s="153">
        <f t="shared" ref="G290:J290" si="153">F290</f>
        <v>5.7635014652646088E-2</v>
      </c>
      <c r="H290" s="153">
        <f t="shared" si="153"/>
        <v>5.7635014652646088E-2</v>
      </c>
      <c r="I290" s="153">
        <f t="shared" si="153"/>
        <v>5.7635014652646088E-2</v>
      </c>
      <c r="J290" s="153">
        <f t="shared" si="153"/>
        <v>5.7635014652646088E-2</v>
      </c>
    </row>
    <row r="291" spans="2:10" outlineLevel="1" x14ac:dyDescent="0.35"/>
    <row r="292" spans="2:10" ht="15.5" outlineLevel="1" x14ac:dyDescent="0.35">
      <c r="B292" s="95" t="s">
        <v>19</v>
      </c>
      <c r="C292" s="57"/>
      <c r="D292" s="57"/>
      <c r="E292" s="57"/>
      <c r="F292" s="57"/>
      <c r="G292" s="57"/>
      <c r="H292" s="57"/>
      <c r="I292" s="57"/>
      <c r="J292" s="57"/>
    </row>
    <row r="293" spans="2:10" outlineLevel="1" x14ac:dyDescent="0.35">
      <c r="B293" t="s">
        <v>30</v>
      </c>
      <c r="E293" s="79">
        <f>E$41</f>
        <v>58010</v>
      </c>
      <c r="F293" s="79">
        <f t="shared" ref="F293:J293" si="154">F$41</f>
        <v>64026.885000000002</v>
      </c>
      <c r="G293" s="79">
        <f t="shared" si="154"/>
        <v>70682.569249500011</v>
      </c>
      <c r="H293" s="79">
        <f t="shared" si="154"/>
        <v>78045.941609720569</v>
      </c>
      <c r="I293" s="79">
        <f t="shared" si="154"/>
        <v>85184.36339949719</v>
      </c>
      <c r="J293" s="79">
        <f t="shared" si="154"/>
        <v>93004.698985106428</v>
      </c>
    </row>
    <row r="294" spans="2:10" outlineLevel="1" x14ac:dyDescent="0.35">
      <c r="B294" t="s">
        <v>19</v>
      </c>
      <c r="E294" s="87">
        <f>'Audited Balance Sheet'!G28</f>
        <v>259.30799999999999</v>
      </c>
      <c r="F294" s="79">
        <f>F293*F295</f>
        <v>286.20381823099467</v>
      </c>
      <c r="G294" s="79">
        <f t="shared" ref="G294:J294" si="155">G293*G295</f>
        <v>315.95510544646351</v>
      </c>
      <c r="H294" s="79">
        <f t="shared" si="155"/>
        <v>348.86979877492536</v>
      </c>
      <c r="I294" s="79">
        <f t="shared" si="155"/>
        <v>380.77895025679737</v>
      </c>
      <c r="J294" s="79">
        <f t="shared" si="155"/>
        <v>415.73629519789648</v>
      </c>
    </row>
    <row r="295" spans="2:10" outlineLevel="1" x14ac:dyDescent="0.35">
      <c r="B295" s="144" t="str">
        <f>B292&amp;" % Sales"</f>
        <v>Other Current Liabilities % Sales</v>
      </c>
      <c r="C295" s="144"/>
      <c r="D295" s="144"/>
      <c r="E295" s="152">
        <f>E294/E293</f>
        <v>4.4700568867436646E-3</v>
      </c>
      <c r="F295" s="153">
        <f>E295</f>
        <v>4.4700568867436646E-3</v>
      </c>
      <c r="G295" s="153">
        <f t="shared" ref="G295:J295" si="156">F295</f>
        <v>4.4700568867436646E-3</v>
      </c>
      <c r="H295" s="153">
        <f t="shared" si="156"/>
        <v>4.4700568867436646E-3</v>
      </c>
      <c r="I295" s="153">
        <f t="shared" si="156"/>
        <v>4.4700568867436646E-3</v>
      </c>
      <c r="J295" s="153">
        <f t="shared" si="156"/>
        <v>4.4700568867436646E-3</v>
      </c>
    </row>
    <row r="296" spans="2:10" outlineLevel="1" x14ac:dyDescent="0.35">
      <c r="B296" s="45"/>
      <c r="C296" s="45"/>
      <c r="D296" s="45"/>
      <c r="E296" s="75"/>
      <c r="F296" s="133"/>
      <c r="G296" s="133"/>
      <c r="H296" s="133"/>
      <c r="I296" s="133"/>
      <c r="J296" s="133"/>
    </row>
    <row r="297" spans="2:10" outlineLevel="1" x14ac:dyDescent="0.35">
      <c r="B297" s="89" t="s">
        <v>253</v>
      </c>
      <c r="C297" s="45"/>
      <c r="D297" s="45"/>
      <c r="E297" s="75"/>
      <c r="F297" s="133"/>
      <c r="G297" s="133"/>
      <c r="H297" s="133"/>
      <c r="I297" s="133"/>
      <c r="J297" s="133"/>
    </row>
    <row r="298" spans="2:10" outlineLevel="1" x14ac:dyDescent="0.35">
      <c r="B298" s="45"/>
      <c r="C298" s="45"/>
      <c r="D298" s="45"/>
      <c r="E298" s="75"/>
      <c r="F298" s="133"/>
      <c r="G298" s="133"/>
      <c r="H298" s="133"/>
      <c r="I298" s="133"/>
      <c r="J298" s="133"/>
    </row>
    <row r="299" spans="2:10" outlineLevel="1" x14ac:dyDescent="0.35">
      <c r="B299" s="85" t="str">
        <f>"Change in "&amp;'Audited Balance Sheet'!B10</f>
        <v>Change in Inventory</v>
      </c>
      <c r="C299" s="45"/>
      <c r="D299" s="45"/>
      <c r="E299" s="75"/>
      <c r="F299" s="79">
        <f>F269-E269</f>
        <v>408.08510956041027</v>
      </c>
      <c r="G299" s="79">
        <f t="shared" ref="G299:J299" si="157">G269-F269</f>
        <v>438.43105738382656</v>
      </c>
      <c r="H299" s="79">
        <f t="shared" si="157"/>
        <v>471.06652298169593</v>
      </c>
      <c r="I299" s="79">
        <f t="shared" si="157"/>
        <v>408.47546302585579</v>
      </c>
      <c r="J299" s="79">
        <f t="shared" si="157"/>
        <v>434.01340761027132</v>
      </c>
    </row>
    <row r="300" spans="2:10" outlineLevel="1" x14ac:dyDescent="0.35">
      <c r="B300" s="85" t="str">
        <f>"Change in "&amp;'Audited Balance Sheet'!B11</f>
        <v>Change in Debtors</v>
      </c>
      <c r="C300" s="45"/>
      <c r="D300" s="45"/>
      <c r="E300" s="75"/>
      <c r="F300" s="79">
        <f>F264-E264</f>
        <v>679.45586217820983</v>
      </c>
      <c r="G300" s="79">
        <f t="shared" ref="G300:J300" si="158">G264-F264</f>
        <v>751.5921743775998</v>
      </c>
      <c r="H300" s="79">
        <f t="shared" si="158"/>
        <v>831.50775119565424</v>
      </c>
      <c r="I300" s="79">
        <f t="shared" si="158"/>
        <v>806.105240795594</v>
      </c>
      <c r="J300" s="79">
        <f t="shared" si="158"/>
        <v>883.11025685933419</v>
      </c>
    </row>
    <row r="301" spans="2:10" outlineLevel="1" x14ac:dyDescent="0.35">
      <c r="B301" s="85" t="str">
        <f>"Change in "&amp;'Audited Balance Sheet'!B12</f>
        <v>Change in Prepaid Expenses</v>
      </c>
      <c r="C301" s="45"/>
      <c r="D301" s="45"/>
      <c r="E301" s="75"/>
      <c r="F301" s="79">
        <f>F274-E274</f>
        <v>226.83766394804343</v>
      </c>
      <c r="G301" s="79">
        <f t="shared" ref="G301:J301" si="159">G274-F274</f>
        <v>250.92051238013846</v>
      </c>
      <c r="H301" s="79">
        <f t="shared" si="159"/>
        <v>277.60048346811027</v>
      </c>
      <c r="I301" s="79">
        <f t="shared" si="159"/>
        <v>269.1198058578052</v>
      </c>
      <c r="J301" s="79">
        <f t="shared" si="159"/>
        <v>294.828080564836</v>
      </c>
    </row>
    <row r="302" spans="2:10" outlineLevel="1" x14ac:dyDescent="0.35">
      <c r="B302" s="85" t="str">
        <f>"Change in "&amp;'Audited Balance Sheet'!B13</f>
        <v>Change in Other Current Assets</v>
      </c>
      <c r="C302" s="45"/>
      <c r="D302" s="45"/>
      <c r="E302" s="75"/>
      <c r="F302" s="79">
        <f>F279-E279</f>
        <v>15.678046122254784</v>
      </c>
      <c r="G302" s="79">
        <f t="shared" ref="G302:J302" si="160">G279-F279</f>
        <v>17.342549282365525</v>
      </c>
      <c r="H302" s="79">
        <f t="shared" si="160"/>
        <v>19.186554417921229</v>
      </c>
      <c r="I302" s="79">
        <f t="shared" si="160"/>
        <v>18.60040636645482</v>
      </c>
      <c r="J302" s="79">
        <f t="shared" si="160"/>
        <v>20.377252017063967</v>
      </c>
    </row>
    <row r="303" spans="2:10" outlineLevel="1" x14ac:dyDescent="0.35">
      <c r="B303" s="60" t="s">
        <v>255</v>
      </c>
      <c r="C303" s="60"/>
      <c r="D303" s="60"/>
      <c r="E303" s="134"/>
      <c r="F303" s="64">
        <f>SUM(F299:F302)</f>
        <v>1330.0566818089183</v>
      </c>
      <c r="G303" s="64">
        <f t="shared" ref="G303:J303" si="161">SUM(G299:G302)</f>
        <v>1458.2862934239304</v>
      </c>
      <c r="H303" s="64">
        <f t="shared" si="161"/>
        <v>1599.3613120633818</v>
      </c>
      <c r="I303" s="64">
        <f t="shared" si="161"/>
        <v>1502.3009160457098</v>
      </c>
      <c r="J303" s="64">
        <f t="shared" si="161"/>
        <v>1632.3289970515054</v>
      </c>
    </row>
    <row r="304" spans="2:10" outlineLevel="1" x14ac:dyDescent="0.35">
      <c r="B304" s="45"/>
      <c r="C304" s="45"/>
      <c r="D304" s="45"/>
      <c r="E304" s="75"/>
      <c r="F304" s="79"/>
      <c r="G304" s="79"/>
      <c r="H304" s="79"/>
      <c r="I304" s="79"/>
      <c r="J304" s="79"/>
    </row>
    <row r="305" spans="1:10" outlineLevel="1" x14ac:dyDescent="0.35">
      <c r="B305" s="85" t="str">
        <f>"Change in "&amp;'Audited Balance Sheet'!B26</f>
        <v>Change in Creditors</v>
      </c>
      <c r="C305" s="45"/>
      <c r="D305" s="45"/>
      <c r="E305" s="75"/>
      <c r="F305" s="79">
        <f>F284-E284</f>
        <v>441.88315717107434</v>
      </c>
      <c r="G305" s="79">
        <f t="shared" ref="G305:J305" si="162">G284-F284</f>
        <v>474.7423890259297</v>
      </c>
      <c r="H305" s="79">
        <f t="shared" si="162"/>
        <v>510.08075897936669</v>
      </c>
      <c r="I305" s="79">
        <f t="shared" si="162"/>
        <v>442.30584013029693</v>
      </c>
      <c r="J305" s="79">
        <f t="shared" si="162"/>
        <v>469.95886474758117</v>
      </c>
    </row>
    <row r="306" spans="1:10" outlineLevel="1" x14ac:dyDescent="0.35">
      <c r="B306" s="85" t="str">
        <f>"Change in "&amp;'Audited Balance Sheet'!B27</f>
        <v>Change in Other Payables</v>
      </c>
      <c r="C306" s="45"/>
      <c r="D306" s="45"/>
      <c r="E306" s="75"/>
      <c r="F306" s="79">
        <f>F289-E289</f>
        <v>346.78325513828668</v>
      </c>
      <c r="G306" s="79">
        <f t="shared" ref="G306:J306" si="163">G289-F289</f>
        <v>383.60045924331871</v>
      </c>
      <c r="H306" s="79">
        <f t="shared" si="163"/>
        <v>424.38807387420093</v>
      </c>
      <c r="I306" s="79">
        <f t="shared" si="163"/>
        <v>411.42304445054378</v>
      </c>
      <c r="J306" s="79">
        <f t="shared" si="163"/>
        <v>450.72515606519846</v>
      </c>
    </row>
    <row r="307" spans="1:10" outlineLevel="1" x14ac:dyDescent="0.35">
      <c r="B307" s="85" t="str">
        <f>"Change in "&amp;'Audited Balance Sheet'!B28</f>
        <v>Change in Other Current Liabilities</v>
      </c>
      <c r="C307" s="45"/>
      <c r="D307" s="45"/>
      <c r="E307" s="75"/>
      <c r="F307" s="79">
        <f>F294-E294</f>
        <v>26.895818230994678</v>
      </c>
      <c r="G307" s="79">
        <f t="shared" ref="G307:J307" si="164">G294-F294</f>
        <v>29.751287215468835</v>
      </c>
      <c r="H307" s="79">
        <f t="shared" si="164"/>
        <v>32.914693328461851</v>
      </c>
      <c r="I307" s="79">
        <f t="shared" si="164"/>
        <v>31.909151481872016</v>
      </c>
      <c r="J307" s="79">
        <f t="shared" si="164"/>
        <v>34.957344941099109</v>
      </c>
    </row>
    <row r="308" spans="1:10" outlineLevel="1" x14ac:dyDescent="0.35">
      <c r="B308" s="60" t="s">
        <v>254</v>
      </c>
      <c r="C308" s="60"/>
      <c r="D308" s="60"/>
      <c r="E308" s="134"/>
      <c r="F308" s="64">
        <f>SUM(F305:F307)</f>
        <v>815.5622305403557</v>
      </c>
      <c r="G308" s="64">
        <f t="shared" ref="G308:J308" si="165">SUM(G305:G307)</f>
        <v>888.0941354847173</v>
      </c>
      <c r="H308" s="64">
        <f t="shared" si="165"/>
        <v>967.38352618202953</v>
      </c>
      <c r="I308" s="64">
        <f t="shared" si="165"/>
        <v>885.63803606271267</v>
      </c>
      <c r="J308" s="64">
        <f t="shared" si="165"/>
        <v>955.64136575387874</v>
      </c>
    </row>
    <row r="309" spans="1:10" outlineLevel="1" x14ac:dyDescent="0.35">
      <c r="B309" s="45"/>
      <c r="C309" s="45"/>
      <c r="D309" s="45"/>
      <c r="E309" s="75"/>
      <c r="F309" s="133"/>
      <c r="G309" s="133"/>
      <c r="H309" s="133"/>
      <c r="I309" s="133"/>
      <c r="J309" s="133"/>
    </row>
    <row r="310" spans="1:10" ht="15" outlineLevel="1" thickBot="1" x14ac:dyDescent="0.4">
      <c r="B310" s="68" t="s">
        <v>256</v>
      </c>
      <c r="C310" s="68"/>
      <c r="D310" s="68"/>
      <c r="E310" s="135"/>
      <c r="F310" s="69">
        <f>F303-F308</f>
        <v>514.49445126856256</v>
      </c>
      <c r="G310" s="69">
        <f t="shared" ref="G310:J310" si="166">G303-G308</f>
        <v>570.19215793921308</v>
      </c>
      <c r="H310" s="69">
        <f t="shared" si="166"/>
        <v>631.97778588135225</v>
      </c>
      <c r="I310" s="69">
        <f t="shared" si="166"/>
        <v>616.66287998299708</v>
      </c>
      <c r="J310" s="69">
        <f t="shared" si="166"/>
        <v>676.68763129762669</v>
      </c>
    </row>
    <row r="312" spans="1:10" ht="18.5" x14ac:dyDescent="0.45">
      <c r="A312" s="46" t="s">
        <v>52</v>
      </c>
      <c r="B312" s="54" t="s">
        <v>196</v>
      </c>
      <c r="C312" s="55"/>
      <c r="D312" s="55"/>
      <c r="E312" s="55"/>
      <c r="F312" s="55"/>
      <c r="G312" s="55"/>
      <c r="H312" s="55"/>
      <c r="I312" s="55"/>
      <c r="J312" s="55"/>
    </row>
    <row r="313" spans="1:10" outlineLevel="1" x14ac:dyDescent="0.35"/>
    <row r="314" spans="1:10" outlineLevel="1" x14ac:dyDescent="0.35">
      <c r="B314" t="s">
        <v>197</v>
      </c>
      <c r="F314" s="79">
        <f>E317</f>
        <v>6193.5999999999995</v>
      </c>
      <c r="G314" s="79">
        <f t="shared" ref="G314:J314" si="167">F317</f>
        <v>6613.5999999999995</v>
      </c>
      <c r="H314" s="79">
        <f t="shared" si="167"/>
        <v>6983.5999999999995</v>
      </c>
      <c r="I314" s="79">
        <f t="shared" si="167"/>
        <v>6853.5999999999995</v>
      </c>
      <c r="J314" s="79">
        <f t="shared" si="167"/>
        <v>6723.5999999999995</v>
      </c>
    </row>
    <row r="315" spans="1:10" outlineLevel="1" x14ac:dyDescent="0.35">
      <c r="B315" s="85" t="s">
        <v>198</v>
      </c>
      <c r="C315" s="97">
        <v>10</v>
      </c>
      <c r="F315" s="76">
        <v>500</v>
      </c>
      <c r="G315" s="76">
        <v>500</v>
      </c>
      <c r="H315" s="76">
        <v>0</v>
      </c>
      <c r="I315" s="76">
        <v>0</v>
      </c>
      <c r="J315" s="76">
        <v>0</v>
      </c>
    </row>
    <row r="316" spans="1:10" outlineLevel="1" x14ac:dyDescent="0.35">
      <c r="B316" s="85" t="s">
        <v>199</v>
      </c>
      <c r="F316" s="93">
        <f>-F328</f>
        <v>-80</v>
      </c>
      <c r="G316" s="93">
        <f t="shared" ref="G316:J316" si="168">-G328</f>
        <v>-130</v>
      </c>
      <c r="H316" s="93">
        <f t="shared" si="168"/>
        <v>-130</v>
      </c>
      <c r="I316" s="93">
        <f t="shared" si="168"/>
        <v>-130</v>
      </c>
      <c r="J316" s="93">
        <f t="shared" si="168"/>
        <v>-130</v>
      </c>
    </row>
    <row r="317" spans="1:10" outlineLevel="1" x14ac:dyDescent="0.35">
      <c r="B317" s="60" t="s">
        <v>200</v>
      </c>
      <c r="C317" s="60"/>
      <c r="D317" s="60"/>
      <c r="E317" s="88">
        <f>'Audited Balance Sheet'!G31</f>
        <v>6193.5999999999995</v>
      </c>
      <c r="F317" s="64">
        <f>SUM(F314:F316)</f>
        <v>6613.5999999999995</v>
      </c>
      <c r="G317" s="64">
        <f t="shared" ref="G317:J317" si="169">SUM(G314:G316)</f>
        <v>6983.5999999999995</v>
      </c>
      <c r="H317" s="64">
        <f t="shared" si="169"/>
        <v>6853.5999999999995</v>
      </c>
      <c r="I317" s="64">
        <f t="shared" si="169"/>
        <v>6723.5999999999995</v>
      </c>
      <c r="J317" s="64">
        <f t="shared" si="169"/>
        <v>6593.5999999999995</v>
      </c>
    </row>
    <row r="318" spans="1:10" outlineLevel="1" x14ac:dyDescent="0.35">
      <c r="B318" s="147" t="s">
        <v>202</v>
      </c>
      <c r="C318" s="144"/>
      <c r="D318" s="144"/>
      <c r="E318" s="149"/>
      <c r="F318" s="150">
        <f>F317/E317-1</f>
        <v>6.7811934900542603E-2</v>
      </c>
      <c r="G318" s="150">
        <f t="shared" ref="G318:J318" si="170">G317/F317-1</f>
        <v>5.5945324785291017E-2</v>
      </c>
      <c r="H318" s="150">
        <f t="shared" si="170"/>
        <v>-1.8615040953090078E-2</v>
      </c>
      <c r="I318" s="150">
        <f t="shared" si="170"/>
        <v>-1.896813353566007E-2</v>
      </c>
      <c r="J318" s="150">
        <f t="shared" si="170"/>
        <v>-1.9334880123743181E-2</v>
      </c>
    </row>
    <row r="319" spans="1:10" outlineLevel="1" x14ac:dyDescent="0.35">
      <c r="B319" s="147" t="s">
        <v>203</v>
      </c>
      <c r="C319" s="144"/>
      <c r="D319" s="144"/>
      <c r="E319" s="149"/>
      <c r="F319" s="151">
        <f>F317-E317</f>
        <v>420</v>
      </c>
      <c r="G319" s="151">
        <f t="shared" ref="G319:J319" si="171">G317-F317</f>
        <v>370</v>
      </c>
      <c r="H319" s="151">
        <f t="shared" si="171"/>
        <v>-130</v>
      </c>
      <c r="I319" s="151">
        <f t="shared" si="171"/>
        <v>-130</v>
      </c>
      <c r="J319" s="151">
        <f t="shared" si="171"/>
        <v>-130</v>
      </c>
    </row>
    <row r="320" spans="1:10" outlineLevel="1" x14ac:dyDescent="0.35"/>
    <row r="321" spans="1:10" outlineLevel="1" x14ac:dyDescent="0.35">
      <c r="B321" s="89" t="s">
        <v>201</v>
      </c>
    </row>
    <row r="322" spans="1:10" outlineLevel="1" x14ac:dyDescent="0.35">
      <c r="B322" s="90">
        <f>E6</f>
        <v>2023</v>
      </c>
      <c r="E322" s="76">
        <v>30</v>
      </c>
      <c r="F322" s="79">
        <f>E322</f>
        <v>30</v>
      </c>
      <c r="G322" s="79">
        <f t="shared" ref="G322:J322" si="172">F322</f>
        <v>30</v>
      </c>
      <c r="H322" s="79">
        <f t="shared" si="172"/>
        <v>30</v>
      </c>
      <c r="I322" s="79">
        <f t="shared" si="172"/>
        <v>30</v>
      </c>
      <c r="J322" s="79">
        <f t="shared" si="172"/>
        <v>30</v>
      </c>
    </row>
    <row r="323" spans="1:10" outlineLevel="1" x14ac:dyDescent="0.35">
      <c r="B323" s="90">
        <f>B322+1</f>
        <v>2024</v>
      </c>
      <c r="E323" s="61"/>
      <c r="F323" s="79">
        <f>$F$315/$C$315</f>
        <v>50</v>
      </c>
      <c r="G323" s="79">
        <f t="shared" ref="G323:J323" si="173">$F$315/$C$315</f>
        <v>50</v>
      </c>
      <c r="H323" s="79">
        <f t="shared" si="173"/>
        <v>50</v>
      </c>
      <c r="I323" s="79">
        <f t="shared" si="173"/>
        <v>50</v>
      </c>
      <c r="J323" s="79">
        <f t="shared" si="173"/>
        <v>50</v>
      </c>
    </row>
    <row r="324" spans="1:10" outlineLevel="1" x14ac:dyDescent="0.35">
      <c r="B324" s="90">
        <f t="shared" ref="B324:B327" si="174">B323+1</f>
        <v>2025</v>
      </c>
      <c r="E324" s="61"/>
      <c r="F324" s="61"/>
      <c r="G324" s="79">
        <f>$G$315/$C$315</f>
        <v>50</v>
      </c>
      <c r="H324" s="79">
        <f t="shared" ref="H324:J324" si="175">$G$315/$C$315</f>
        <v>50</v>
      </c>
      <c r="I324" s="79">
        <f t="shared" si="175"/>
        <v>50</v>
      </c>
      <c r="J324" s="79">
        <f t="shared" si="175"/>
        <v>50</v>
      </c>
    </row>
    <row r="325" spans="1:10" outlineLevel="1" x14ac:dyDescent="0.35">
      <c r="B325" s="90">
        <f t="shared" si="174"/>
        <v>2026</v>
      </c>
      <c r="E325" s="61"/>
      <c r="F325" s="61"/>
      <c r="G325" s="61"/>
      <c r="H325">
        <f>$H$315/$C$315</f>
        <v>0</v>
      </c>
      <c r="I325">
        <f t="shared" ref="I325:J325" si="176">$H$315/$C$315</f>
        <v>0</v>
      </c>
      <c r="J325">
        <f t="shared" si="176"/>
        <v>0</v>
      </c>
    </row>
    <row r="326" spans="1:10" outlineLevel="1" x14ac:dyDescent="0.35">
      <c r="B326" s="90">
        <f t="shared" si="174"/>
        <v>2027</v>
      </c>
      <c r="E326" s="61"/>
      <c r="F326" s="61"/>
      <c r="G326" s="61"/>
      <c r="H326" s="61"/>
      <c r="I326">
        <f>$I$315/$C$315</f>
        <v>0</v>
      </c>
      <c r="J326">
        <f>$I$315/$C$315</f>
        <v>0</v>
      </c>
    </row>
    <row r="327" spans="1:10" outlineLevel="1" x14ac:dyDescent="0.35">
      <c r="B327" s="90">
        <f t="shared" si="174"/>
        <v>2028</v>
      </c>
      <c r="E327" s="61"/>
      <c r="F327" s="61"/>
      <c r="G327" s="61"/>
      <c r="H327" s="61"/>
      <c r="I327" s="61"/>
      <c r="J327">
        <f>$J$315/$C$315</f>
        <v>0</v>
      </c>
    </row>
    <row r="328" spans="1:10" outlineLevel="1" x14ac:dyDescent="0.35">
      <c r="B328" s="98" t="s">
        <v>204</v>
      </c>
      <c r="C328" s="60"/>
      <c r="D328" s="60"/>
      <c r="E328" s="64">
        <f>SUM(E322:E327)</f>
        <v>30</v>
      </c>
      <c r="F328" s="64">
        <f t="shared" ref="F328:J328" si="177">SUM(F322:F327)</f>
        <v>80</v>
      </c>
      <c r="G328" s="64">
        <f t="shared" si="177"/>
        <v>130</v>
      </c>
      <c r="H328" s="64">
        <f t="shared" si="177"/>
        <v>130</v>
      </c>
      <c r="I328" s="64">
        <f t="shared" si="177"/>
        <v>130</v>
      </c>
      <c r="J328" s="64">
        <f t="shared" si="177"/>
        <v>130</v>
      </c>
    </row>
    <row r="329" spans="1:10" x14ac:dyDescent="0.35">
      <c r="B329" s="119"/>
      <c r="C329" s="45"/>
      <c r="D329" s="45"/>
      <c r="E329" s="73"/>
      <c r="F329" s="73"/>
      <c r="G329" s="73"/>
      <c r="H329" s="73"/>
      <c r="I329" s="73"/>
      <c r="J329" s="73"/>
    </row>
    <row r="330" spans="1:10" ht="18.5" x14ac:dyDescent="0.45">
      <c r="A330" s="46" t="s">
        <v>52</v>
      </c>
      <c r="B330" s="54" t="s">
        <v>262</v>
      </c>
      <c r="C330" s="55"/>
      <c r="D330" s="55"/>
      <c r="E330" s="55"/>
      <c r="F330" s="55"/>
      <c r="G330" s="55"/>
      <c r="H330" s="55"/>
      <c r="I330" s="55"/>
      <c r="J330" s="55"/>
    </row>
    <row r="331" spans="1:10" outlineLevel="1" x14ac:dyDescent="0.35">
      <c r="B331" s="119"/>
      <c r="C331" s="45"/>
      <c r="D331" s="45"/>
      <c r="E331" s="73"/>
      <c r="F331" s="73"/>
      <c r="G331" s="73"/>
      <c r="H331" s="73"/>
      <c r="I331" s="73"/>
      <c r="J331" s="73"/>
    </row>
    <row r="332" spans="1:10" outlineLevel="1" x14ac:dyDescent="0.35">
      <c r="B332" s="138" t="s">
        <v>263</v>
      </c>
      <c r="C332" s="45"/>
      <c r="D332" s="45"/>
      <c r="E332" s="87">
        <f>'Audited Balance Sheet'!G32</f>
        <v>0</v>
      </c>
      <c r="F332" s="79">
        <f>E335</f>
        <v>0</v>
      </c>
      <c r="G332" s="79">
        <f t="shared" ref="G332:J332" ca="1" si="178">F335</f>
        <v>0</v>
      </c>
      <c r="H332" s="79">
        <f t="shared" ca="1" si="178"/>
        <v>0</v>
      </c>
      <c r="I332" s="79">
        <f t="shared" ca="1" si="178"/>
        <v>0</v>
      </c>
      <c r="J332" s="79">
        <f t="shared" ca="1" si="178"/>
        <v>0</v>
      </c>
    </row>
    <row r="333" spans="1:10" outlineLevel="1" x14ac:dyDescent="0.35">
      <c r="B333" s="139" t="s">
        <v>265</v>
      </c>
      <c r="C333" s="45"/>
      <c r="D333" s="45"/>
      <c r="E333" s="76">
        <v>0</v>
      </c>
      <c r="F333" s="79">
        <f t="shared" ref="F333:J333" ca="1" si="179">IF(F339&lt;0,F339*-1,0)</f>
        <v>0</v>
      </c>
      <c r="G333" s="79">
        <f t="shared" ca="1" si="179"/>
        <v>0</v>
      </c>
      <c r="H333" s="79">
        <f t="shared" ca="1" si="179"/>
        <v>0</v>
      </c>
      <c r="I333" s="79">
        <f t="shared" ca="1" si="179"/>
        <v>0</v>
      </c>
      <c r="J333" s="79">
        <f t="shared" ca="1" si="179"/>
        <v>0</v>
      </c>
    </row>
    <row r="334" spans="1:10" outlineLevel="1" x14ac:dyDescent="0.35">
      <c r="B334" s="139" t="s">
        <v>264</v>
      </c>
      <c r="C334" s="45"/>
      <c r="D334" s="45"/>
      <c r="E334" s="76">
        <v>0</v>
      </c>
      <c r="F334" s="79">
        <f t="shared" ref="F334:J334" ca="1" si="180">IF(F339&gt;0,MIN(F339,F332-F333),0)</f>
        <v>0</v>
      </c>
      <c r="G334" s="79">
        <f t="shared" ca="1" si="180"/>
        <v>0</v>
      </c>
      <c r="H334" s="79">
        <f t="shared" ca="1" si="180"/>
        <v>0</v>
      </c>
      <c r="I334" s="79">
        <f t="shared" ca="1" si="180"/>
        <v>0</v>
      </c>
      <c r="J334" s="79">
        <f t="shared" ca="1" si="180"/>
        <v>0</v>
      </c>
    </row>
    <row r="335" spans="1:10" outlineLevel="1" x14ac:dyDescent="0.35">
      <c r="B335" s="98" t="s">
        <v>266</v>
      </c>
      <c r="C335" s="60"/>
      <c r="D335" s="60"/>
      <c r="E335" s="64">
        <f>E332+E333-E334</f>
        <v>0</v>
      </c>
      <c r="F335" s="64">
        <f t="shared" ref="F335:J335" ca="1" si="181">F332+F333-F334</f>
        <v>0</v>
      </c>
      <c r="G335" s="64">
        <f t="shared" ca="1" si="181"/>
        <v>0</v>
      </c>
      <c r="H335" s="64">
        <f t="shared" ca="1" si="181"/>
        <v>0</v>
      </c>
      <c r="I335" s="64">
        <f t="shared" ca="1" si="181"/>
        <v>0</v>
      </c>
      <c r="J335" s="64">
        <f t="shared" ca="1" si="181"/>
        <v>0</v>
      </c>
    </row>
    <row r="336" spans="1:10" outlineLevel="1" x14ac:dyDescent="0.35">
      <c r="B336" s="138"/>
      <c r="E336" s="79"/>
      <c r="F336" s="79"/>
      <c r="G336" s="79"/>
      <c r="H336" s="79"/>
      <c r="I336" s="79"/>
      <c r="J336" s="79"/>
    </row>
    <row r="337" spans="1:10" outlineLevel="1" x14ac:dyDescent="0.35">
      <c r="B337" s="138" t="s">
        <v>267</v>
      </c>
      <c r="E337" s="79">
        <f>'3 Statement Model'!E46</f>
        <v>1956.0604000000001</v>
      </c>
      <c r="F337" s="79">
        <f>'3 Statement Model'!F46</f>
        <v>2181.2644</v>
      </c>
      <c r="G337" s="79">
        <f ca="1">'3 Statement Model'!G46</f>
        <v>3386.2058044814403</v>
      </c>
      <c r="H337" s="79">
        <f ca="1">'3 Statement Model'!H46</f>
        <v>5257.9020475825091</v>
      </c>
      <c r="I337" s="79">
        <f ca="1">'3 Statement Model'!I46</f>
        <v>7242.1404636572242</v>
      </c>
      <c r="J337" s="79">
        <f ca="1">'3 Statement Model'!J46</f>
        <v>10426.725441960394</v>
      </c>
    </row>
    <row r="338" spans="1:10" outlineLevel="1" x14ac:dyDescent="0.35">
      <c r="B338" s="139" t="s">
        <v>268</v>
      </c>
      <c r="E338" s="79"/>
      <c r="F338" s="79">
        <f ca="1">'3 Statement Model'!G111</f>
        <v>1204.9414044814403</v>
      </c>
      <c r="G338" s="79">
        <f ca="1">'3 Statement Model'!H111</f>
        <v>1871.6962431010688</v>
      </c>
      <c r="H338" s="79">
        <f ca="1">'3 Statement Model'!I111</f>
        <v>1984.2384160747151</v>
      </c>
      <c r="I338" s="79">
        <f ca="1">'3 Statement Model'!J111</f>
        <v>3184.5849783031699</v>
      </c>
      <c r="J338" s="79">
        <f ca="1">'3 Statement Model'!K111</f>
        <v>4458.822442516961</v>
      </c>
    </row>
    <row r="339" spans="1:10" outlineLevel="1" x14ac:dyDescent="0.35">
      <c r="B339" s="98" t="s">
        <v>251</v>
      </c>
      <c r="C339" s="60"/>
      <c r="D339" s="60"/>
      <c r="E339" s="64">
        <f>E337+E338</f>
        <v>1956.0604000000001</v>
      </c>
      <c r="F339" s="64">
        <f t="shared" ref="F339:J339" ca="1" si="182">F337+F338</f>
        <v>3386.2058044814403</v>
      </c>
      <c r="G339" s="64">
        <f t="shared" ca="1" si="182"/>
        <v>5257.9020475825091</v>
      </c>
      <c r="H339" s="64">
        <f t="shared" ca="1" si="182"/>
        <v>7242.1404636572242</v>
      </c>
      <c r="I339" s="64">
        <f t="shared" ca="1" si="182"/>
        <v>10426.725441960394</v>
      </c>
      <c r="J339" s="64">
        <f t="shared" ca="1" si="182"/>
        <v>14885.547884477355</v>
      </c>
    </row>
    <row r="340" spans="1:10" x14ac:dyDescent="0.35">
      <c r="B340" s="138"/>
      <c r="E340" s="79"/>
      <c r="F340" s="79"/>
      <c r="G340" s="79"/>
      <c r="H340" s="79"/>
      <c r="I340" s="79"/>
      <c r="J340" s="79"/>
    </row>
    <row r="341" spans="1:10" ht="18.5" x14ac:dyDescent="0.45">
      <c r="A341" s="46" t="s">
        <v>52</v>
      </c>
      <c r="B341" s="54" t="s">
        <v>205</v>
      </c>
      <c r="C341" s="55"/>
      <c r="D341" s="55"/>
      <c r="E341" s="55"/>
      <c r="F341" s="55"/>
      <c r="G341" s="55"/>
      <c r="H341" s="55"/>
      <c r="I341" s="55"/>
      <c r="J341" s="55"/>
    </row>
    <row r="342" spans="1:10" outlineLevel="1" x14ac:dyDescent="0.35"/>
    <row r="343" spans="1:10" outlineLevel="1" x14ac:dyDescent="0.35">
      <c r="B343" t="s">
        <v>206</v>
      </c>
      <c r="E343" s="100">
        <v>0.06</v>
      </c>
      <c r="F343" s="58">
        <f>E343+F347</f>
        <v>6.2E-2</v>
      </c>
      <c r="G343" s="58">
        <f t="shared" ref="G343:J343" si="183">F343+G347</f>
        <v>6.4000000000000001E-2</v>
      </c>
      <c r="H343" s="58">
        <f t="shared" si="183"/>
        <v>6.6000000000000003E-2</v>
      </c>
      <c r="I343" s="58">
        <f t="shared" si="183"/>
        <v>6.8000000000000005E-2</v>
      </c>
      <c r="J343" s="58">
        <f t="shared" si="183"/>
        <v>7.0000000000000007E-2</v>
      </c>
    </row>
    <row r="344" spans="1:10" outlineLevel="1" x14ac:dyDescent="0.35">
      <c r="B344" t="s">
        <v>207</v>
      </c>
      <c r="E344" s="100">
        <v>0.04</v>
      </c>
      <c r="F344" s="99">
        <f>E344</f>
        <v>0.04</v>
      </c>
      <c r="G344" s="99">
        <f t="shared" ref="G344:J344" si="184">F344</f>
        <v>0.04</v>
      </c>
      <c r="H344" s="99">
        <f t="shared" si="184"/>
        <v>0.04</v>
      </c>
      <c r="I344" s="99">
        <f t="shared" si="184"/>
        <v>0.04</v>
      </c>
      <c r="J344" s="99">
        <f t="shared" si="184"/>
        <v>0.04</v>
      </c>
    </row>
    <row r="345" spans="1:10" outlineLevel="1" x14ac:dyDescent="0.35">
      <c r="B345" s="59" t="s">
        <v>208</v>
      </c>
      <c r="C345" s="59"/>
      <c r="D345" s="59"/>
      <c r="E345" s="101">
        <f>SUM(E343:E344)</f>
        <v>0.1</v>
      </c>
      <c r="F345" s="101">
        <f t="shared" ref="F345:J345" si="185">SUM(F343:F344)</f>
        <v>0.10200000000000001</v>
      </c>
      <c r="G345" s="101">
        <f t="shared" si="185"/>
        <v>0.10400000000000001</v>
      </c>
      <c r="H345" s="101">
        <f t="shared" si="185"/>
        <v>0.10600000000000001</v>
      </c>
      <c r="I345" s="101">
        <f t="shared" si="185"/>
        <v>0.10800000000000001</v>
      </c>
      <c r="J345" s="101">
        <f t="shared" si="185"/>
        <v>0.11000000000000001</v>
      </c>
    </row>
    <row r="346" spans="1:10" outlineLevel="1" x14ac:dyDescent="0.35"/>
    <row r="347" spans="1:10" outlineLevel="1" x14ac:dyDescent="0.35">
      <c r="B347" s="147" t="s">
        <v>151</v>
      </c>
      <c r="C347" s="147"/>
      <c r="D347" s="147"/>
      <c r="E347" s="148"/>
      <c r="F347" s="148">
        <f>'Control Sheet'!G232</f>
        <v>2E-3</v>
      </c>
      <c r="G347" s="148">
        <f>'Control Sheet'!H232</f>
        <v>2E-3</v>
      </c>
      <c r="H347" s="148">
        <f>'Control Sheet'!I232</f>
        <v>2E-3</v>
      </c>
      <c r="I347" s="148">
        <f>'Control Sheet'!J232</f>
        <v>2E-3</v>
      </c>
      <c r="J347" s="148">
        <f>'Control Sheet'!K232</f>
        <v>2E-3</v>
      </c>
    </row>
    <row r="348" spans="1:10" outlineLevel="1" x14ac:dyDescent="0.35">
      <c r="E348" s="140"/>
      <c r="F348" s="140"/>
      <c r="G348" s="140"/>
      <c r="H348" s="140"/>
      <c r="I348" s="140"/>
      <c r="J348" s="140"/>
    </row>
    <row r="349" spans="1:10" outlineLevel="1" x14ac:dyDescent="0.35">
      <c r="B349" t="s">
        <v>270</v>
      </c>
      <c r="E349" s="141">
        <v>6.5000000000000002E-2</v>
      </c>
      <c r="F349" s="58">
        <f>E349</f>
        <v>6.5000000000000002E-2</v>
      </c>
      <c r="G349" s="58">
        <f t="shared" ref="G349" si="186">F349</f>
        <v>6.5000000000000002E-2</v>
      </c>
      <c r="H349" s="58">
        <f t="shared" ref="H349" si="187">G349</f>
        <v>6.5000000000000002E-2</v>
      </c>
      <c r="I349" s="58">
        <f t="shared" ref="I349" si="188">H349</f>
        <v>6.5000000000000002E-2</v>
      </c>
      <c r="J349" s="58">
        <f t="shared" ref="J349" si="189">I349</f>
        <v>6.5000000000000002E-2</v>
      </c>
    </row>
    <row r="350" spans="1:10" outlineLevel="1" x14ac:dyDescent="0.35"/>
    <row r="351" spans="1:10" outlineLevel="1" x14ac:dyDescent="0.35">
      <c r="B351" t="s">
        <v>209</v>
      </c>
      <c r="E351" s="87">
        <f>-'Audited Income Statement'!G17</f>
        <v>278.71199999999999</v>
      </c>
      <c r="F351" s="79">
        <f>AVERAGE(F314,F317)*F345</f>
        <v>653.16719999999998</v>
      </c>
      <c r="G351" s="79">
        <f>AVERAGE(G314,G317)*G345</f>
        <v>707.05439999999999</v>
      </c>
      <c r="H351" s="79">
        <f>AVERAGE(H314,H317)*H345</f>
        <v>733.37160000000006</v>
      </c>
      <c r="I351" s="79">
        <f>AVERAGE(I314,I317)*I345</f>
        <v>733.16880000000003</v>
      </c>
      <c r="J351" s="79">
        <f>AVERAGE(J314,J317)*J345</f>
        <v>732.44600000000003</v>
      </c>
    </row>
    <row r="352" spans="1:10" outlineLevel="1" x14ac:dyDescent="0.35">
      <c r="B352" t="s">
        <v>269</v>
      </c>
      <c r="F352" s="142">
        <f ca="1">AVERAGE(E335:F335)*F349</f>
        <v>0</v>
      </c>
      <c r="G352" s="142">
        <f t="shared" ref="G352:J352" ca="1" si="190">AVERAGE(F335:G335)*G349</f>
        <v>0</v>
      </c>
      <c r="H352" s="142">
        <f t="shared" ca="1" si="190"/>
        <v>0</v>
      </c>
      <c r="I352" s="142">
        <f t="shared" ca="1" si="190"/>
        <v>0</v>
      </c>
      <c r="J352" s="142">
        <f t="shared" ca="1" si="190"/>
        <v>0</v>
      </c>
    </row>
    <row r="353" spans="2:10" outlineLevel="1" x14ac:dyDescent="0.35">
      <c r="B353" s="45" t="s">
        <v>271</v>
      </c>
      <c r="C353" s="45"/>
      <c r="D353" s="45"/>
      <c r="E353" s="73">
        <f>SUM(E351:E352)</f>
        <v>278.71199999999999</v>
      </c>
      <c r="F353" s="73">
        <f t="shared" ref="F353:J353" ca="1" si="191">SUM(F351:F352)</f>
        <v>653.16719999999998</v>
      </c>
      <c r="G353" s="73">
        <f t="shared" ca="1" si="191"/>
        <v>707.05439999999999</v>
      </c>
      <c r="H353" s="73">
        <f t="shared" ca="1" si="191"/>
        <v>733.37160000000006</v>
      </c>
      <c r="I353" s="73">
        <f t="shared" ca="1" si="191"/>
        <v>733.16880000000003</v>
      </c>
      <c r="J353" s="73">
        <f t="shared" ca="1" si="191"/>
        <v>732.44600000000003</v>
      </c>
    </row>
  </sheetData>
  <sheetProtection algorithmName="SHA-512" hashValue="IUUeXjMgvRtMYNFd1L55l+j7SFnPB84XcIWoA/CVZQ8FmE+B7bzUdXXJB9vk/DyCHDAyx9satmp2nD/zOjNRRA==" saltValue="ZK5VQSrQTLHS7Ku5WNB/lA==" spinCount="100000" sheet="1" objects="1" scenarios="1"/>
  <mergeCells count="1">
    <mergeCell ref="F5:J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5</xdr:col>
                    <xdr:colOff>19050</xdr:colOff>
                    <xdr:row>1</xdr:row>
                    <xdr:rowOff>222250</xdr:rowOff>
                  </from>
                  <to>
                    <xdr:col>6</xdr:col>
                    <xdr:colOff>317500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27BA-E6C4-44F4-A9C0-935C172887FE}">
  <dimension ref="A2:N113"/>
  <sheetViews>
    <sheetView showGridLines="0" zoomScale="90" zoomScaleNormal="90" workbookViewId="0">
      <pane ySplit="6" topLeftCell="A14" activePane="bottomLeft" state="frozen"/>
      <selection pane="bottomLeft" activeCell="G116" sqref="G116"/>
    </sheetView>
  </sheetViews>
  <sheetFormatPr defaultRowHeight="14.5" outlineLevelRow="1" x14ac:dyDescent="0.35"/>
  <cols>
    <col min="1" max="1" width="1.81640625" customWidth="1"/>
    <col min="2" max="2" width="43.6328125" customWidth="1"/>
    <col min="3" max="3" width="21" customWidth="1"/>
    <col min="4" max="4" width="10.90625" customWidth="1"/>
    <col min="5" max="5" width="13.26953125" customWidth="1"/>
    <col min="6" max="11" width="13.1796875" customWidth="1"/>
    <col min="12" max="12" width="1.81640625" customWidth="1"/>
  </cols>
  <sheetData>
    <row r="2" spans="1:14" ht="21" x14ac:dyDescent="0.5">
      <c r="B2" s="143" t="str">
        <f>'Audited Balance Sheet'!$B$2</f>
        <v>Mrs Sector Foods</v>
      </c>
      <c r="C2" s="44"/>
    </row>
    <row r="3" spans="1:14" ht="15" customHeight="1" x14ac:dyDescent="0.45">
      <c r="B3" s="46" t="s">
        <v>210</v>
      </c>
      <c r="C3" s="46"/>
      <c r="F3" t="s">
        <v>57</v>
      </c>
      <c r="G3">
        <v>1</v>
      </c>
    </row>
    <row r="4" spans="1:14" ht="15" customHeight="1" x14ac:dyDescent="0.45">
      <c r="B4" s="46"/>
      <c r="C4" s="46"/>
      <c r="M4" s="55" t="s">
        <v>221</v>
      </c>
      <c r="N4" s="55"/>
    </row>
    <row r="5" spans="1:14" x14ac:dyDescent="0.35">
      <c r="D5" s="191" t="s">
        <v>49</v>
      </c>
      <c r="E5" s="191"/>
      <c r="F5" s="191"/>
      <c r="G5" s="190" t="s">
        <v>50</v>
      </c>
      <c r="H5" s="190"/>
      <c r="I5" s="190"/>
      <c r="J5" s="190"/>
      <c r="K5" s="190"/>
      <c r="L5" s="120"/>
      <c r="M5" s="121" t="s">
        <v>220</v>
      </c>
      <c r="N5" s="121" t="s">
        <v>219</v>
      </c>
    </row>
    <row r="6" spans="1:14" x14ac:dyDescent="0.35">
      <c r="B6" s="47" t="s">
        <v>48</v>
      </c>
      <c r="C6" s="47"/>
      <c r="D6" s="102">
        <v>2021</v>
      </c>
      <c r="E6" s="50">
        <f>D6+1</f>
        <v>2022</v>
      </c>
      <c r="F6" s="50">
        <f t="shared" ref="F6:K6" si="0">E6+1</f>
        <v>2023</v>
      </c>
      <c r="G6" s="50">
        <f t="shared" si="0"/>
        <v>2024</v>
      </c>
      <c r="H6" s="50">
        <f t="shared" si="0"/>
        <v>2025</v>
      </c>
      <c r="I6" s="50">
        <f t="shared" si="0"/>
        <v>2026</v>
      </c>
      <c r="J6" s="50">
        <f t="shared" si="0"/>
        <v>2027</v>
      </c>
      <c r="K6" s="50">
        <f t="shared" si="0"/>
        <v>2028</v>
      </c>
      <c r="L6" s="119"/>
    </row>
    <row r="7" spans="1:14" x14ac:dyDescent="0.35">
      <c r="B7" s="122"/>
      <c r="C7" s="122"/>
      <c r="D7" s="123"/>
      <c r="E7" s="119"/>
      <c r="F7" s="119"/>
      <c r="G7" s="119"/>
      <c r="H7" s="119"/>
      <c r="I7" s="119"/>
      <c r="J7" s="119"/>
      <c r="K7" s="119"/>
      <c r="L7" s="119"/>
    </row>
    <row r="8" spans="1:14" ht="18.5" x14ac:dyDescent="0.45">
      <c r="A8" s="46" t="s">
        <v>52</v>
      </c>
      <c r="B8" s="54" t="s">
        <v>229</v>
      </c>
      <c r="C8" s="124"/>
      <c r="D8" s="125"/>
      <c r="E8" s="126"/>
      <c r="F8" s="126"/>
      <c r="G8" s="126"/>
      <c r="H8" s="126"/>
      <c r="I8" s="126"/>
      <c r="J8" s="126"/>
      <c r="K8" s="126"/>
      <c r="L8" s="119"/>
    </row>
    <row r="9" spans="1:14" outlineLevel="1" x14ac:dyDescent="0.35">
      <c r="B9" t="s">
        <v>228</v>
      </c>
      <c r="G9" s="111"/>
      <c r="H9" s="111"/>
      <c r="I9" s="111"/>
      <c r="J9" s="111"/>
      <c r="K9" s="111"/>
      <c r="L9" s="111"/>
    </row>
    <row r="10" spans="1:14" outlineLevel="1" x14ac:dyDescent="0.35">
      <c r="B10" s="103" t="s">
        <v>30</v>
      </c>
      <c r="D10" s="112">
        <f>INDEX('Audited Income Statement'!$E$8:$G$27,MATCH($B10,'Audited Income Statement'!$B$8:$B$27,0),MATCH(D$6,'Audited Income Statement'!$E$6:$G$6,0))</f>
        <v>47325.572</v>
      </c>
      <c r="E10" s="112">
        <f>INDEX('Audited Income Statement'!$E$8:$G$27,MATCH($B10,'Audited Income Statement'!$B$8:$B$27,0),MATCH(E$6,'Audited Income Statement'!$E$6:$G$6,0))</f>
        <v>52562.985999999997</v>
      </c>
      <c r="F10" s="112">
        <f>INDEX('Audited Income Statement'!$E$8:$G$27,MATCH($B10,'Audited Income Statement'!$B$8:$B$27,0),MATCH(F$6,'Audited Income Statement'!$E$6:$G$6,0))</f>
        <v>58055.611599999997</v>
      </c>
      <c r="G10" s="112">
        <f>Schedules!F41</f>
        <v>64026.885000000002</v>
      </c>
      <c r="H10" s="112">
        <f>Schedules!G41</f>
        <v>70682.569249500011</v>
      </c>
      <c r="I10" s="112">
        <f>Schedules!H41</f>
        <v>78045.941609720569</v>
      </c>
      <c r="J10" s="112">
        <f>Schedules!I41</f>
        <v>85184.36339949719</v>
      </c>
      <c r="K10" s="112">
        <f>Schedules!J41</f>
        <v>93004.698985106428</v>
      </c>
      <c r="L10" s="112"/>
      <c r="M10" s="70">
        <f>_xlfn.RRI($K$6-$F$6,F10,K10)</f>
        <v>9.8834122784211997E-2</v>
      </c>
      <c r="N10" s="70">
        <f>_xlfn.RRI($K$6-$H$6,H10,K10)</f>
        <v>9.5798886300803909E-2</v>
      </c>
    </row>
    <row r="11" spans="1:14" outlineLevel="1" x14ac:dyDescent="0.35">
      <c r="B11" s="107" t="s">
        <v>31</v>
      </c>
      <c r="D11" s="112">
        <f>INDEX('Audited Income Statement'!$E$8:$G$27,MATCH($B11,'Audited Income Statement'!$B$8:$B$27,0),MATCH(D$6,'Audited Income Statement'!$E$6:$G$6,0))</f>
        <v>-24230.696</v>
      </c>
      <c r="E11" s="112">
        <f>INDEX('Audited Income Statement'!$E$8:$G$27,MATCH($B11,'Audited Income Statement'!$B$8:$B$27,0),MATCH(E$6,'Audited Income Statement'!$E$6:$G$6,0))</f>
        <v>-26556.941599999998</v>
      </c>
      <c r="F11" s="112">
        <f>INDEX('Audited Income Statement'!$E$8:$G$27,MATCH($B11,'Audited Income Statement'!$B$8:$B$27,0),MATCH(F$6,'Audited Income Statement'!$E$6:$G$6,0))</f>
        <v>-28130.3904</v>
      </c>
      <c r="G11" s="112">
        <f>Schedules!F124*-1</f>
        <v>-30164.898249999998</v>
      </c>
      <c r="H11" s="112">
        <f>Schedules!G124*-1</f>
        <v>-32368.842189125004</v>
      </c>
      <c r="I11" s="112">
        <f>Schedules!H124*-1</f>
        <v>-34736.840967417069</v>
      </c>
      <c r="J11" s="112">
        <f>Schedules!I124*-1</f>
        <v>-36790.201480673277</v>
      </c>
      <c r="K11" s="112">
        <f>Schedules!J124*-1</f>
        <v>-38971.938387975075</v>
      </c>
      <c r="L11" s="112"/>
      <c r="M11" s="70">
        <f>_xlfn.RRI($K$6-$F$6,F11,K11)</f>
        <v>6.7370632646885698E-2</v>
      </c>
      <c r="N11" s="70">
        <f>_xlfn.RRI($K$6-$H$6,H11,K11)</f>
        <v>6.3836648320235279E-2</v>
      </c>
    </row>
    <row r="12" spans="1:14" outlineLevel="1" x14ac:dyDescent="0.35">
      <c r="B12" s="114" t="s">
        <v>32</v>
      </c>
      <c r="C12" s="60"/>
      <c r="D12" s="115">
        <f>SUM(D10:D11)</f>
        <v>23094.876</v>
      </c>
      <c r="E12" s="115">
        <f t="shared" ref="E12:F12" si="1">SUM(E10:E11)</f>
        <v>26006.044399999999</v>
      </c>
      <c r="F12" s="115">
        <f t="shared" si="1"/>
        <v>29925.221199999996</v>
      </c>
      <c r="G12" s="115">
        <f t="shared" ref="G12" si="2">SUM(G10:G11)</f>
        <v>33861.986750000004</v>
      </c>
      <c r="H12" s="115">
        <f t="shared" ref="H12" si="3">SUM(H10:H11)</f>
        <v>38313.727060375008</v>
      </c>
      <c r="I12" s="115">
        <f t="shared" ref="I12" si="4">SUM(I10:I11)</f>
        <v>43309.1006423035</v>
      </c>
      <c r="J12" s="115">
        <f t="shared" ref="J12" si="5">SUM(J10:J11)</f>
        <v>48394.161918823913</v>
      </c>
      <c r="K12" s="115">
        <f t="shared" ref="K12" si="6">SUM(K10:K11)</f>
        <v>54032.760597131353</v>
      </c>
      <c r="L12" s="113"/>
      <c r="M12" s="70">
        <f>_xlfn.RRI($K$6-$F$6,F12,K12)</f>
        <v>0.12544417439692057</v>
      </c>
      <c r="N12" s="70">
        <f>_xlfn.RRI($K$6-$H$6,H12,K12)</f>
        <v>0.12141816135146644</v>
      </c>
    </row>
    <row r="13" spans="1:14" outlineLevel="1" x14ac:dyDescent="0.35">
      <c r="B13" s="105"/>
      <c r="D13" s="111"/>
      <c r="E13" s="111"/>
      <c r="F13" s="111"/>
      <c r="G13" s="111"/>
      <c r="H13" s="111"/>
      <c r="I13" s="111"/>
      <c r="J13" s="111"/>
      <c r="K13" s="111"/>
      <c r="L13" s="111"/>
    </row>
    <row r="14" spans="1:14" outlineLevel="1" x14ac:dyDescent="0.35">
      <c r="B14" s="106" t="s">
        <v>211</v>
      </c>
      <c r="D14" s="111"/>
      <c r="E14" s="111"/>
      <c r="F14" s="111"/>
      <c r="G14" s="111"/>
      <c r="H14" s="111"/>
      <c r="I14" s="111"/>
      <c r="J14" s="111"/>
      <c r="K14" s="111"/>
      <c r="L14" s="111"/>
    </row>
    <row r="15" spans="1:14" outlineLevel="1" x14ac:dyDescent="0.35">
      <c r="B15" s="107" t="s">
        <v>34</v>
      </c>
      <c r="D15" s="112">
        <f>INDEX('Audited Income Statement'!$E$8:$G$27,MATCH($B15,'Audited Income Statement'!$B$8:$B$27,0),MATCH(D$6,'Audited Income Statement'!$E$6:$G$6,0))</f>
        <v>-285.27800000000002</v>
      </c>
      <c r="E15" s="112">
        <f>INDEX('Audited Income Statement'!$E$8:$G$27,MATCH($B15,'Audited Income Statement'!$B$8:$B$27,0),MATCH(E$6,'Audited Income Statement'!$E$6:$G$6,0))</f>
        <v>-314.77600000000001</v>
      </c>
      <c r="F15" s="112">
        <f>INDEX('Audited Income Statement'!$E$8:$G$27,MATCH($B15,'Audited Income Statement'!$B$8:$B$27,0),MATCH(F$6,'Audited Income Statement'!$E$6:$G$6,0))</f>
        <v>-347.66479999999996</v>
      </c>
      <c r="G15" s="112">
        <f>Schedules!F169*-1</f>
        <v>-640.26885000000004</v>
      </c>
      <c r="H15" s="112">
        <f>Schedules!G169*-1</f>
        <v>-706.82569249500011</v>
      </c>
      <c r="I15" s="112">
        <f>Schedules!H169*-1</f>
        <v>-780.45941609720569</v>
      </c>
      <c r="J15" s="112">
        <f>Schedules!I169*-1</f>
        <v>-851.84363399497192</v>
      </c>
      <c r="K15" s="112">
        <f>Schedules!J169*-1</f>
        <v>-930.04698985106427</v>
      </c>
      <c r="L15" s="112"/>
      <c r="M15" s="70">
        <f t="shared" ref="M15:M21" si="7">_xlfn.RRI($K$6-$F$6,F15,K15)</f>
        <v>0.21749961880779156</v>
      </c>
      <c r="N15" s="70">
        <f t="shared" ref="N15:N21" si="8">_xlfn.RRI($K$6-$H$6,H15,K15)</f>
        <v>9.5798886300803909E-2</v>
      </c>
    </row>
    <row r="16" spans="1:14" outlineLevel="1" x14ac:dyDescent="0.35">
      <c r="B16" s="107" t="s">
        <v>37</v>
      </c>
      <c r="D16" s="112">
        <f>INDEX('Audited Income Statement'!$E$8:$G$27,MATCH($B16,'Audited Income Statement'!$B$8:$B$27,0),MATCH(D$6,'Audited Income Statement'!$E$6:$G$6,0))</f>
        <v>-2602.8995999999997</v>
      </c>
      <c r="E16" s="112">
        <f>INDEX('Audited Income Statement'!$E$8:$G$27,MATCH($B16,'Audited Income Statement'!$B$8:$B$27,0),MATCH(E$6,'Audited Income Statement'!$E$6:$G$6,0))</f>
        <v>-2733.2592</v>
      </c>
      <c r="F16" s="112">
        <f>INDEX('Audited Income Statement'!$E$8:$G$27,MATCH($B16,'Audited Income Statement'!$B$8:$B$27,0),MATCH(F$6,'Audited Income Statement'!$E$6:$G$6,0))</f>
        <v>-2902.7795999999998</v>
      </c>
      <c r="G16" s="112">
        <f>Schedules!F181*-1</f>
        <v>-3420.2065499999999</v>
      </c>
      <c r="H16" s="112">
        <f>Schedules!G181*-1</f>
        <v>-3649.8650774850003</v>
      </c>
      <c r="I16" s="112">
        <f>Schedules!H181*-1</f>
        <v>-3901.3540082916174</v>
      </c>
      <c r="J16" s="112">
        <f>Schedules!I181*-1</f>
        <v>-4146.7061771849158</v>
      </c>
      <c r="K16" s="112">
        <f>Schedules!J181*-1</f>
        <v>-4413.1397502571926</v>
      </c>
      <c r="L16" s="112"/>
      <c r="M16" s="70">
        <f t="shared" si="7"/>
        <v>8.7393477423729937E-2</v>
      </c>
      <c r="N16" s="70">
        <f t="shared" si="8"/>
        <v>6.534504428659238E-2</v>
      </c>
    </row>
    <row r="17" spans="2:14" outlineLevel="1" x14ac:dyDescent="0.35">
      <c r="B17" s="108" t="s">
        <v>38</v>
      </c>
      <c r="D17" s="112">
        <f>INDEX('Audited Income Statement'!$E$8:$G$27,MATCH($B17,'Audited Income Statement'!$B$8:$B$27,0),MATCH(D$6,'Audited Income Statement'!$E$6:$G$6,0))</f>
        <v>-1183.1343999999999</v>
      </c>
      <c r="E17" s="112">
        <f>INDEX('Audited Income Statement'!$E$8:$G$27,MATCH($B17,'Audited Income Statement'!$B$8:$B$27,0),MATCH(E$6,'Audited Income Statement'!$E$6:$G$6,0))</f>
        <v>-1314.0624</v>
      </c>
      <c r="F17" s="112">
        <f>INDEX('Audited Income Statement'!$E$8:$G$27,MATCH($B17,'Audited Income Statement'!$B$8:$B$27,0),MATCH(F$6,'Audited Income Statement'!$E$6:$G$6,0))</f>
        <v>-1451.3799999999999</v>
      </c>
      <c r="G17" s="112">
        <f>Schedules!F174*-1</f>
        <v>-1600.6721250000001</v>
      </c>
      <c r="H17" s="112">
        <f>Schedules!G174*-1</f>
        <v>-1767.0642312375003</v>
      </c>
      <c r="I17" s="112">
        <f>Schedules!H174*-1</f>
        <v>-1951.1485402430144</v>
      </c>
      <c r="J17" s="112">
        <f>Schedules!I174*-1</f>
        <v>-2129.6090849874299</v>
      </c>
      <c r="K17" s="112">
        <f>Schedules!J174*-1</f>
        <v>-2325.1174746276606</v>
      </c>
      <c r="L17" s="112"/>
      <c r="M17" s="70">
        <f t="shared" si="7"/>
        <v>9.8835680883546218E-2</v>
      </c>
      <c r="N17" s="70">
        <f t="shared" si="8"/>
        <v>9.5798886300803909E-2</v>
      </c>
    </row>
    <row r="18" spans="2:14" outlineLevel="1" x14ac:dyDescent="0.35">
      <c r="B18" s="107" t="s">
        <v>39</v>
      </c>
      <c r="D18" s="112">
        <f>INDEX('Audited Income Statement'!$E$8:$G$27,MATCH($B18,'Audited Income Statement'!$B$8:$B$27,0),MATCH(D$6,'Audited Income Statement'!$E$6:$G$6,0))</f>
        <v>-1216.9248</v>
      </c>
      <c r="E18" s="112">
        <f>INDEX('Audited Income Statement'!$E$8:$G$27,MATCH($B18,'Audited Income Statement'!$B$8:$B$27,0),MATCH(E$6,'Audited Income Statement'!$E$6:$G$6,0))</f>
        <v>-1261.4952000000001</v>
      </c>
      <c r="F18" s="112">
        <f>INDEX('Audited Income Statement'!$E$8:$G$27,MATCH($B18,'Audited Income Statement'!$B$8:$B$27,0),MATCH(F$6,'Audited Income Statement'!$E$6:$G$6,0))</f>
        <v>-1274</v>
      </c>
      <c r="G18" s="112">
        <f>Schedules!F155*-1</f>
        <v>-1274</v>
      </c>
      <c r="H18" s="112">
        <f>Schedules!G155*-1</f>
        <v>-1574</v>
      </c>
      <c r="I18" s="112">
        <f>Schedules!H155*-1</f>
        <v>-1574</v>
      </c>
      <c r="J18" s="112">
        <f>Schedules!I155*-1</f>
        <v>-1574</v>
      </c>
      <c r="K18" s="112">
        <f>Schedules!J155*-1</f>
        <v>-1574</v>
      </c>
      <c r="L18" s="112"/>
      <c r="M18" s="70">
        <f t="shared" si="7"/>
        <v>4.3198754815103602E-2</v>
      </c>
      <c r="N18" s="70">
        <f t="shared" si="8"/>
        <v>0</v>
      </c>
    </row>
    <row r="19" spans="2:14" outlineLevel="1" x14ac:dyDescent="0.35">
      <c r="B19" s="107" t="s">
        <v>40</v>
      </c>
      <c r="D19" s="112">
        <f>INDEX('Audited Income Statement'!$E$8:$G$27,MATCH($B19,'Audited Income Statement'!$B$8:$B$27,0),MATCH(D$6,'Audited Income Statement'!$E$6:$G$6,0))</f>
        <v>-7098.8377599999994</v>
      </c>
      <c r="E19" s="112">
        <f>INDEX('Audited Income Statement'!$E$8:$G$27,MATCH($B19,'Audited Income Statement'!$B$8:$B$27,0),MATCH(E$6,'Audited Income Statement'!$E$6:$G$6,0))</f>
        <v>-7884.4332000000004</v>
      </c>
      <c r="F19" s="112">
        <f>INDEX('Audited Income Statement'!$E$8:$G$27,MATCH($B19,'Audited Income Statement'!$B$8:$B$27,0),MATCH(F$6,'Audited Income Statement'!$E$6:$G$6,0))</f>
        <v>-8708.3387999999995</v>
      </c>
      <c r="G19" s="112">
        <f>Schedules!F164*-1</f>
        <v>-9604.0327500000003</v>
      </c>
      <c r="H19" s="112">
        <f>Schedules!G164*-1</f>
        <v>-10602.385387425002</v>
      </c>
      <c r="I19" s="112">
        <f>Schedules!H164*-1</f>
        <v>-12487.350657555291</v>
      </c>
      <c r="J19" s="112">
        <f>Schedules!I164*-1</f>
        <v>-13629.498143919551</v>
      </c>
      <c r="K19" s="112">
        <f>Schedules!J164*-1</f>
        <v>-14880.751837617028</v>
      </c>
      <c r="L19" s="112"/>
      <c r="M19" s="70">
        <f t="shared" si="7"/>
        <v>0.11310955664945666</v>
      </c>
      <c r="N19" s="70">
        <f t="shared" si="8"/>
        <v>0.11962803010487555</v>
      </c>
    </row>
    <row r="20" spans="2:14" outlineLevel="1" x14ac:dyDescent="0.35">
      <c r="B20" s="107" t="s">
        <v>41</v>
      </c>
      <c r="D20" s="112">
        <f>INDEX('Audited Income Statement'!$E$8:$G$27,MATCH($B20,'Audited Income Statement'!$B$8:$B$27,0),MATCH(D$6,'Audited Income Statement'!$E$6:$G$6,0))</f>
        <v>-4862.2699999999995</v>
      </c>
      <c r="E20" s="112">
        <f>INDEX('Audited Income Statement'!$E$8:$G$27,MATCH($B20,'Audited Income Statement'!$B$8:$B$27,0),MATCH(E$6,'Audited Income Statement'!$E$6:$G$6,0))</f>
        <v>-5151.1543999999994</v>
      </c>
      <c r="F20" s="112">
        <f>INDEX('Audited Income Statement'!$E$8:$G$27,MATCH($B20,'Audited Income Statement'!$B$8:$B$27,0),MATCH(F$6,'Audited Income Statement'!$E$6:$G$6,0))</f>
        <v>-5711.2831999999999</v>
      </c>
      <c r="G20" s="112">
        <f>Schedules!F159*-1</f>
        <v>-5762.4196499999998</v>
      </c>
      <c r="H20" s="112">
        <f>Schedules!G159*-1</f>
        <v>-6361.431232455001</v>
      </c>
      <c r="I20" s="112">
        <f>Schedules!H159*-1</f>
        <v>-7024.1347448748511</v>
      </c>
      <c r="J20" s="112">
        <f>Schedules!I159*-1</f>
        <v>-7666.5927059547466</v>
      </c>
      <c r="K20" s="112">
        <f>Schedules!J159*-1</f>
        <v>-8370.4229086595788</v>
      </c>
      <c r="L20" s="112"/>
      <c r="M20" s="70">
        <f t="shared" si="7"/>
        <v>7.9450522924182643E-2</v>
      </c>
      <c r="N20" s="70">
        <f t="shared" si="8"/>
        <v>9.5798886300803909E-2</v>
      </c>
    </row>
    <row r="21" spans="2:14" outlineLevel="1" x14ac:dyDescent="0.35">
      <c r="B21" s="116" t="s">
        <v>216</v>
      </c>
      <c r="C21" s="60"/>
      <c r="D21" s="115">
        <f>SUM(D12,D15:D20)</f>
        <v>5845.5314400000034</v>
      </c>
      <c r="E21" s="115">
        <f t="shared" ref="E21:G21" si="9">SUM(E12,E15:E20)</f>
        <v>7346.8639999999978</v>
      </c>
      <c r="F21" s="115">
        <f t="shared" si="9"/>
        <v>9529.7747999999992</v>
      </c>
      <c r="G21" s="115">
        <f t="shared" si="9"/>
        <v>11560.386825000005</v>
      </c>
      <c r="H21" s="115">
        <f t="shared" ref="H21" si="10">SUM(H12,H15:H20)</f>
        <v>13652.155439277507</v>
      </c>
      <c r="I21" s="115">
        <f t="shared" ref="I21" si="11">SUM(I12,I15:I20)</f>
        <v>15590.653275241528</v>
      </c>
      <c r="J21" s="115">
        <f t="shared" ref="J21" si="12">SUM(J12,J15:J20)</f>
        <v>18395.912172782297</v>
      </c>
      <c r="K21" s="115">
        <f t="shared" ref="K21" si="13">SUM(K12,K15:K20)</f>
        <v>21539.281636118831</v>
      </c>
      <c r="L21" s="113"/>
      <c r="M21" s="70">
        <f t="shared" si="7"/>
        <v>0.17714433089564219</v>
      </c>
      <c r="N21" s="70">
        <f t="shared" si="8"/>
        <v>0.16415282624255223</v>
      </c>
    </row>
    <row r="22" spans="2:14" outlineLevel="1" x14ac:dyDescent="0.35">
      <c r="B22" s="109"/>
      <c r="C22" s="45"/>
      <c r="D22" s="113"/>
      <c r="E22" s="113"/>
      <c r="F22" s="113"/>
      <c r="G22" s="113"/>
      <c r="H22" s="113"/>
      <c r="I22" s="113"/>
      <c r="J22" s="113"/>
      <c r="K22" s="113"/>
      <c r="L22" s="113"/>
    </row>
    <row r="23" spans="2:14" outlineLevel="1" x14ac:dyDescent="0.35">
      <c r="B23" s="109" t="s">
        <v>185</v>
      </c>
      <c r="C23" s="45"/>
      <c r="D23" s="113"/>
      <c r="E23" s="113"/>
      <c r="F23" s="113"/>
      <c r="G23" s="113"/>
      <c r="H23" s="113"/>
      <c r="I23" s="113"/>
      <c r="J23" s="113"/>
      <c r="K23" s="113"/>
      <c r="L23" s="113"/>
    </row>
    <row r="24" spans="2:14" outlineLevel="1" x14ac:dyDescent="0.35">
      <c r="B24" s="107" t="s">
        <v>35</v>
      </c>
      <c r="D24" s="112">
        <f>INDEX('Audited Income Statement'!$E$8:$G$27,MATCH($B24,'Audited Income Statement'!$B$8:$B$27,0),MATCH(D$6,'Audited Income Statement'!$E$6:$G$6,0))</f>
        <v>-716.08600000000001</v>
      </c>
      <c r="E24" s="112">
        <f>INDEX('Audited Income Statement'!$E$8:$G$27,MATCH($B24,'Audited Income Statement'!$B$8:$B$27,0),MATCH(E$6,'Audited Income Statement'!$E$6:$G$6,0))</f>
        <v>-735.86239999999998</v>
      </c>
      <c r="F24" s="112">
        <f>INDEX('Audited Income Statement'!$E$8:$G$27,MATCH($B24,'Audited Income Statement'!$B$8:$B$27,0),MATCH(F$6,'Audited Income Statement'!$E$6:$G$6,0))</f>
        <v>-783.37279999999998</v>
      </c>
      <c r="G24" s="112">
        <f>Schedules!F225*-1</f>
        <v>-1103.5072250000001</v>
      </c>
      <c r="H24" s="112">
        <f>Schedules!G225*-1</f>
        <v>-1456.9200712475001</v>
      </c>
      <c r="I24" s="112">
        <f>Schedules!H225*-1</f>
        <v>-1847.1497792961031</v>
      </c>
      <c r="J24" s="112">
        <f>Schedules!I225*-1</f>
        <v>-2273.0715962935892</v>
      </c>
      <c r="K24" s="112">
        <f>Schedules!J225*-1</f>
        <v>-2738.0950912191215</v>
      </c>
      <c r="L24" s="112"/>
      <c r="M24" s="70">
        <f t="shared" ref="M24:M26" si="14">_xlfn.RRI($K$6-$F$6,F24,K24)</f>
        <v>0.28438731509051163</v>
      </c>
      <c r="N24" s="70">
        <f t="shared" ref="N24:N26" si="15">_xlfn.RRI($K$6-$H$6,H24,K24)</f>
        <v>0.23406376354782266</v>
      </c>
    </row>
    <row r="25" spans="2:14" outlineLevel="1" x14ac:dyDescent="0.35">
      <c r="B25" s="107" t="s">
        <v>36</v>
      </c>
      <c r="D25" s="112">
        <f>INDEX('Audited Income Statement'!$E$8:$G$27,MATCH($B25,'Audited Income Statement'!$B$8:$B$27,0),MATCH(D$6,'Audited Income Statement'!$E$6:$G$6,0))</f>
        <v>-294.41160000000002</v>
      </c>
      <c r="E25" s="112">
        <f>INDEX('Audited Income Statement'!$E$8:$G$27,MATCH($B25,'Audited Income Statement'!$B$8:$B$27,0),MATCH(E$6,'Audited Income Statement'!$E$6:$G$6,0))</f>
        <v>-268.95119999999997</v>
      </c>
      <c r="F25" s="112">
        <f>INDEX('Audited Income Statement'!$E$8:$G$27,MATCH($B25,'Audited Income Statement'!$B$8:$B$27,0),MATCH(F$6,'Audited Income Statement'!$E$6:$G$6,0))</f>
        <v>-232.2208</v>
      </c>
      <c r="G25" s="112">
        <f>Schedules!F236*-1</f>
        <v>-360.27457000000004</v>
      </c>
      <c r="H25" s="112">
        <f>Schedules!G236*-1</f>
        <v>-501.63970849900005</v>
      </c>
      <c r="I25" s="112">
        <f>Schedules!H236*-1</f>
        <v>-657.73159171844122</v>
      </c>
      <c r="J25" s="112">
        <f>Schedules!I236*-1</f>
        <v>-828.10031851743565</v>
      </c>
      <c r="K25" s="112">
        <f>Schedules!J236*-1</f>
        <v>-1014.1097164876485</v>
      </c>
      <c r="L25" s="112"/>
      <c r="M25" s="70">
        <f t="shared" si="14"/>
        <v>0.34287863831989429</v>
      </c>
      <c r="N25" s="70">
        <f t="shared" si="15"/>
        <v>0.26443840716508227</v>
      </c>
    </row>
    <row r="26" spans="2:14" outlineLevel="1" x14ac:dyDescent="0.35">
      <c r="B26" s="109" t="s">
        <v>217</v>
      </c>
      <c r="D26" s="113">
        <f>SUM(D21,D24:D25)</f>
        <v>4835.0338400000028</v>
      </c>
      <c r="E26" s="113">
        <f t="shared" ref="E26:F26" si="16">SUM(E21,E24:E25)</f>
        <v>6342.0503999999983</v>
      </c>
      <c r="F26" s="113">
        <f t="shared" si="16"/>
        <v>8514.1812000000009</v>
      </c>
      <c r="G26" s="113">
        <f t="shared" ref="G26" si="17">SUM(G21,G24:G25)</f>
        <v>10096.605030000006</v>
      </c>
      <c r="H26" s="113">
        <f t="shared" ref="H26" si="18">SUM(H21,H24:H25)</f>
        <v>11693.595659531007</v>
      </c>
      <c r="I26" s="113">
        <f t="shared" ref="I26" si="19">SUM(I21,I24:I25)</f>
        <v>13085.771904226984</v>
      </c>
      <c r="J26" s="113">
        <f t="shared" ref="J26" si="20">SUM(J21,J24:J25)</f>
        <v>15294.740257971271</v>
      </c>
      <c r="K26" s="113">
        <f t="shared" ref="K26" si="21">SUM(K21,K24:K25)</f>
        <v>17787.07682841206</v>
      </c>
      <c r="L26" s="113"/>
      <c r="M26" s="70">
        <f t="shared" si="14"/>
        <v>0.1587569139293894</v>
      </c>
      <c r="N26" s="70">
        <f t="shared" si="15"/>
        <v>0.15005559740637975</v>
      </c>
    </row>
    <row r="27" spans="2:14" outlineLevel="1" x14ac:dyDescent="0.35">
      <c r="B27" s="109"/>
      <c r="D27" s="113"/>
      <c r="E27" s="113"/>
      <c r="F27" s="113"/>
      <c r="G27" s="113"/>
      <c r="H27" s="113"/>
      <c r="I27" s="113"/>
      <c r="J27" s="113"/>
      <c r="K27" s="113"/>
      <c r="L27" s="113"/>
    </row>
    <row r="28" spans="2:14" outlineLevel="1" x14ac:dyDescent="0.35">
      <c r="B28" s="109" t="s">
        <v>212</v>
      </c>
      <c r="D28" s="112"/>
      <c r="E28" s="112"/>
      <c r="F28" s="112"/>
      <c r="G28" s="113"/>
      <c r="H28" s="113"/>
      <c r="I28" s="113"/>
      <c r="J28" s="113"/>
      <c r="K28" s="113"/>
      <c r="L28" s="113"/>
    </row>
    <row r="29" spans="2:14" outlineLevel="1" x14ac:dyDescent="0.35">
      <c r="B29" s="107" t="s">
        <v>213</v>
      </c>
      <c r="D29" s="112">
        <f>INDEX('Audited Income Statement'!$E$8:$G$27,MATCH($B29,'Audited Income Statement'!$B$8:$B$27,0),MATCH(D$6,'Audited Income Statement'!$E$6:$G$6,0))</f>
        <v>-336.92399999999998</v>
      </c>
      <c r="E29" s="112">
        <f>INDEX('Audited Income Statement'!$E$8:$G$27,MATCH($B29,'Audited Income Statement'!$B$8:$B$27,0),MATCH(E$6,'Audited Income Statement'!$E$6:$G$6,0))</f>
        <v>-307.81800000000004</v>
      </c>
      <c r="F29" s="112">
        <f>INDEX('Audited Income Statement'!$E$8:$G$27,MATCH($B29,'Audited Income Statement'!$B$8:$B$27,0),MATCH(F$6,'Audited Income Statement'!$E$6:$G$6,0))</f>
        <v>-278.71199999999999</v>
      </c>
      <c r="G29" s="112">
        <f>Schedules!F244</f>
        <v>-653.16719999999998</v>
      </c>
      <c r="H29" s="112">
        <f>Schedules!G244</f>
        <v>-707.05439999999999</v>
      </c>
      <c r="I29" s="112">
        <f>Schedules!H244</f>
        <v>-733.37160000000006</v>
      </c>
      <c r="J29" s="112">
        <f>Schedules!I244</f>
        <v>-733.16880000000003</v>
      </c>
      <c r="K29" s="112">
        <f>Schedules!J244</f>
        <v>-732.44600000000003</v>
      </c>
      <c r="L29" s="112"/>
      <c r="M29" s="70">
        <f t="shared" ref="M29:M31" si="22">_xlfn.RRI($K$6-$F$6,F29,K29)</f>
        <v>0.21317649890925727</v>
      </c>
      <c r="N29" s="70">
        <f t="shared" ref="N29:N31" si="23">_xlfn.RRI($K$6-$H$6,H29,K29)</f>
        <v>1.1830098676887779E-2</v>
      </c>
    </row>
    <row r="30" spans="2:14" outlineLevel="1" x14ac:dyDescent="0.35">
      <c r="B30" s="107" t="s">
        <v>215</v>
      </c>
      <c r="D30" s="118">
        <v>0</v>
      </c>
      <c r="E30" s="118">
        <v>0</v>
      </c>
      <c r="F30" s="118">
        <v>0</v>
      </c>
      <c r="G30" s="112">
        <f ca="1">Schedules!F352</f>
        <v>0</v>
      </c>
      <c r="H30" s="112">
        <f ca="1">Schedules!G352</f>
        <v>0</v>
      </c>
      <c r="I30" s="112">
        <f ca="1">Schedules!H352</f>
        <v>0</v>
      </c>
      <c r="J30" s="112">
        <f ca="1">Schedules!I352</f>
        <v>0</v>
      </c>
      <c r="K30" s="112">
        <f ca="1">Schedules!J352</f>
        <v>0</v>
      </c>
      <c r="L30" s="113"/>
      <c r="M30" s="70">
        <f t="shared" ca="1" si="22"/>
        <v>0</v>
      </c>
      <c r="N30" s="70">
        <f t="shared" ca="1" si="23"/>
        <v>0</v>
      </c>
    </row>
    <row r="31" spans="2:14" outlineLevel="1" x14ac:dyDescent="0.35">
      <c r="B31" s="109" t="s">
        <v>218</v>
      </c>
      <c r="D31" s="113">
        <f>SUM(D26,D29:D30)</f>
        <v>4498.1098400000028</v>
      </c>
      <c r="E31" s="113">
        <f t="shared" ref="E31:F31" si="24">SUM(E26,E29:E30)</f>
        <v>6034.2323999999981</v>
      </c>
      <c r="F31" s="113">
        <f t="shared" si="24"/>
        <v>8235.4692000000014</v>
      </c>
      <c r="G31" s="113">
        <f t="shared" ref="G31" ca="1" si="25">SUM(G26,G29:G30)</f>
        <v>9443.4378300000062</v>
      </c>
      <c r="H31" s="113">
        <f t="shared" ref="H31" ca="1" si="26">SUM(H26,H29:H30)</f>
        <v>10986.541259531008</v>
      </c>
      <c r="I31" s="113">
        <f t="shared" ref="I31" ca="1" si="27">SUM(I26,I29:I30)</f>
        <v>12352.400304226983</v>
      </c>
      <c r="J31" s="113">
        <f t="shared" ref="J31" ca="1" si="28">SUM(J26,J29:J30)</f>
        <v>14561.571457971271</v>
      </c>
      <c r="K31" s="113">
        <f t="shared" ref="K31" ca="1" si="29">SUM(K26,K29:K30)</f>
        <v>17054.630828412061</v>
      </c>
      <c r="L31" s="113"/>
      <c r="M31" s="70">
        <f t="shared" ca="1" si="22"/>
        <v>0.15672679289881652</v>
      </c>
      <c r="N31" s="70">
        <f t="shared" ca="1" si="23"/>
        <v>0.15787171244702436</v>
      </c>
    </row>
    <row r="32" spans="2:14" outlineLevel="1" x14ac:dyDescent="0.35">
      <c r="B32" s="107" t="s">
        <v>214</v>
      </c>
      <c r="D32" s="111"/>
      <c r="E32" s="111"/>
      <c r="F32" s="111"/>
      <c r="G32" s="111"/>
      <c r="H32" s="111"/>
      <c r="I32" s="111"/>
      <c r="J32" s="111"/>
      <c r="K32" s="111"/>
      <c r="L32" s="111"/>
    </row>
    <row r="33" spans="1:14" outlineLevel="1" x14ac:dyDescent="0.35">
      <c r="B33" s="107" t="s">
        <v>44</v>
      </c>
      <c r="D33" s="112">
        <f>INDEX('Audited Income Statement'!$E$8:$G$27,MATCH($B33,'Audited Income Statement'!$B$8:$B$27,0),MATCH(D$6,'Audited Income Statement'!$E$6:$G$6,0))</f>
        <v>-906.3691327600003</v>
      </c>
      <c r="E33" s="112">
        <f>INDEX('Audited Income Statement'!$E$8:$G$27,MATCH($B33,'Audited Income Statement'!$B$8:$B$27,0),MATCH(E$6,'Audited Income Statement'!$E$6:$G$6,0))</f>
        <v>-1215.8978286000001</v>
      </c>
      <c r="F33" s="112">
        <f>INDEX('Audited Income Statement'!$E$8:$G$27,MATCH($B33,'Audited Income Statement'!$B$8:$B$27,0),MATCH(F$6,'Audited Income Statement'!$E$6:$G$6,0))</f>
        <v>-1659.4470437999992</v>
      </c>
      <c r="G33" s="112">
        <f>Schedules!F246</f>
        <v>-2360.8594575000002</v>
      </c>
      <c r="H33" s="112">
        <f>Schedules!G246</f>
        <v>-2746.6353148827511</v>
      </c>
      <c r="I33" s="112">
        <f>Schedules!H246</f>
        <v>-3088.1000760567445</v>
      </c>
      <c r="J33" s="112">
        <f>Schedules!I246</f>
        <v>-3640.3928644928183</v>
      </c>
      <c r="K33" s="112">
        <f>Schedules!J246</f>
        <v>-4263.6577071030151</v>
      </c>
      <c r="L33" s="112"/>
      <c r="M33" s="70">
        <f t="shared" ref="M33:M34" si="30">_xlfn.RRI($K$6-$F$6,F33,K33)</f>
        <v>0.20771312688727384</v>
      </c>
      <c r="N33" s="70">
        <f t="shared" ref="N33:N34" si="31">_xlfn.RRI($K$6-$H$6,H33,K33)</f>
        <v>0.15787171244702436</v>
      </c>
    </row>
    <row r="34" spans="1:14" ht="15" outlineLevel="1" thickBot="1" x14ac:dyDescent="0.4">
      <c r="B34" s="110" t="s">
        <v>45</v>
      </c>
      <c r="C34" s="68"/>
      <c r="D34" s="117">
        <f>SUM(D31,D33)</f>
        <v>3591.7407072400024</v>
      </c>
      <c r="E34" s="117">
        <f t="shared" ref="E34:F34" si="32">SUM(E31,E33)</f>
        <v>4818.3345713999979</v>
      </c>
      <c r="F34" s="117">
        <f t="shared" si="32"/>
        <v>6576.0221562000024</v>
      </c>
      <c r="G34" s="117">
        <f t="shared" ref="G34" ca="1" si="33">SUM(G31,G33)</f>
        <v>7082.5783725000056</v>
      </c>
      <c r="H34" s="117">
        <f t="shared" ref="H34" ca="1" si="34">SUM(H31,H33)</f>
        <v>8239.905944648257</v>
      </c>
      <c r="I34" s="117">
        <f t="shared" ref="I34" ca="1" si="35">SUM(I31,I33)</f>
        <v>9264.3002281702393</v>
      </c>
      <c r="J34" s="117">
        <f t="shared" ref="J34" ca="1" si="36">SUM(J31,J33)</f>
        <v>10921.178593478453</v>
      </c>
      <c r="K34" s="117">
        <f t="shared" ref="K34" ca="1" si="37">SUM(K31,K33)</f>
        <v>12790.973121309045</v>
      </c>
      <c r="L34" s="113"/>
      <c r="M34" s="70">
        <f t="shared" ca="1" si="30"/>
        <v>0.14232074468784561</v>
      </c>
      <c r="N34" s="70">
        <f t="shared" ca="1" si="31"/>
        <v>0.15787171244702436</v>
      </c>
    </row>
    <row r="35" spans="1:14" outlineLevel="1" x14ac:dyDescent="0.35">
      <c r="G35" s="111"/>
      <c r="H35" s="111"/>
      <c r="I35" s="111"/>
      <c r="J35" s="111"/>
      <c r="K35" s="111"/>
      <c r="L35" s="111"/>
    </row>
    <row r="36" spans="1:14" outlineLevel="1" x14ac:dyDescent="0.35">
      <c r="B36" s="147" t="s">
        <v>222</v>
      </c>
      <c r="C36" s="147"/>
      <c r="D36" s="162" t="str">
        <f>IFERROR(D10/C10-1,"NM")</f>
        <v>NM</v>
      </c>
      <c r="E36" s="155">
        <f t="shared" ref="E36:K36" si="38">IFERROR(E10/D10-1,"NM")</f>
        <v>0.11066773794091689</v>
      </c>
      <c r="F36" s="155">
        <f t="shared" si="38"/>
        <v>0.10449607257852511</v>
      </c>
      <c r="G36" s="155">
        <f t="shared" si="38"/>
        <v>0.10285437075646975</v>
      </c>
      <c r="H36" s="155">
        <f t="shared" si="38"/>
        <v>0.10395139868978487</v>
      </c>
      <c r="I36" s="155">
        <f t="shared" si="38"/>
        <v>0.10417522224225939</v>
      </c>
      <c r="J36" s="155">
        <f t="shared" si="38"/>
        <v>9.146435602600933E-2</v>
      </c>
      <c r="K36" s="155">
        <f t="shared" si="38"/>
        <v>9.1804825128920298E-2</v>
      </c>
      <c r="L36" s="111"/>
    </row>
    <row r="37" spans="1:14" outlineLevel="1" x14ac:dyDescent="0.35">
      <c r="B37" s="147" t="s">
        <v>223</v>
      </c>
      <c r="C37" s="147"/>
      <c r="D37" s="155">
        <f>IFERROR(D12/D10,"NM")</f>
        <v>0.4879999337356134</v>
      </c>
      <c r="E37" s="155">
        <f t="shared" ref="E37:K37" si="39">IFERROR(E12/E10,"NM")</f>
        <v>0.49475964702614117</v>
      </c>
      <c r="F37" s="155">
        <f t="shared" si="39"/>
        <v>0.51545785799628019</v>
      </c>
      <c r="G37" s="155">
        <f t="shared" si="39"/>
        <v>0.52887137567289122</v>
      </c>
      <c r="H37" s="155">
        <f t="shared" si="39"/>
        <v>0.54205340110279066</v>
      </c>
      <c r="I37" s="155">
        <f t="shared" si="39"/>
        <v>0.55491803608285739</v>
      </c>
      <c r="J37" s="155">
        <f t="shared" si="39"/>
        <v>0.56811085964058006</v>
      </c>
      <c r="K37" s="155">
        <f t="shared" si="39"/>
        <v>0.5809680713636205</v>
      </c>
      <c r="L37" s="111"/>
    </row>
    <row r="38" spans="1:14" outlineLevel="1" x14ac:dyDescent="0.35">
      <c r="B38" s="147" t="s">
        <v>224</v>
      </c>
      <c r="C38" s="147"/>
      <c r="D38" s="155">
        <f>IFERROR(D21/D10,"NM")</f>
        <v>0.12351739647224978</v>
      </c>
      <c r="E38" s="155">
        <f t="shared" ref="E38:K38" si="40">IFERROR(E21/E10,"NM")</f>
        <v>0.13977257684713723</v>
      </c>
      <c r="F38" s="155">
        <f t="shared" si="40"/>
        <v>0.16414907254202452</v>
      </c>
      <c r="G38" s="155">
        <f t="shared" si="40"/>
        <v>0.18055519685207244</v>
      </c>
      <c r="H38" s="155">
        <f t="shared" si="40"/>
        <v>0.19314741363018689</v>
      </c>
      <c r="I38" s="155">
        <f t="shared" si="40"/>
        <v>0.1997625110759087</v>
      </c>
      <c r="J38" s="155">
        <f t="shared" si="40"/>
        <v>0.21595409578292254</v>
      </c>
      <c r="K38" s="155">
        <f t="shared" si="40"/>
        <v>0.23159347722385601</v>
      </c>
      <c r="L38" s="111"/>
    </row>
    <row r="39" spans="1:14" outlineLevel="1" x14ac:dyDescent="0.35">
      <c r="B39" s="147" t="s">
        <v>225</v>
      </c>
      <c r="C39" s="147"/>
      <c r="D39" s="155">
        <f>IFERROR(D26/D10,"NM")</f>
        <v>0.10216535449376085</v>
      </c>
      <c r="E39" s="155">
        <f t="shared" ref="E39:K39" si="41">IFERROR(E26/E10,"NM")</f>
        <v>0.12065620472931272</v>
      </c>
      <c r="F39" s="155">
        <f t="shared" si="41"/>
        <v>0.14665561115198039</v>
      </c>
      <c r="G39" s="155">
        <f t="shared" si="41"/>
        <v>0.15769321012571524</v>
      </c>
      <c r="H39" s="155">
        <f t="shared" si="41"/>
        <v>0.16543818063905089</v>
      </c>
      <c r="I39" s="155">
        <f t="shared" si="41"/>
        <v>0.16766755111577974</v>
      </c>
      <c r="J39" s="155">
        <f t="shared" si="41"/>
        <v>0.17954868296945622</v>
      </c>
      <c r="K39" s="155">
        <f t="shared" si="41"/>
        <v>0.1912492274316209</v>
      </c>
      <c r="L39" s="111"/>
    </row>
    <row r="40" spans="1:14" outlineLevel="1" x14ac:dyDescent="0.35">
      <c r="B40" s="147" t="s">
        <v>226</v>
      </c>
      <c r="C40" s="147"/>
      <c r="D40" s="155">
        <f>IFERROR(-D33/D31,"NM")</f>
        <v>0.20149999999999993</v>
      </c>
      <c r="E40" s="155">
        <f t="shared" ref="E40:K40" si="42">IFERROR(-E33/E31,"NM")</f>
        <v>0.2015000000000001</v>
      </c>
      <c r="F40" s="155">
        <f t="shared" si="42"/>
        <v>0.20149999999999987</v>
      </c>
      <c r="G40" s="155">
        <f t="shared" ca="1" si="42"/>
        <v>0.24999999999999986</v>
      </c>
      <c r="H40" s="155">
        <f t="shared" ca="1" si="42"/>
        <v>0.24999999999999992</v>
      </c>
      <c r="I40" s="155">
        <f t="shared" ca="1" si="42"/>
        <v>0.24999999999999989</v>
      </c>
      <c r="J40" s="155">
        <f t="shared" ca="1" si="42"/>
        <v>0.25000000000000006</v>
      </c>
      <c r="K40" s="155">
        <f t="shared" ca="1" si="42"/>
        <v>0.25</v>
      </c>
      <c r="L40" s="111"/>
    </row>
    <row r="41" spans="1:14" outlineLevel="1" x14ac:dyDescent="0.35">
      <c r="B41" s="147" t="s">
        <v>227</v>
      </c>
      <c r="C41" s="147"/>
      <c r="D41" s="155">
        <f>IFERROR(D34/D10,"NM")</f>
        <v>7.5894290453372704E-2</v>
      </c>
      <c r="E41" s="155">
        <f t="shared" ref="E41:K41" si="43">IFERROR(E34/E10,"NM")</f>
        <v>9.1667824415454596E-2</v>
      </c>
      <c r="F41" s="155">
        <f t="shared" si="43"/>
        <v>0.11327108568777876</v>
      </c>
      <c r="G41" s="155">
        <f t="shared" ca="1" si="43"/>
        <v>0.11061881852443713</v>
      </c>
      <c r="H41" s="155">
        <f t="shared" ca="1" si="43"/>
        <v>0.11657620870518291</v>
      </c>
      <c r="I41" s="155">
        <f t="shared" ca="1" si="43"/>
        <v>0.11870316427851743</v>
      </c>
      <c r="J41" s="155">
        <f t="shared" ca="1" si="43"/>
        <v>0.12820637682364738</v>
      </c>
      <c r="K41" s="155">
        <f t="shared" ca="1" si="43"/>
        <v>0.13753039643037138</v>
      </c>
      <c r="L41" s="111"/>
    </row>
    <row r="42" spans="1:14" x14ac:dyDescent="0.35">
      <c r="G42" s="111"/>
      <c r="H42" s="111"/>
      <c r="I42" s="111"/>
      <c r="J42" s="111"/>
      <c r="K42" s="111"/>
      <c r="L42" s="111"/>
    </row>
    <row r="43" spans="1:14" ht="18.5" x14ac:dyDescent="0.45">
      <c r="A43" s="46" t="s">
        <v>52</v>
      </c>
      <c r="B43" s="54" t="s">
        <v>230</v>
      </c>
      <c r="C43" s="127"/>
      <c r="D43" s="127"/>
      <c r="E43" s="127"/>
      <c r="F43" s="127"/>
      <c r="G43" s="128"/>
      <c r="H43" s="128"/>
      <c r="I43" s="128"/>
      <c r="J43" s="128"/>
      <c r="K43" s="128"/>
      <c r="L43" s="111"/>
    </row>
    <row r="44" spans="1:14" outlineLevel="1" x14ac:dyDescent="0.35">
      <c r="G44" s="111"/>
      <c r="H44" s="111"/>
      <c r="I44" s="111"/>
      <c r="J44" s="111"/>
      <c r="K44" s="111"/>
      <c r="L44" s="111"/>
    </row>
    <row r="45" spans="1:14" outlineLevel="1" x14ac:dyDescent="0.35">
      <c r="B45" s="129" t="s">
        <v>3</v>
      </c>
      <c r="G45" s="111"/>
      <c r="H45" s="111"/>
      <c r="I45" s="111"/>
      <c r="J45" s="111"/>
      <c r="K45" s="111"/>
      <c r="L45" s="111"/>
    </row>
    <row r="46" spans="1:14" outlineLevel="1" x14ac:dyDescent="0.35">
      <c r="B46" s="107" t="s">
        <v>4</v>
      </c>
      <c r="D46" s="112">
        <f>INDEX('Audited Balance Sheet'!$E$9:$G$40,MATCH($B46,'Audited Balance Sheet'!$B$9:$B$40,0),MATCH(D$6,'Audited Balance Sheet'!$E$6:$G$6,0))</f>
        <v>1471.2348</v>
      </c>
      <c r="E46" s="112">
        <f>INDEX('Audited Balance Sheet'!$E$9:$G$40,MATCH($B46,'Audited Balance Sheet'!$B$9:$B$40,0),MATCH(E$6,'Audited Balance Sheet'!$E$6:$G$6,0))</f>
        <v>1956.0604000000001</v>
      </c>
      <c r="F46" s="112">
        <f>INDEX('Audited Balance Sheet'!$E$9:$G$40,MATCH($B46,'Audited Balance Sheet'!$B$9:$B$40,0),MATCH(F$6,'Audited Balance Sheet'!$E$6:$G$6,0))</f>
        <v>2181.2644</v>
      </c>
      <c r="G46" s="111">
        <f ca="1">G113</f>
        <v>3386.2058044814403</v>
      </c>
      <c r="H46" s="111">
        <f t="shared" ref="H46:K46" ca="1" si="44">H113</f>
        <v>5257.9020475825091</v>
      </c>
      <c r="I46" s="111">
        <f t="shared" ca="1" si="44"/>
        <v>7242.1404636572242</v>
      </c>
      <c r="J46" s="111">
        <f t="shared" ca="1" si="44"/>
        <v>10426.725441960394</v>
      </c>
      <c r="K46" s="111">
        <f t="shared" ca="1" si="44"/>
        <v>14885.547884477355</v>
      </c>
      <c r="L46" s="111"/>
    </row>
    <row r="47" spans="1:14" outlineLevel="1" x14ac:dyDescent="0.35">
      <c r="B47" s="107" t="s">
        <v>5</v>
      </c>
      <c r="D47" s="112">
        <f>INDEX('Audited Balance Sheet'!$E$9:$G$40,MATCH($B47,'Audited Balance Sheet'!$B$9:$B$40,0),MATCH(D$6,'Audited Balance Sheet'!$E$6:$G$6,0))</f>
        <v>4686.8108000000002</v>
      </c>
      <c r="E47" s="112">
        <f>INDEX('Audited Balance Sheet'!$E$9:$G$40,MATCH($B47,'Audited Balance Sheet'!$B$9:$B$40,0),MATCH(E$6,'Audited Balance Sheet'!$E$6:$G$6,0))</f>
        <v>5155.4859999999999</v>
      </c>
      <c r="F47" s="112">
        <f>INDEX('Audited Balance Sheet'!$E$9:$G$40,MATCH($B47,'Audited Balance Sheet'!$B$9:$B$40,0),MATCH(F$6,'Audited Balance Sheet'!$E$6:$G$6,0))</f>
        <v>5592.6248000000005</v>
      </c>
      <c r="G47" s="112">
        <f>Schedules!F269</f>
        <v>6000.7099095604108</v>
      </c>
      <c r="H47" s="112">
        <f>Schedules!G269</f>
        <v>6439.1409669442373</v>
      </c>
      <c r="I47" s="112">
        <f>Schedules!H269</f>
        <v>6910.2074899259333</v>
      </c>
      <c r="J47" s="112">
        <f>Schedules!I269</f>
        <v>7318.682952951789</v>
      </c>
      <c r="K47" s="112">
        <f>Schedules!J269</f>
        <v>7752.6963605620604</v>
      </c>
    </row>
    <row r="48" spans="1:14" outlineLevel="1" x14ac:dyDescent="0.35">
      <c r="B48" s="107" t="s">
        <v>6</v>
      </c>
      <c r="D48" s="112">
        <f>INDEX('Audited Balance Sheet'!$E$9:$G$40,MATCH($B48,'Audited Balance Sheet'!$B$9:$B$40,0),MATCH(D$6,'Audited Balance Sheet'!$E$6:$G$6,0))</f>
        <v>5476.2791999999999</v>
      </c>
      <c r="E48" s="112">
        <f>INDEX('Audited Balance Sheet'!$E$9:$G$40,MATCH($B48,'Audited Balance Sheet'!$B$9:$B$40,0),MATCH(E$6,'Audited Balance Sheet'!$E$6:$G$6,0))</f>
        <v>6023.9031999999997</v>
      </c>
      <c r="F48" s="112">
        <f>INDEX('Audited Balance Sheet'!$E$9:$G$40,MATCH($B48,'Audited Balance Sheet'!$B$9:$B$40,0),MATCH(F$6,'Audited Balance Sheet'!$E$6:$G$6,0))</f>
        <v>6550.7708000000002</v>
      </c>
      <c r="G48" s="112">
        <f>Schedules!F264</f>
        <v>7230.2266621782101</v>
      </c>
      <c r="H48" s="112">
        <f>Schedules!G264</f>
        <v>7981.8188365558099</v>
      </c>
      <c r="I48" s="112">
        <f>Schedules!H264</f>
        <v>8813.3265877514641</v>
      </c>
      <c r="J48" s="112">
        <f>Schedules!I264</f>
        <v>9619.4318285470581</v>
      </c>
      <c r="K48" s="112">
        <f>Schedules!J264</f>
        <v>10502.542085406392</v>
      </c>
    </row>
    <row r="49" spans="2:12" outlineLevel="1" x14ac:dyDescent="0.35">
      <c r="B49" s="107" t="s">
        <v>7</v>
      </c>
      <c r="D49" s="112">
        <f>INDEX('Audited Balance Sheet'!$E$9:$G$40,MATCH($B49,'Audited Balance Sheet'!$B$9:$B$40,0),MATCH(D$6,'Audited Balance Sheet'!$E$6:$G$6,0))</f>
        <v>1660.1396</v>
      </c>
      <c r="E49" s="112">
        <f>INDEX('Audited Balance Sheet'!$E$9:$G$40,MATCH($B49,'Audited Balance Sheet'!$B$9:$B$40,0),MATCH(E$6,'Audited Balance Sheet'!$E$6:$G$6,0))</f>
        <v>1915.0964000000001</v>
      </c>
      <c r="F49" s="112">
        <f>INDEX('Audited Balance Sheet'!$E$9:$G$40,MATCH($B49,'Audited Balance Sheet'!$B$9:$B$40,0),MATCH(F$6,'Audited Balance Sheet'!$E$6:$G$6,0))</f>
        <v>2186.9875999999999</v>
      </c>
      <c r="G49" s="112">
        <f>Schedules!F274</f>
        <v>2413.8252639480434</v>
      </c>
      <c r="H49" s="112">
        <f>Schedules!G274</f>
        <v>2664.7457763281818</v>
      </c>
      <c r="I49" s="112">
        <f>Schedules!H274</f>
        <v>2942.3462597962921</v>
      </c>
      <c r="J49" s="112">
        <f>Schedules!I274</f>
        <v>3211.4660656540973</v>
      </c>
      <c r="K49" s="112">
        <f>Schedules!J274</f>
        <v>3506.2941462189333</v>
      </c>
    </row>
    <row r="50" spans="2:12" outlineLevel="1" x14ac:dyDescent="0.35">
      <c r="B50" s="107" t="s">
        <v>8</v>
      </c>
      <c r="D50" s="112">
        <f>INDEX('Audited Balance Sheet'!$E$9:$G$40,MATCH($B50,'Audited Balance Sheet'!$B$9:$B$40,0),MATCH(D$6,'Audited Balance Sheet'!$E$6:$G$6,0))</f>
        <v>97.60799999999999</v>
      </c>
      <c r="E50" s="112">
        <f>INDEX('Audited Balance Sheet'!$E$9:$G$40,MATCH($B50,'Audited Balance Sheet'!$B$9:$B$40,0),MATCH(E$6,'Audited Balance Sheet'!$E$6:$G$6,0))</f>
        <v>130.0068</v>
      </c>
      <c r="F50" s="112">
        <f>INDEX('Audited Balance Sheet'!$E$9:$G$40,MATCH($B50,'Audited Balance Sheet'!$B$9:$B$40,0),MATCH(F$6,'Audited Balance Sheet'!$E$6:$G$6,0))</f>
        <v>151.15520000000001</v>
      </c>
      <c r="G50" s="112">
        <f>Schedules!F279</f>
        <v>166.83324612225479</v>
      </c>
      <c r="H50" s="112">
        <f>Schedules!G279</f>
        <v>184.17579540462032</v>
      </c>
      <c r="I50" s="112">
        <f>Schedules!H279</f>
        <v>203.36234982254155</v>
      </c>
      <c r="J50" s="112">
        <f>Schedules!I279</f>
        <v>221.96275618899637</v>
      </c>
      <c r="K50" s="112">
        <f>Schedules!J279</f>
        <v>242.34000820606033</v>
      </c>
    </row>
    <row r="51" spans="2:12" outlineLevel="1" x14ac:dyDescent="0.35">
      <c r="B51" s="114" t="s">
        <v>9</v>
      </c>
      <c r="C51" s="60"/>
      <c r="D51" s="115">
        <f>SUM(D46:D50)</f>
        <v>13392.072400000001</v>
      </c>
      <c r="E51" s="115">
        <f t="shared" ref="E51:F51" si="45">SUM(E46:E50)</f>
        <v>15180.552799999999</v>
      </c>
      <c r="F51" s="115">
        <f t="shared" si="45"/>
        <v>16662.802800000001</v>
      </c>
      <c r="G51" s="115">
        <f t="shared" ref="G51" ca="1" si="46">SUM(G46:G50)</f>
        <v>19197.800886290363</v>
      </c>
      <c r="H51" s="115">
        <f t="shared" ref="H51" ca="1" si="47">SUM(H46:H50)</f>
        <v>22527.783422815355</v>
      </c>
      <c r="I51" s="115">
        <f t="shared" ref="I51" ca="1" si="48">SUM(I46:I50)</f>
        <v>26111.383150953458</v>
      </c>
      <c r="J51" s="115">
        <f t="shared" ref="J51" ca="1" si="49">SUM(J46:J50)</f>
        <v>30798.269045302339</v>
      </c>
      <c r="K51" s="115">
        <f t="shared" ref="K51" ca="1" si="50">SUM(K46:K50)</f>
        <v>36889.420484870803</v>
      </c>
      <c r="L51" s="45"/>
    </row>
    <row r="52" spans="2:12" outlineLevel="1" x14ac:dyDescent="0.35">
      <c r="B52" s="105"/>
    </row>
    <row r="53" spans="2:12" outlineLevel="1" x14ac:dyDescent="0.35">
      <c r="B53" s="107" t="s">
        <v>10</v>
      </c>
      <c r="D53" s="112">
        <f>INDEX('Audited Balance Sheet'!$E$9:$G$40,MATCH($B53,'Audited Balance Sheet'!$B$9:$B$40,0),MATCH(D$6,'Audited Balance Sheet'!$E$6:$G$6,0))</f>
        <v>7007</v>
      </c>
      <c r="E53" s="112">
        <f>INDEX('Audited Balance Sheet'!$E$9:$G$40,MATCH($B53,'Audited Balance Sheet'!$B$9:$B$40,0),MATCH(E$6,'Audited Balance Sheet'!$E$6:$G$6,0))</f>
        <v>8309.3220000000001</v>
      </c>
      <c r="F53" s="112">
        <f>INDEX('Audited Balance Sheet'!$E$9:$G$40,MATCH($B53,'Audited Balance Sheet'!$B$9:$B$40,0),MATCH(F$6,'Audited Balance Sheet'!$E$6:$G$6,0))</f>
        <v>9491.2999999999993</v>
      </c>
      <c r="G53" s="112">
        <f>Schedules!F209</f>
        <v>11589.137025</v>
      </c>
      <c r="H53" s="112">
        <f>Schedules!G209</f>
        <v>13666.345416227501</v>
      </c>
      <c r="I53" s="112">
        <f>Schedules!H209</f>
        <v>15721.492717417428</v>
      </c>
      <c r="J53" s="112">
        <f>Schedules!I209</f>
        <v>17707.639291098698</v>
      </c>
      <c r="K53" s="112">
        <f>Schedules!J209</f>
        <v>19619.779149134898</v>
      </c>
    </row>
    <row r="54" spans="2:12" outlineLevel="1" x14ac:dyDescent="0.35">
      <c r="B54" s="107" t="s">
        <v>11</v>
      </c>
      <c r="D54" s="112">
        <f>INDEX('Audited Balance Sheet'!$E$9:$G$40,MATCH($B54,'Audited Balance Sheet'!$B$9:$B$40,0),MATCH(D$6,'Audited Balance Sheet'!$E$6:$G$6,0))</f>
        <v>2500.078</v>
      </c>
      <c r="E54" s="112">
        <f>INDEX('Audited Balance Sheet'!$E$9:$G$40,MATCH($B54,'Audited Balance Sheet'!$B$9:$B$40,0),MATCH(E$6,'Audited Balance Sheet'!$E$6:$G$6,0))</f>
        <v>2598.1015199999997</v>
      </c>
      <c r="F54" s="112">
        <f>INDEX('Audited Balance Sheet'!$E$9:$G$40,MATCH($B54,'Audited Balance Sheet'!$B$9:$B$40,0),MATCH(F$6,'Audited Balance Sheet'!$E$6:$G$6,0))</f>
        <v>2854.5636</v>
      </c>
      <c r="G54" s="112">
        <f>Schedules!F214</f>
        <v>4415.0955799999992</v>
      </c>
      <c r="H54" s="112">
        <f>Schedules!G214</f>
        <v>6033.9329489859992</v>
      </c>
      <c r="I54" s="112">
        <f>Schedules!H214</f>
        <v>7717.5796055591754</v>
      </c>
      <c r="J54" s="112">
        <f>Schedules!I214</f>
        <v>9445.0101890266542</v>
      </c>
      <c r="K54" s="112">
        <f>Schedules!J214</f>
        <v>11221.041442092199</v>
      </c>
    </row>
    <row r="55" spans="2:12" outlineLevel="1" x14ac:dyDescent="0.35">
      <c r="B55" s="107" t="s">
        <v>12</v>
      </c>
      <c r="D55" s="112">
        <f>INDEX('Audited Balance Sheet'!$E$9:$G$40,MATCH($B55,'Audited Balance Sheet'!$B$9:$B$40,0),MATCH(D$6,'Audited Balance Sheet'!$E$6:$G$6,0))</f>
        <v>0</v>
      </c>
      <c r="E55" s="112">
        <f>INDEX('Audited Balance Sheet'!$E$9:$G$40,MATCH($B55,'Audited Balance Sheet'!$B$9:$B$40,0),MATCH(E$6,'Audited Balance Sheet'!$E$6:$G$6,0))</f>
        <v>0</v>
      </c>
      <c r="F55" s="112">
        <f>INDEX('Audited Balance Sheet'!$E$9:$G$40,MATCH($B55,'Audited Balance Sheet'!$B$9:$B$40,0),MATCH(F$6,'Audited Balance Sheet'!$E$6:$G$6,0))</f>
        <v>0</v>
      </c>
      <c r="G55" s="112">
        <v>0</v>
      </c>
      <c r="H55" s="112">
        <v>0</v>
      </c>
      <c r="I55" s="112">
        <v>0</v>
      </c>
      <c r="J55" s="112">
        <v>0</v>
      </c>
      <c r="K55" s="112">
        <v>0</v>
      </c>
    </row>
    <row r="56" spans="2:12" outlineLevel="1" x14ac:dyDescent="0.35">
      <c r="B56" s="104" t="s">
        <v>13</v>
      </c>
      <c r="D56" s="112">
        <f>INDEX('Audited Balance Sheet'!$E$9:$G$40,MATCH($B56,'Audited Balance Sheet'!$B$9:$B$40,0),MATCH(D$6,'Audited Balance Sheet'!$E$6:$G$6,0))</f>
        <v>1130.43</v>
      </c>
      <c r="E56" s="112">
        <f>INDEX('Audited Balance Sheet'!$E$9:$G$40,MATCH($B56,'Audited Balance Sheet'!$B$9:$B$40,0),MATCH(E$6,'Audited Balance Sheet'!$E$6:$G$6,0))</f>
        <v>1700.5352</v>
      </c>
      <c r="F56" s="112">
        <f>INDEX('Audited Balance Sheet'!$E$9:$G$40,MATCH($B56,'Audited Balance Sheet'!$B$9:$B$40,0),MATCH(F$6,'Audited Balance Sheet'!$E$6:$G$6,0))</f>
        <v>1825.5636</v>
      </c>
      <c r="G56" s="111">
        <f>F56</f>
        <v>1825.5636</v>
      </c>
      <c r="H56" s="111">
        <f t="shared" ref="H56:K56" si="51">G56</f>
        <v>1825.5636</v>
      </c>
      <c r="I56" s="111">
        <f t="shared" si="51"/>
        <v>1825.5636</v>
      </c>
      <c r="J56" s="111">
        <f t="shared" si="51"/>
        <v>1825.5636</v>
      </c>
      <c r="K56" s="111">
        <f t="shared" si="51"/>
        <v>1825.5636</v>
      </c>
    </row>
    <row r="57" spans="2:12" outlineLevel="1" x14ac:dyDescent="0.35">
      <c r="B57" s="114" t="s">
        <v>14</v>
      </c>
      <c r="C57" s="60"/>
      <c r="D57" s="115">
        <f>SUM(D53:D56)</f>
        <v>10637.508</v>
      </c>
      <c r="E57" s="115">
        <f t="shared" ref="E57:F57" si="52">SUM(E53:E56)</f>
        <v>12607.958720000001</v>
      </c>
      <c r="F57" s="115">
        <f t="shared" si="52"/>
        <v>14171.427199999998</v>
      </c>
      <c r="G57" s="115">
        <f t="shared" ref="G57" si="53">SUM(G53:G56)</f>
        <v>17829.796204999999</v>
      </c>
      <c r="H57" s="115">
        <f t="shared" ref="H57" si="54">SUM(H53:H56)</f>
        <v>21525.841965213502</v>
      </c>
      <c r="I57" s="115">
        <f t="shared" ref="I57" si="55">SUM(I53:I56)</f>
        <v>25264.635922976606</v>
      </c>
      <c r="J57" s="115">
        <f t="shared" ref="J57" si="56">SUM(J53:J56)</f>
        <v>28978.213080125352</v>
      </c>
      <c r="K57" s="115">
        <f t="shared" ref="K57" si="57">SUM(K53:K56)</f>
        <v>32666.384191227098</v>
      </c>
      <c r="L57" s="45"/>
    </row>
    <row r="58" spans="2:12" outlineLevel="1" x14ac:dyDescent="0.35">
      <c r="B58" s="107"/>
    </row>
    <row r="59" spans="2:12" ht="15" outlineLevel="1" thickBot="1" x14ac:dyDescent="0.4">
      <c r="B59" s="130" t="s">
        <v>15</v>
      </c>
      <c r="C59" s="68"/>
      <c r="D59" s="117">
        <f>SUM(D57,D51)</f>
        <v>24029.580399999999</v>
      </c>
      <c r="E59" s="117">
        <f t="shared" ref="E59:K59" si="58">SUM(E57,E51)</f>
        <v>27788.51152</v>
      </c>
      <c r="F59" s="117">
        <f t="shared" si="58"/>
        <v>30834.23</v>
      </c>
      <c r="G59" s="117">
        <f t="shared" ca="1" si="58"/>
        <v>37027.597091290358</v>
      </c>
      <c r="H59" s="117">
        <f t="shared" ca="1" si="58"/>
        <v>44053.625388028857</v>
      </c>
      <c r="I59" s="117">
        <f t="shared" ca="1" si="58"/>
        <v>51376.01907393006</v>
      </c>
      <c r="J59" s="117">
        <f t="shared" ca="1" si="58"/>
        <v>59776.48212542769</v>
      </c>
      <c r="K59" s="117">
        <f t="shared" ca="1" si="58"/>
        <v>69555.804676097905</v>
      </c>
    </row>
    <row r="60" spans="2:12" outlineLevel="1" x14ac:dyDescent="0.35">
      <c r="B60" s="131"/>
    </row>
    <row r="61" spans="2:12" outlineLevel="1" x14ac:dyDescent="0.35">
      <c r="B61" s="131"/>
    </row>
    <row r="62" spans="2:12" outlineLevel="1" x14ac:dyDescent="0.35">
      <c r="B62" s="129" t="s">
        <v>16</v>
      </c>
    </row>
    <row r="63" spans="2:12" outlineLevel="1" x14ac:dyDescent="0.35">
      <c r="B63" s="108" t="s">
        <v>17</v>
      </c>
      <c r="D63" s="112">
        <f>INDEX('Audited Balance Sheet'!$E$9:$G$40,MATCH($B63,'Audited Balance Sheet'!$B$9:$B$40,0),MATCH(D$6,'Audited Balance Sheet'!$E$6:$G$6,0))</f>
        <v>4691.1032000000005</v>
      </c>
      <c r="E63" s="112">
        <f>INDEX('Audited Balance Sheet'!$E$9:$G$40,MATCH($B63,'Audited Balance Sheet'!$B$9:$B$40,0),MATCH(E$6,'Audited Balance Sheet'!$E$6:$G$6,0))</f>
        <v>5396.8403999999991</v>
      </c>
      <c r="F63" s="112">
        <f>INDEX('Audited Balance Sheet'!$E$9:$G$40,MATCH($B63,'Audited Balance Sheet'!$B$9:$B$40,0),MATCH(F$6,'Audited Balance Sheet'!$E$6:$G$6,0))</f>
        <v>6055.8119999999999</v>
      </c>
      <c r="G63" s="112">
        <f>Schedules!F284</f>
        <v>6497.6951571710742</v>
      </c>
      <c r="H63" s="112">
        <f>Schedules!G284</f>
        <v>6972.4375461970039</v>
      </c>
      <c r="I63" s="112">
        <f>Schedules!H284</f>
        <v>7482.5183051763706</v>
      </c>
      <c r="J63" s="112">
        <f>Schedules!I284</f>
        <v>7924.8241453066676</v>
      </c>
      <c r="K63" s="112">
        <f>Schedules!J284</f>
        <v>8394.7830100542487</v>
      </c>
    </row>
    <row r="64" spans="2:12" outlineLevel="1" x14ac:dyDescent="0.35">
      <c r="B64" s="108" t="s">
        <v>18</v>
      </c>
      <c r="D64" s="112">
        <f>INDEX('Audited Balance Sheet'!$E$9:$G$40,MATCH($B64,'Audited Balance Sheet'!$B$9:$B$40,0),MATCH(D$6,'Audited Balance Sheet'!$E$6:$G$6,0))</f>
        <v>2628.1640000000002</v>
      </c>
      <c r="E64" s="112">
        <f>INDEX('Audited Balance Sheet'!$E$9:$G$40,MATCH($B64,'Audited Balance Sheet'!$B$9:$B$40,0),MATCH(E$6,'Audited Balance Sheet'!$E$6:$G$6,0))</f>
        <v>3061.0104000000001</v>
      </c>
      <c r="F64" s="112">
        <f>INDEX('Audited Balance Sheet'!$E$9:$G$40,MATCH($B64,'Audited Balance Sheet'!$B$9:$B$40,0),MATCH(F$6,'Audited Balance Sheet'!$E$6:$G$6,0))</f>
        <v>3343.4071999999996</v>
      </c>
      <c r="G64" s="112">
        <f>Schedules!F289</f>
        <v>3690.1904551382863</v>
      </c>
      <c r="H64" s="112">
        <f>Schedules!G289</f>
        <v>4073.790914381605</v>
      </c>
      <c r="I64" s="112">
        <f>Schedules!H289</f>
        <v>4498.178988255806</v>
      </c>
      <c r="J64" s="112">
        <f>Schedules!I289</f>
        <v>4909.6020327063497</v>
      </c>
      <c r="K64" s="112">
        <f>Schedules!J289</f>
        <v>5360.3271887715482</v>
      </c>
    </row>
    <row r="65" spans="2:11" outlineLevel="1" x14ac:dyDescent="0.35">
      <c r="B65" s="132" t="s">
        <v>19</v>
      </c>
      <c r="D65" s="112">
        <f>INDEX('Audited Balance Sheet'!$E$9:$G$40,MATCH($B65,'Audited Balance Sheet'!$B$9:$B$40,0),MATCH(D$6,'Audited Balance Sheet'!$E$6:$G$6,0))</f>
        <v>187.63079999999999</v>
      </c>
      <c r="E65" s="112">
        <f>INDEX('Audited Balance Sheet'!$E$9:$G$40,MATCH($B65,'Audited Balance Sheet'!$B$9:$B$40,0),MATCH(E$6,'Audited Balance Sheet'!$E$6:$G$6,0))</f>
        <v>215.85479999999998</v>
      </c>
      <c r="F65" s="112">
        <f>INDEX('Audited Balance Sheet'!$E$9:$G$40,MATCH($B65,'Audited Balance Sheet'!$B$9:$B$40,0),MATCH(F$6,'Audited Balance Sheet'!$E$6:$G$6,0))</f>
        <v>259.30799999999999</v>
      </c>
      <c r="G65" s="112">
        <f>Schedules!F294</f>
        <v>286.20381823099467</v>
      </c>
      <c r="H65" s="112">
        <f>Schedules!G294</f>
        <v>315.95510544646351</v>
      </c>
      <c r="I65" s="112">
        <f>Schedules!H294</f>
        <v>348.86979877492536</v>
      </c>
      <c r="J65" s="112">
        <f>Schedules!I294</f>
        <v>380.77895025679737</v>
      </c>
      <c r="K65" s="112">
        <f>Schedules!J294</f>
        <v>415.73629519789648</v>
      </c>
    </row>
    <row r="66" spans="2:11" outlineLevel="1" x14ac:dyDescent="0.35">
      <c r="B66" s="114" t="s">
        <v>20</v>
      </c>
      <c r="C66" s="60"/>
      <c r="D66" s="115">
        <f>SUM(D63:D65)</f>
        <v>7506.8980000000001</v>
      </c>
      <c r="E66" s="115">
        <f t="shared" ref="E66:F66" si="59">SUM(E63:E65)</f>
        <v>8673.7055999999993</v>
      </c>
      <c r="F66" s="115">
        <f t="shared" si="59"/>
        <v>9658.5272000000004</v>
      </c>
      <c r="G66" s="115">
        <f t="shared" ref="G66" si="60">SUM(G63:G65)</f>
        <v>10474.089430540356</v>
      </c>
      <c r="H66" s="115">
        <f t="shared" ref="H66" si="61">SUM(H63:H65)</f>
        <v>11362.183566025071</v>
      </c>
      <c r="I66" s="115">
        <f t="shared" ref="I66" si="62">SUM(I63:I65)</f>
        <v>12329.567092207102</v>
      </c>
      <c r="J66" s="115">
        <f t="shared" ref="J66" si="63">SUM(J63:J65)</f>
        <v>13215.205128269816</v>
      </c>
      <c r="K66" s="115">
        <f t="shared" ref="K66" si="64">SUM(K63:K65)</f>
        <v>14170.846494023694</v>
      </c>
    </row>
    <row r="67" spans="2:11" outlineLevel="1" x14ac:dyDescent="0.35">
      <c r="B67" s="131"/>
    </row>
    <row r="68" spans="2:11" outlineLevel="1" x14ac:dyDescent="0.35">
      <c r="B68" s="108" t="s">
        <v>21</v>
      </c>
      <c r="D68" s="112">
        <f>INDEX('Audited Balance Sheet'!$E$9:$G$40,MATCH($B68,'Audited Balance Sheet'!$B$9:$B$40,0),MATCH(D$6,'Audited Balance Sheet'!$E$6:$G$6,0))</f>
        <v>7487.2</v>
      </c>
      <c r="E68" s="112">
        <f>INDEX('Audited Balance Sheet'!$E$9:$G$40,MATCH($B68,'Audited Balance Sheet'!$B$9:$B$40,0),MATCH(E$6,'Audited Balance Sheet'!$E$6:$G$6,0))</f>
        <v>6840.4</v>
      </c>
      <c r="F68" s="112">
        <f>INDEX('Audited Balance Sheet'!$E$9:$G$40,MATCH($B68,'Audited Balance Sheet'!$B$9:$B$40,0),MATCH(F$6,'Audited Balance Sheet'!$E$6:$G$6,0))</f>
        <v>6193.5999999999995</v>
      </c>
      <c r="G68" s="112">
        <f>Schedules!F317</f>
        <v>6613.5999999999995</v>
      </c>
      <c r="H68" s="112">
        <f>Schedules!G317</f>
        <v>6983.5999999999995</v>
      </c>
      <c r="I68" s="112">
        <f>Schedules!H317</f>
        <v>6853.5999999999995</v>
      </c>
      <c r="J68" s="112">
        <f>Schedules!I317</f>
        <v>6723.5999999999995</v>
      </c>
      <c r="K68" s="112">
        <f>Schedules!J317</f>
        <v>6593.5999999999995</v>
      </c>
    </row>
    <row r="69" spans="2:11" outlineLevel="1" x14ac:dyDescent="0.35">
      <c r="B69" s="108" t="s">
        <v>22</v>
      </c>
      <c r="D69" s="112">
        <f>INDEX('Audited Balance Sheet'!$E$9:$G$40,MATCH($B69,'Audited Balance Sheet'!$B$9:$B$40,0),MATCH(D$6,'Audited Balance Sheet'!$E$6:$G$6,0))</f>
        <v>0</v>
      </c>
      <c r="E69" s="112">
        <f>INDEX('Audited Balance Sheet'!$E$9:$G$40,MATCH($B69,'Audited Balance Sheet'!$B$9:$B$40,0),MATCH(E$6,'Audited Balance Sheet'!$E$6:$G$6,0))</f>
        <v>0</v>
      </c>
      <c r="F69" s="112">
        <f>INDEX('Audited Balance Sheet'!$E$9:$G$40,MATCH($B69,'Audited Balance Sheet'!$B$9:$B$40,0),MATCH(F$6,'Audited Balance Sheet'!$E$6:$G$6,0))</f>
        <v>0</v>
      </c>
      <c r="G69" s="112">
        <f ca="1">Schedules!F335</f>
        <v>0</v>
      </c>
      <c r="H69" s="112">
        <f ca="1">Schedules!G335</f>
        <v>0</v>
      </c>
      <c r="I69" s="112">
        <f ca="1">Schedules!H335</f>
        <v>0</v>
      </c>
      <c r="J69" s="112">
        <f ca="1">Schedules!I335</f>
        <v>0</v>
      </c>
      <c r="K69" s="112">
        <f ca="1">Schedules!J335</f>
        <v>0</v>
      </c>
    </row>
    <row r="70" spans="2:11" outlineLevel="1" x14ac:dyDescent="0.35">
      <c r="B70" s="132" t="s">
        <v>23</v>
      </c>
      <c r="D70" s="112">
        <f>INDEX('Audited Balance Sheet'!$E$9:$G$40,MATCH($B70,'Audited Balance Sheet'!$B$9:$B$40,0),MATCH(D$6,'Audited Balance Sheet'!$E$6:$G$6,0))</f>
        <v>449.428</v>
      </c>
      <c r="E70" s="112">
        <f>INDEX('Audited Balance Sheet'!$E$9:$G$40,MATCH($B70,'Audited Balance Sheet'!$B$9:$B$40,0),MATCH(E$6,'Audited Balance Sheet'!$E$6:$G$6,0))</f>
        <v>1807.0808</v>
      </c>
      <c r="F70" s="112">
        <f>INDEX('Audited Balance Sheet'!$E$9:$G$40,MATCH($B70,'Audited Balance Sheet'!$B$9:$B$40,0),MATCH(F$6,'Audited Balance Sheet'!$E$6:$G$6,0))</f>
        <v>903.54039999999998</v>
      </c>
      <c r="G70" s="111">
        <f>F70</f>
        <v>903.54039999999998</v>
      </c>
      <c r="H70" s="111">
        <f t="shared" ref="H70:K70" si="65">G70</f>
        <v>903.54039999999998</v>
      </c>
      <c r="I70" s="111">
        <f t="shared" si="65"/>
        <v>903.54039999999998</v>
      </c>
      <c r="J70" s="111">
        <f t="shared" si="65"/>
        <v>903.54039999999998</v>
      </c>
      <c r="K70" s="111">
        <f t="shared" si="65"/>
        <v>903.54039999999998</v>
      </c>
    </row>
    <row r="71" spans="2:11" outlineLevel="1" x14ac:dyDescent="0.35">
      <c r="B71" s="114" t="s">
        <v>24</v>
      </c>
      <c r="C71" s="60"/>
      <c r="D71" s="115">
        <f>SUM(D68:D70)</f>
        <v>7936.6279999999997</v>
      </c>
      <c r="E71" s="115">
        <f t="shared" ref="E71:F71" si="66">SUM(E68:E70)</f>
        <v>8647.4807999999994</v>
      </c>
      <c r="F71" s="115">
        <f t="shared" si="66"/>
        <v>7097.1403999999993</v>
      </c>
      <c r="G71" s="115">
        <f t="shared" ref="G71" ca="1" si="67">SUM(G68:G70)</f>
        <v>7517.1403999999993</v>
      </c>
      <c r="H71" s="115">
        <f t="shared" ref="H71" ca="1" si="68">SUM(H68:H70)</f>
        <v>7887.1403999999993</v>
      </c>
      <c r="I71" s="115">
        <f t="shared" ref="I71" ca="1" si="69">SUM(I68:I70)</f>
        <v>7757.1403999999993</v>
      </c>
      <c r="J71" s="115">
        <f t="shared" ref="J71" ca="1" si="70">SUM(J68:J70)</f>
        <v>7627.1403999999993</v>
      </c>
      <c r="K71" s="115">
        <f t="shared" ref="K71" ca="1" si="71">SUM(K68:K70)</f>
        <v>7497.1403999999993</v>
      </c>
    </row>
    <row r="72" spans="2:11" outlineLevel="1" x14ac:dyDescent="0.35">
      <c r="B72" s="131"/>
    </row>
    <row r="73" spans="2:11" outlineLevel="1" x14ac:dyDescent="0.35">
      <c r="B73" s="108" t="s">
        <v>25</v>
      </c>
      <c r="D73" s="112">
        <f>INDEX('Audited Balance Sheet'!$E$9:$G$40,MATCH($B73,'Audited Balance Sheet'!$B$9:$B$40,0),MATCH(D$6,'Audited Balance Sheet'!$E$6:$G$6,0))</f>
        <v>980</v>
      </c>
      <c r="E73" s="112">
        <f>INDEX('Audited Balance Sheet'!$E$9:$G$40,MATCH($B73,'Audited Balance Sheet'!$B$9:$B$40,0),MATCH(E$6,'Audited Balance Sheet'!$E$6:$G$6,0))</f>
        <v>980</v>
      </c>
      <c r="F73" s="112">
        <f>INDEX('Audited Balance Sheet'!$E$9:$G$40,MATCH($B73,'Audited Balance Sheet'!$B$9:$B$40,0),MATCH(F$6,'Audited Balance Sheet'!$E$6:$G$6,0))</f>
        <v>980</v>
      </c>
      <c r="G73" s="111">
        <f>F73</f>
        <v>980</v>
      </c>
      <c r="H73" s="111">
        <f t="shared" ref="H73:K73" si="72">G73</f>
        <v>980</v>
      </c>
      <c r="I73" s="111">
        <f t="shared" si="72"/>
        <v>980</v>
      </c>
      <c r="J73" s="111">
        <f t="shared" si="72"/>
        <v>980</v>
      </c>
      <c r="K73" s="111">
        <f t="shared" si="72"/>
        <v>980</v>
      </c>
    </row>
    <row r="74" spans="2:11" outlineLevel="1" x14ac:dyDescent="0.35">
      <c r="B74" s="132" t="s">
        <v>26</v>
      </c>
      <c r="D74" s="112">
        <f>INDEX('Audited Balance Sheet'!$E$9:$G$40,MATCH($B74,'Audited Balance Sheet'!$B$9:$B$40,0),MATCH(D$6,'Audited Balance Sheet'!$E$6:$G$6,0))</f>
        <v>7606.0544</v>
      </c>
      <c r="E74" s="112">
        <f>INDEX('Audited Balance Sheet'!$E$9:$G$40,MATCH($B74,'Audited Balance Sheet'!$B$9:$B$40,0),MATCH(E$6,'Audited Balance Sheet'!$E$6:$G$6,0))</f>
        <v>9487.3251199999995</v>
      </c>
      <c r="F74" s="112">
        <f>INDEX('Audited Balance Sheet'!$E$9:$G$40,MATCH($B74,'Audited Balance Sheet'!$B$9:$B$40,0),MATCH(F$6,'Audited Balance Sheet'!$E$6:$G$6,0))</f>
        <v>13098.562399999999</v>
      </c>
      <c r="G74" s="112">
        <f>Schedules!F256</f>
        <v>18056.367260749998</v>
      </c>
      <c r="H74" s="112">
        <f>Schedules!G256</f>
        <v>23824.301422003773</v>
      </c>
      <c r="I74" s="112">
        <f>Schedules!H256</f>
        <v>30309.311581722937</v>
      </c>
      <c r="J74" s="112">
        <f>Schedules!I256</f>
        <v>37954.136597157856</v>
      </c>
      <c r="K74" s="112">
        <f>Schedules!J256</f>
        <v>46907.817782074191</v>
      </c>
    </row>
    <row r="75" spans="2:11" outlineLevel="1" x14ac:dyDescent="0.35">
      <c r="B75" s="114" t="s">
        <v>27</v>
      </c>
      <c r="C75" s="60"/>
      <c r="D75" s="115">
        <f>SUM(D73:D74)</f>
        <v>8586.0544000000009</v>
      </c>
      <c r="E75" s="115">
        <f t="shared" ref="E75:F75" si="73">SUM(E73:E74)</f>
        <v>10467.32512</v>
      </c>
      <c r="F75" s="115">
        <f t="shared" si="73"/>
        <v>14078.562399999999</v>
      </c>
      <c r="G75" s="115">
        <f t="shared" ref="G75" si="74">SUM(G73:G74)</f>
        <v>19036.367260749998</v>
      </c>
      <c r="H75" s="115">
        <f t="shared" ref="H75" si="75">SUM(H73:H74)</f>
        <v>24804.301422003773</v>
      </c>
      <c r="I75" s="115">
        <f t="shared" ref="I75" si="76">SUM(I73:I74)</f>
        <v>31289.311581722937</v>
      </c>
      <c r="J75" s="115">
        <f t="shared" ref="J75" si="77">SUM(J73:J74)</f>
        <v>38934.136597157856</v>
      </c>
      <c r="K75" s="115">
        <f t="shared" ref="K75" si="78">SUM(K73:K74)</f>
        <v>47887.817782074191</v>
      </c>
    </row>
    <row r="76" spans="2:11" outlineLevel="1" x14ac:dyDescent="0.35">
      <c r="B76" s="131"/>
    </row>
    <row r="77" spans="2:11" ht="15" outlineLevel="1" thickBot="1" x14ac:dyDescent="0.4">
      <c r="B77" s="130" t="s">
        <v>28</v>
      </c>
      <c r="C77" s="68"/>
      <c r="D77" s="117">
        <f>SUM(D66,D71,D75)</f>
        <v>24029.580399999999</v>
      </c>
      <c r="E77" s="117">
        <f t="shared" ref="E77:K77" si="79">SUM(E66,E71,E75)</f>
        <v>27788.51152</v>
      </c>
      <c r="F77" s="117">
        <f t="shared" si="79"/>
        <v>30834.23</v>
      </c>
      <c r="G77" s="117">
        <f t="shared" ca="1" si="79"/>
        <v>37027.597091290358</v>
      </c>
      <c r="H77" s="117">
        <f t="shared" ca="1" si="79"/>
        <v>44053.625388028842</v>
      </c>
      <c r="I77" s="117">
        <f t="shared" ca="1" si="79"/>
        <v>51376.019073930038</v>
      </c>
      <c r="J77" s="117">
        <f t="shared" ca="1" si="79"/>
        <v>59776.482125427676</v>
      </c>
      <c r="K77" s="117">
        <f t="shared" ca="1" si="79"/>
        <v>69555.804676097876</v>
      </c>
    </row>
    <row r="78" spans="2:11" outlineLevel="1" x14ac:dyDescent="0.35"/>
    <row r="79" spans="2:11" outlineLevel="1" x14ac:dyDescent="0.35">
      <c r="B79" s="136" t="s">
        <v>231</v>
      </c>
      <c r="C79" s="136"/>
      <c r="D79" s="137">
        <f>D77-D59</f>
        <v>0</v>
      </c>
      <c r="E79" s="137">
        <f t="shared" ref="E79:K79" si="80">E77-E59</f>
        <v>0</v>
      </c>
      <c r="F79" s="137">
        <f t="shared" si="80"/>
        <v>0</v>
      </c>
      <c r="G79" s="137">
        <f t="shared" ca="1" si="80"/>
        <v>0</v>
      </c>
      <c r="H79" s="137">
        <f t="shared" ca="1" si="80"/>
        <v>0</v>
      </c>
      <c r="I79" s="137">
        <f t="shared" ca="1" si="80"/>
        <v>0</v>
      </c>
      <c r="J79" s="137">
        <f t="shared" ca="1" si="80"/>
        <v>0</v>
      </c>
      <c r="K79" s="137">
        <f t="shared" ca="1" si="80"/>
        <v>0</v>
      </c>
    </row>
    <row r="80" spans="2:11" outlineLevel="1" x14ac:dyDescent="0.35"/>
    <row r="81" spans="1:11" outlineLevel="1" x14ac:dyDescent="0.35">
      <c r="B81" s="147" t="s">
        <v>232</v>
      </c>
      <c r="C81" s="147"/>
      <c r="D81" s="160">
        <f>D51-D66</f>
        <v>5885.1744000000008</v>
      </c>
      <c r="E81" s="160">
        <f t="shared" ref="E81:K81" si="81">E51-E66</f>
        <v>6506.8472000000002</v>
      </c>
      <c r="F81" s="160">
        <f t="shared" si="81"/>
        <v>7004.2756000000008</v>
      </c>
      <c r="G81" s="160">
        <f t="shared" ca="1" si="81"/>
        <v>8723.7114557500063</v>
      </c>
      <c r="H81" s="160">
        <f t="shared" ca="1" si="81"/>
        <v>11165.599856790284</v>
      </c>
      <c r="I81" s="160">
        <f t="shared" ca="1" si="81"/>
        <v>13781.816058746355</v>
      </c>
      <c r="J81" s="160">
        <f t="shared" ca="1" si="81"/>
        <v>17583.063917032523</v>
      </c>
      <c r="K81" s="160">
        <f t="shared" ca="1" si="81"/>
        <v>22718.573990847108</v>
      </c>
    </row>
    <row r="82" spans="1:11" outlineLevel="1" x14ac:dyDescent="0.35">
      <c r="B82" s="147" t="s">
        <v>194</v>
      </c>
      <c r="C82" s="147"/>
      <c r="D82" s="161">
        <f>D48/D10*365</f>
        <v>42.235979905324754</v>
      </c>
      <c r="E82" s="161">
        <f t="shared" ref="E82:K82" si="82">E48/E10*365</f>
        <v>41.830284679793493</v>
      </c>
      <c r="F82" s="161">
        <f t="shared" si="82"/>
        <v>41.18518909892942</v>
      </c>
      <c r="G82" s="161">
        <f t="shared" si="82"/>
        <v>41.21757183244268</v>
      </c>
      <c r="H82" s="161">
        <f t="shared" si="82"/>
        <v>41.21757183244268</v>
      </c>
      <c r="I82" s="161">
        <f t="shared" si="82"/>
        <v>41.21757183244268</v>
      </c>
      <c r="J82" s="161">
        <f t="shared" si="82"/>
        <v>41.21757183244268</v>
      </c>
      <c r="K82" s="161">
        <f t="shared" si="82"/>
        <v>41.21757183244268</v>
      </c>
    </row>
    <row r="83" spans="1:11" outlineLevel="1" x14ac:dyDescent="0.35">
      <c r="B83" s="147" t="s">
        <v>233</v>
      </c>
      <c r="C83" s="147"/>
      <c r="D83" s="161">
        <f>D47/-D11*365</f>
        <v>70.599950657628654</v>
      </c>
      <c r="E83" s="161">
        <f t="shared" ref="E83:K83" si="83">E47/-E11*365</f>
        <v>70.857270326640332</v>
      </c>
      <c r="F83" s="161">
        <f t="shared" si="83"/>
        <v>72.565933958740942</v>
      </c>
      <c r="G83" s="161">
        <f t="shared" si="83"/>
        <v>72.60953107937469</v>
      </c>
      <c r="H83" s="161">
        <f t="shared" si="83"/>
        <v>72.60953107937469</v>
      </c>
      <c r="I83" s="161">
        <f t="shared" si="83"/>
        <v>72.60953107937469</v>
      </c>
      <c r="J83" s="161">
        <f t="shared" si="83"/>
        <v>72.60953107937469</v>
      </c>
      <c r="K83" s="161">
        <f t="shared" si="83"/>
        <v>72.60953107937469</v>
      </c>
    </row>
    <row r="84" spans="1:11" outlineLevel="1" x14ac:dyDescent="0.35">
      <c r="B84" s="147" t="s">
        <v>195</v>
      </c>
      <c r="C84" s="147"/>
      <c r="D84" s="161">
        <f>D63/-D11*365</f>
        <v>70.664609386375034</v>
      </c>
      <c r="E84" s="161">
        <f t="shared" ref="E84:K84" si="84">E63/-E11*365</f>
        <v>74.174457875073983</v>
      </c>
      <c r="F84" s="161">
        <f t="shared" si="84"/>
        <v>78.575922643434055</v>
      </c>
      <c r="G84" s="161">
        <f t="shared" si="84"/>
        <v>78.623130524481127</v>
      </c>
      <c r="H84" s="161">
        <f t="shared" si="84"/>
        <v>78.623130524481127</v>
      </c>
      <c r="I84" s="161">
        <f t="shared" si="84"/>
        <v>78.623130524481127</v>
      </c>
      <c r="J84" s="161">
        <f t="shared" si="84"/>
        <v>78.623130524481127</v>
      </c>
      <c r="K84" s="161">
        <f t="shared" si="84"/>
        <v>78.623130524481127</v>
      </c>
    </row>
    <row r="85" spans="1:11" outlineLevel="1" x14ac:dyDescent="0.35">
      <c r="B85" s="147" t="s">
        <v>234</v>
      </c>
      <c r="C85" s="147"/>
      <c r="D85" s="155">
        <f>D49/D10</f>
        <v>3.507912381914792E-2</v>
      </c>
      <c r="E85" s="155">
        <f t="shared" ref="E85:K85" si="85">E49/E10</f>
        <v>3.6434315204238975E-2</v>
      </c>
      <c r="F85" s="155">
        <f t="shared" si="85"/>
        <v>3.7670563443000571E-2</v>
      </c>
      <c r="G85" s="155">
        <f t="shared" si="85"/>
        <v>3.7700182727116012E-2</v>
      </c>
      <c r="H85" s="155">
        <f t="shared" si="85"/>
        <v>3.7700182727116012E-2</v>
      </c>
      <c r="I85" s="155">
        <f t="shared" si="85"/>
        <v>3.7700182727116012E-2</v>
      </c>
      <c r="J85" s="155">
        <f t="shared" si="85"/>
        <v>3.7700182727116012E-2</v>
      </c>
      <c r="K85" s="155">
        <f t="shared" si="85"/>
        <v>3.7700182727116012E-2</v>
      </c>
    </row>
    <row r="86" spans="1:11" outlineLevel="1" x14ac:dyDescent="0.35">
      <c r="B86" s="147" t="s">
        <v>235</v>
      </c>
      <c r="C86" s="147"/>
      <c r="D86" s="155">
        <f>D50/D10</f>
        <v>2.0624790335339207E-3</v>
      </c>
      <c r="E86" s="155">
        <f t="shared" ref="E86:K86" si="86">E50/E10</f>
        <v>2.4733526363970265E-3</v>
      </c>
      <c r="F86" s="155">
        <f t="shared" si="86"/>
        <v>2.6036277257993783E-3</v>
      </c>
      <c r="G86" s="155">
        <f t="shared" si="86"/>
        <v>2.6056748836407518E-3</v>
      </c>
      <c r="H86" s="155">
        <f t="shared" si="86"/>
        <v>2.6056748836407518E-3</v>
      </c>
      <c r="I86" s="155">
        <f t="shared" si="86"/>
        <v>2.6056748836407518E-3</v>
      </c>
      <c r="J86" s="155">
        <f t="shared" si="86"/>
        <v>2.6056748836407518E-3</v>
      </c>
      <c r="K86" s="155">
        <f t="shared" si="86"/>
        <v>2.6056748836407518E-3</v>
      </c>
    </row>
    <row r="87" spans="1:11" outlineLevel="1" x14ac:dyDescent="0.35">
      <c r="B87" s="147" t="s">
        <v>236</v>
      </c>
      <c r="C87" s="147"/>
      <c r="D87" s="155">
        <f>D65/D10</f>
        <v>3.9646810819317724E-3</v>
      </c>
      <c r="E87" s="155">
        <f t="shared" ref="E87:K87" si="87">E65/E10</f>
        <v>4.1065931832715893E-3</v>
      </c>
      <c r="F87" s="155">
        <f t="shared" si="87"/>
        <v>4.4665449704779274E-3</v>
      </c>
      <c r="G87" s="155">
        <f t="shared" si="87"/>
        <v>4.4700568867436646E-3</v>
      </c>
      <c r="H87" s="155">
        <f t="shared" si="87"/>
        <v>4.4700568867436646E-3</v>
      </c>
      <c r="I87" s="155">
        <f t="shared" si="87"/>
        <v>4.4700568867436646E-3</v>
      </c>
      <c r="J87" s="155">
        <f t="shared" si="87"/>
        <v>4.4700568867436646E-3</v>
      </c>
      <c r="K87" s="155">
        <f t="shared" si="87"/>
        <v>4.4700568867436646E-3</v>
      </c>
    </row>
    <row r="88" spans="1:11" outlineLevel="1" x14ac:dyDescent="0.35">
      <c r="B88" s="147" t="s">
        <v>237</v>
      </c>
      <c r="C88" s="147"/>
      <c r="D88" s="155">
        <f>D64/D10</f>
        <v>5.5533697511358136E-2</v>
      </c>
      <c r="E88" s="155">
        <f t="shared" ref="E88:K88" si="88">E64/E10</f>
        <v>5.8235093417257543E-2</v>
      </c>
      <c r="F88" s="155">
        <f t="shared" si="88"/>
        <v>5.758973349615009E-2</v>
      </c>
      <c r="G88" s="155">
        <f t="shared" si="88"/>
        <v>5.7635014652646088E-2</v>
      </c>
      <c r="H88" s="155">
        <f t="shared" si="88"/>
        <v>5.7635014652646088E-2</v>
      </c>
      <c r="I88" s="155">
        <f t="shared" si="88"/>
        <v>5.7635014652646088E-2</v>
      </c>
      <c r="J88" s="155">
        <f t="shared" si="88"/>
        <v>5.7635014652646088E-2</v>
      </c>
      <c r="K88" s="155">
        <f t="shared" si="88"/>
        <v>5.7635014652646095E-2</v>
      </c>
    </row>
    <row r="90" spans="1:11" ht="18.5" x14ac:dyDescent="0.45">
      <c r="A90" s="46" t="s">
        <v>52</v>
      </c>
      <c r="B90" s="54" t="s">
        <v>238</v>
      </c>
      <c r="C90" s="127"/>
      <c r="D90" s="127"/>
      <c r="E90" s="127"/>
      <c r="F90" s="127"/>
      <c r="G90" s="128"/>
      <c r="H90" s="128"/>
      <c r="I90" s="128"/>
      <c r="J90" s="128"/>
      <c r="K90" s="128"/>
    </row>
    <row r="91" spans="1:11" outlineLevel="1" x14ac:dyDescent="0.35"/>
    <row r="92" spans="1:11" outlineLevel="1" x14ac:dyDescent="0.35">
      <c r="B92" t="s">
        <v>45</v>
      </c>
      <c r="G92" s="111">
        <f ca="1">G34</f>
        <v>7082.5783725000056</v>
      </c>
      <c r="H92" s="111">
        <f t="shared" ref="H92:K92" ca="1" si="89">H34</f>
        <v>8239.905944648257</v>
      </c>
      <c r="I92" s="111">
        <f t="shared" ca="1" si="89"/>
        <v>9264.3002281702393</v>
      </c>
      <c r="J92" s="111">
        <f t="shared" ca="1" si="89"/>
        <v>10921.178593478453</v>
      </c>
      <c r="K92" s="111">
        <f t="shared" ca="1" si="89"/>
        <v>12790.973121309045</v>
      </c>
    </row>
    <row r="93" spans="1:11" outlineLevel="1" x14ac:dyDescent="0.35">
      <c r="B93" s="85" t="s">
        <v>257</v>
      </c>
      <c r="G93" s="111">
        <f>G29*-1</f>
        <v>653.16719999999998</v>
      </c>
      <c r="H93" s="111">
        <f t="shared" ref="H93:K93" si="90">H29*-1</f>
        <v>707.05439999999999</v>
      </c>
      <c r="I93" s="111">
        <f t="shared" si="90"/>
        <v>733.37160000000006</v>
      </c>
      <c r="J93" s="111">
        <f t="shared" si="90"/>
        <v>733.16880000000003</v>
      </c>
      <c r="K93" s="111">
        <f t="shared" si="90"/>
        <v>732.44600000000003</v>
      </c>
    </row>
    <row r="94" spans="1:11" outlineLevel="1" x14ac:dyDescent="0.35">
      <c r="B94" s="85" t="s">
        <v>258</v>
      </c>
      <c r="G94" s="111">
        <f ca="1">G30*-1</f>
        <v>0</v>
      </c>
      <c r="H94" s="111">
        <f t="shared" ref="H94:K94" ca="1" si="91">H30*-1</f>
        <v>0</v>
      </c>
      <c r="I94" s="111">
        <f t="shared" ca="1" si="91"/>
        <v>0</v>
      </c>
      <c r="J94" s="111">
        <f t="shared" ca="1" si="91"/>
        <v>0</v>
      </c>
      <c r="K94" s="111">
        <f t="shared" ca="1" si="91"/>
        <v>0</v>
      </c>
    </row>
    <row r="95" spans="1:11" outlineLevel="1" x14ac:dyDescent="0.35">
      <c r="B95" s="85" t="s">
        <v>239</v>
      </c>
      <c r="G95" s="111">
        <f>-G24</f>
        <v>1103.5072250000001</v>
      </c>
      <c r="H95" s="111">
        <f t="shared" ref="H95:K95" si="92">-H24</f>
        <v>1456.9200712475001</v>
      </c>
      <c r="I95" s="111">
        <f t="shared" si="92"/>
        <v>1847.1497792961031</v>
      </c>
      <c r="J95" s="111">
        <f t="shared" si="92"/>
        <v>2273.0715962935892</v>
      </c>
      <c r="K95" s="111">
        <f t="shared" si="92"/>
        <v>2738.0950912191215</v>
      </c>
    </row>
    <row r="96" spans="1:11" outlineLevel="1" x14ac:dyDescent="0.35">
      <c r="B96" s="85" t="s">
        <v>240</v>
      </c>
      <c r="G96" s="111">
        <f>-G25</f>
        <v>360.27457000000004</v>
      </c>
      <c r="H96" s="111">
        <f t="shared" ref="H96:K96" si="93">-H25</f>
        <v>501.63970849900005</v>
      </c>
      <c r="I96" s="111">
        <f t="shared" si="93"/>
        <v>657.73159171844122</v>
      </c>
      <c r="J96" s="111">
        <f t="shared" si="93"/>
        <v>828.10031851743565</v>
      </c>
      <c r="K96" s="111">
        <f t="shared" si="93"/>
        <v>1014.1097164876485</v>
      </c>
    </row>
    <row r="97" spans="2:11" outlineLevel="1" x14ac:dyDescent="0.35">
      <c r="B97" s="85" t="s">
        <v>241</v>
      </c>
      <c r="G97" s="112">
        <f>Schedules!F310*-1</f>
        <v>-514.49445126856256</v>
      </c>
      <c r="H97" s="112">
        <f>Schedules!G310*-1</f>
        <v>-570.19215793921308</v>
      </c>
      <c r="I97" s="112">
        <f>Schedules!H310*-1</f>
        <v>-631.97778588135225</v>
      </c>
      <c r="J97" s="112">
        <f>Schedules!I310*-1</f>
        <v>-616.66287998299708</v>
      </c>
      <c r="K97" s="112">
        <f>Schedules!J310*-1</f>
        <v>-676.68763129762669</v>
      </c>
    </row>
    <row r="98" spans="2:11" outlineLevel="1" x14ac:dyDescent="0.35">
      <c r="B98" s="60" t="s">
        <v>242</v>
      </c>
      <c r="C98" s="59"/>
      <c r="D98" s="59"/>
      <c r="E98" s="59"/>
      <c r="F98" s="59"/>
      <c r="G98" s="115">
        <f ca="1">SUM(G92:G97)</f>
        <v>8685.032916231441</v>
      </c>
      <c r="H98" s="115">
        <f t="shared" ref="H98:K98" ca="1" si="94">SUM(H92:H97)</f>
        <v>10335.327966455545</v>
      </c>
      <c r="I98" s="115">
        <f t="shared" ca="1" si="94"/>
        <v>11870.575413303432</v>
      </c>
      <c r="J98" s="115">
        <f t="shared" ca="1" si="94"/>
        <v>14138.856428306481</v>
      </c>
      <c r="K98" s="115">
        <f t="shared" ca="1" si="94"/>
        <v>16598.936297718188</v>
      </c>
    </row>
    <row r="99" spans="2:11" outlineLevel="1" x14ac:dyDescent="0.35"/>
    <row r="100" spans="2:11" outlineLevel="1" x14ac:dyDescent="0.35">
      <c r="B100" s="85" t="s">
        <v>243</v>
      </c>
      <c r="G100" s="112">
        <f>Schedules!F194*-1</f>
        <v>-3201.3442500000001</v>
      </c>
      <c r="H100" s="112">
        <f>Schedules!G194*-1</f>
        <v>-3534.1284624750006</v>
      </c>
      <c r="I100" s="112">
        <f>Schedules!H194*-1</f>
        <v>-3902.2970804860288</v>
      </c>
      <c r="J100" s="112">
        <f>Schedules!I194*-1</f>
        <v>-4259.2181699748598</v>
      </c>
      <c r="K100" s="112">
        <f>Schedules!J194*-1</f>
        <v>-4650.2349492553212</v>
      </c>
    </row>
    <row r="101" spans="2:11" outlineLevel="1" x14ac:dyDescent="0.35">
      <c r="B101" s="85" t="s">
        <v>244</v>
      </c>
      <c r="G101" s="112">
        <f>Schedules!F199*-1</f>
        <v>-1920.80655</v>
      </c>
      <c r="H101" s="112">
        <f>Schedules!G199*-1</f>
        <v>-2120.4770774850003</v>
      </c>
      <c r="I101" s="112">
        <f>Schedules!H199*-1</f>
        <v>-2341.3782482916172</v>
      </c>
      <c r="J101" s="112">
        <f>Schedules!I199*-1</f>
        <v>-2555.5309019849155</v>
      </c>
      <c r="K101" s="112">
        <f>Schedules!J199*-1</f>
        <v>-2790.1409695531929</v>
      </c>
    </row>
    <row r="102" spans="2:11" outlineLevel="1" x14ac:dyDescent="0.35">
      <c r="B102" s="92" t="s">
        <v>245</v>
      </c>
      <c r="C102" s="59"/>
      <c r="D102" s="59"/>
      <c r="E102" s="59"/>
      <c r="F102" s="59"/>
      <c r="G102" s="115">
        <f>SUM(G100:G101)</f>
        <v>-5122.1508000000003</v>
      </c>
      <c r="H102" s="115">
        <f t="shared" ref="H102:K102" si="95">SUM(H100:H101)</f>
        <v>-5654.6055399600009</v>
      </c>
      <c r="I102" s="115">
        <f t="shared" si="95"/>
        <v>-6243.6753287776464</v>
      </c>
      <c r="J102" s="115">
        <f t="shared" si="95"/>
        <v>-6814.7490719597754</v>
      </c>
      <c r="K102" s="115">
        <f t="shared" si="95"/>
        <v>-7440.3759188085141</v>
      </c>
    </row>
    <row r="103" spans="2:11" outlineLevel="1" x14ac:dyDescent="0.35"/>
    <row r="104" spans="2:11" outlineLevel="1" x14ac:dyDescent="0.35">
      <c r="B104" s="85" t="s">
        <v>246</v>
      </c>
      <c r="G104" s="111">
        <f>G68-F68</f>
        <v>420</v>
      </c>
      <c r="H104" s="111">
        <f t="shared" ref="H104:K104" si="96">H68-G68</f>
        <v>370</v>
      </c>
      <c r="I104" s="111">
        <f t="shared" si="96"/>
        <v>-130</v>
      </c>
      <c r="J104" s="111">
        <f t="shared" si="96"/>
        <v>-130</v>
      </c>
      <c r="K104" s="111">
        <f t="shared" si="96"/>
        <v>-130</v>
      </c>
    </row>
    <row r="105" spans="2:11" outlineLevel="1" x14ac:dyDescent="0.35">
      <c r="B105" s="85" t="s">
        <v>247</v>
      </c>
      <c r="G105" s="111">
        <f ca="1">G69-F69</f>
        <v>0</v>
      </c>
      <c r="H105" s="111">
        <f t="shared" ref="H105:K105" ca="1" si="97">H69-G69</f>
        <v>0</v>
      </c>
      <c r="I105" s="111">
        <f t="shared" ca="1" si="97"/>
        <v>0</v>
      </c>
      <c r="J105" s="111">
        <f t="shared" ca="1" si="97"/>
        <v>0</v>
      </c>
      <c r="K105" s="111">
        <f t="shared" ca="1" si="97"/>
        <v>0</v>
      </c>
    </row>
    <row r="106" spans="2:11" outlineLevel="1" x14ac:dyDescent="0.35">
      <c r="B106" s="85" t="s">
        <v>259</v>
      </c>
      <c r="G106" s="111">
        <f>G93*-1</f>
        <v>-653.16719999999998</v>
      </c>
      <c r="H106" s="111">
        <f t="shared" ref="H106:K106" si="98">H93*-1</f>
        <v>-707.05439999999999</v>
      </c>
      <c r="I106" s="111">
        <f t="shared" si="98"/>
        <v>-733.37160000000006</v>
      </c>
      <c r="J106" s="111">
        <f t="shared" si="98"/>
        <v>-733.16880000000003</v>
      </c>
      <c r="K106" s="111">
        <f t="shared" si="98"/>
        <v>-732.44600000000003</v>
      </c>
    </row>
    <row r="107" spans="2:11" outlineLevel="1" x14ac:dyDescent="0.35">
      <c r="B107" s="85" t="s">
        <v>260</v>
      </c>
      <c r="G107">
        <f ca="1">G94*-1</f>
        <v>0</v>
      </c>
      <c r="H107">
        <f t="shared" ref="H107:K107" ca="1" si="99">H94*-1</f>
        <v>0</v>
      </c>
      <c r="I107">
        <f t="shared" ca="1" si="99"/>
        <v>0</v>
      </c>
      <c r="J107">
        <f t="shared" ca="1" si="99"/>
        <v>0</v>
      </c>
      <c r="K107">
        <f t="shared" ca="1" si="99"/>
        <v>0</v>
      </c>
    </row>
    <row r="108" spans="2:11" outlineLevel="1" x14ac:dyDescent="0.35">
      <c r="B108" s="85" t="s">
        <v>261</v>
      </c>
      <c r="G108" s="112">
        <f>Schedules!F255</f>
        <v>-2124.7735117500001</v>
      </c>
      <c r="H108" s="112">
        <f>Schedules!G255</f>
        <v>-2471.971783394476</v>
      </c>
      <c r="I108" s="112">
        <f>Schedules!H255</f>
        <v>-2779.2900684510701</v>
      </c>
      <c r="J108" s="112">
        <f>Schedules!I255</f>
        <v>-3276.3535780435363</v>
      </c>
      <c r="K108" s="112">
        <f>Schedules!J255</f>
        <v>-3837.2919363927135</v>
      </c>
    </row>
    <row r="109" spans="2:11" outlineLevel="1" x14ac:dyDescent="0.35">
      <c r="B109" s="92" t="s">
        <v>248</v>
      </c>
      <c r="C109" s="59"/>
      <c r="D109" s="59"/>
      <c r="E109" s="59"/>
      <c r="F109" s="59"/>
      <c r="G109" s="115">
        <f ca="1">SUM(G104:G108)</f>
        <v>-2357.94071175</v>
      </c>
      <c r="H109" s="115">
        <f t="shared" ref="H109:K109" ca="1" si="100">SUM(H104:H108)</f>
        <v>-2809.026183394476</v>
      </c>
      <c r="I109" s="115">
        <f t="shared" ca="1" si="100"/>
        <v>-3642.66166845107</v>
      </c>
      <c r="J109" s="115">
        <f t="shared" ca="1" si="100"/>
        <v>-4139.5223780435363</v>
      </c>
      <c r="K109" s="115">
        <f t="shared" ca="1" si="100"/>
        <v>-4699.7379363927139</v>
      </c>
    </row>
    <row r="110" spans="2:11" outlineLevel="1" x14ac:dyDescent="0.35"/>
    <row r="111" spans="2:11" outlineLevel="1" x14ac:dyDescent="0.35">
      <c r="B111" s="85" t="s">
        <v>249</v>
      </c>
      <c r="G111" s="111">
        <f ca="1">SUM(G109,G102,G98)</f>
        <v>1204.9414044814403</v>
      </c>
      <c r="H111" s="111">
        <f t="shared" ref="H111:K111" ca="1" si="101">SUM(H109,H102,H98)</f>
        <v>1871.6962431010688</v>
      </c>
      <c r="I111" s="111">
        <f t="shared" ca="1" si="101"/>
        <v>1984.2384160747151</v>
      </c>
      <c r="J111" s="111">
        <f t="shared" ca="1" si="101"/>
        <v>3184.5849783031699</v>
      </c>
      <c r="K111" s="111">
        <f t="shared" ca="1" si="101"/>
        <v>4458.822442516961</v>
      </c>
    </row>
    <row r="112" spans="2:11" outlineLevel="1" x14ac:dyDescent="0.35">
      <c r="B112" s="85" t="s">
        <v>250</v>
      </c>
      <c r="G112" s="111">
        <f>F46</f>
        <v>2181.2644</v>
      </c>
      <c r="H112" s="111">
        <f t="shared" ref="H112:K112" ca="1" si="102">G46</f>
        <v>3386.2058044814403</v>
      </c>
      <c r="I112" s="111">
        <f t="shared" ca="1" si="102"/>
        <v>5257.9020475825091</v>
      </c>
      <c r="J112" s="111">
        <f t="shared" ca="1" si="102"/>
        <v>7242.1404636572242</v>
      </c>
      <c r="K112" s="111">
        <f t="shared" ca="1" si="102"/>
        <v>10426.725441960394</v>
      </c>
    </row>
    <row r="113" spans="2:11" outlineLevel="1" x14ac:dyDescent="0.35">
      <c r="B113" s="92" t="s">
        <v>252</v>
      </c>
      <c r="C113" s="59"/>
      <c r="D113" s="59"/>
      <c r="E113" s="59"/>
      <c r="F113" s="59"/>
      <c r="G113" s="115">
        <f ca="1">SUM(G111:G112)</f>
        <v>3386.2058044814403</v>
      </c>
      <c r="H113" s="115">
        <f t="shared" ref="H113:K113" ca="1" si="103">SUM(H111:H112)</f>
        <v>5257.9020475825091</v>
      </c>
      <c r="I113" s="115">
        <f t="shared" ca="1" si="103"/>
        <v>7242.1404636572242</v>
      </c>
      <c r="J113" s="115">
        <f t="shared" ca="1" si="103"/>
        <v>10426.725441960394</v>
      </c>
      <c r="K113" s="115">
        <f t="shared" ca="1" si="103"/>
        <v>14885.547884477355</v>
      </c>
    </row>
  </sheetData>
  <sheetProtection algorithmName="SHA-512" hashValue="I+K3dXAoDeMOiQ5+osgTAv2+uWCp/vNRzuiaM9KEFqYdEukuitxhIW0N0qM9sWBJyYEJCm21xQghDkbMX4+8BA==" saltValue="by4H98l/bH5wkSZTvZ7ukw==" spinCount="100000" sheet="1" objects="1" scenarios="1"/>
  <mergeCells count="2">
    <mergeCell ref="G5:K5"/>
    <mergeCell ref="D5:F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Drop Down 1">
              <controlPr defaultSize="0" autoLine="0" autoPict="0">
                <anchor moveWithCells="1">
                  <from>
                    <xdr:col>6</xdr:col>
                    <xdr:colOff>19050</xdr:colOff>
                    <xdr:row>1</xdr:row>
                    <xdr:rowOff>222250</xdr:rowOff>
                  </from>
                  <to>
                    <xdr:col>7</xdr:col>
                    <xdr:colOff>304800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0C14-86DA-4311-9CCF-704E30BDB177}">
  <dimension ref="A2:L71"/>
  <sheetViews>
    <sheetView showGridLines="0" zoomScale="90" zoomScaleNormal="90" workbookViewId="0">
      <pane ySplit="6" topLeftCell="A61" activePane="bottomLeft" state="frozen"/>
      <selection pane="bottomLeft" activeCell="C75" sqref="C75"/>
    </sheetView>
  </sheetViews>
  <sheetFormatPr defaultRowHeight="14.5" outlineLevelRow="1" x14ac:dyDescent="0.35"/>
  <cols>
    <col min="1" max="1" width="1.81640625" customWidth="1"/>
    <col min="2" max="2" width="43.6328125" customWidth="1"/>
    <col min="3" max="3" width="21" customWidth="1"/>
    <col min="4" max="4" width="10.90625" customWidth="1"/>
    <col min="5" max="5" width="13.26953125" customWidth="1"/>
    <col min="6" max="11" width="13.1796875" customWidth="1"/>
    <col min="12" max="12" width="1.81640625" customWidth="1"/>
  </cols>
  <sheetData>
    <row r="2" spans="1:12" ht="21" x14ac:dyDescent="0.5">
      <c r="B2" s="143" t="str">
        <f>'Audited Balance Sheet'!$B$2</f>
        <v>Mrs Sector Foods</v>
      </c>
      <c r="C2" s="44"/>
    </row>
    <row r="3" spans="1:12" ht="15" customHeight="1" x14ac:dyDescent="0.45">
      <c r="B3" s="46" t="s">
        <v>274</v>
      </c>
      <c r="C3" s="46"/>
      <c r="F3" t="s">
        <v>57</v>
      </c>
      <c r="G3">
        <v>1</v>
      </c>
    </row>
    <row r="4" spans="1:12" ht="15" customHeight="1" x14ac:dyDescent="0.45">
      <c r="B4" s="46"/>
      <c r="C4" s="46"/>
    </row>
    <row r="5" spans="1:12" x14ac:dyDescent="0.35">
      <c r="D5" s="191" t="s">
        <v>49</v>
      </c>
      <c r="E5" s="191"/>
      <c r="F5" s="191"/>
      <c r="G5" s="190" t="s">
        <v>50</v>
      </c>
      <c r="H5" s="190"/>
      <c r="I5" s="190"/>
      <c r="J5" s="190"/>
      <c r="K5" s="190"/>
      <c r="L5" s="120"/>
    </row>
    <row r="6" spans="1:12" x14ac:dyDescent="0.35">
      <c r="B6" s="47" t="s">
        <v>48</v>
      </c>
      <c r="C6" s="47"/>
      <c r="D6" s="102">
        <v>2021</v>
      </c>
      <c r="E6" s="50">
        <f>D6+1</f>
        <v>2022</v>
      </c>
      <c r="F6" s="50">
        <f t="shared" ref="F6:K6" si="0">E6+1</f>
        <v>2023</v>
      </c>
      <c r="G6" s="50">
        <f t="shared" si="0"/>
        <v>2024</v>
      </c>
      <c r="H6" s="50">
        <f t="shared" si="0"/>
        <v>2025</v>
      </c>
      <c r="I6" s="50">
        <f t="shared" si="0"/>
        <v>2026</v>
      </c>
      <c r="J6" s="50">
        <f t="shared" si="0"/>
        <v>2027</v>
      </c>
      <c r="K6" s="50">
        <f t="shared" si="0"/>
        <v>2028</v>
      </c>
      <c r="L6" s="119"/>
    </row>
    <row r="7" spans="1:12" x14ac:dyDescent="0.35">
      <c r="B7" s="122"/>
      <c r="C7" s="122"/>
      <c r="D7" s="123"/>
      <c r="E7" s="119"/>
      <c r="F7" s="119"/>
      <c r="G7" s="119"/>
      <c r="H7" s="119"/>
      <c r="I7" s="119"/>
      <c r="J7" s="119"/>
      <c r="K7" s="119"/>
      <c r="L7" s="119"/>
    </row>
    <row r="8" spans="1:12" ht="18.5" x14ac:dyDescent="0.45">
      <c r="A8" s="46" t="s">
        <v>52</v>
      </c>
      <c r="B8" s="54" t="s">
        <v>272</v>
      </c>
      <c r="C8" s="124"/>
      <c r="D8" s="125"/>
      <c r="E8" s="126"/>
      <c r="F8" s="126"/>
      <c r="G8" s="126"/>
      <c r="H8" s="126"/>
      <c r="I8" s="126"/>
      <c r="J8" s="126"/>
      <c r="K8" s="126"/>
      <c r="L8" s="119"/>
    </row>
    <row r="9" spans="1:12" outlineLevel="1" x14ac:dyDescent="0.35">
      <c r="B9" t="s">
        <v>228</v>
      </c>
      <c r="D9" s="111"/>
    </row>
    <row r="10" spans="1:12" outlineLevel="1" x14ac:dyDescent="0.35">
      <c r="B10" s="103" t="s">
        <v>30</v>
      </c>
      <c r="D10" s="163">
        <f>'3 Statement Model'!D10/'3 Statement Model'!D$10</f>
        <v>1</v>
      </c>
      <c r="E10" s="163">
        <f>'3 Statement Model'!E10/'3 Statement Model'!E$10</f>
        <v>1</v>
      </c>
      <c r="F10" s="163">
        <f>'3 Statement Model'!F10/'3 Statement Model'!F$10</f>
        <v>1</v>
      </c>
      <c r="G10" s="163">
        <f>'3 Statement Model'!G10/'3 Statement Model'!G$10</f>
        <v>1</v>
      </c>
      <c r="H10" s="163">
        <f>'3 Statement Model'!H10/'3 Statement Model'!H$10</f>
        <v>1</v>
      </c>
      <c r="I10" s="163">
        <f>'3 Statement Model'!I10/'3 Statement Model'!I$10</f>
        <v>1</v>
      </c>
      <c r="J10" s="163">
        <f>'3 Statement Model'!J10/'3 Statement Model'!J$10</f>
        <v>1</v>
      </c>
      <c r="K10" s="163">
        <f>'3 Statement Model'!K10/'3 Statement Model'!K$10</f>
        <v>1</v>
      </c>
    </row>
    <row r="11" spans="1:12" outlineLevel="1" x14ac:dyDescent="0.35">
      <c r="B11" s="107" t="s">
        <v>31</v>
      </c>
      <c r="D11" s="163">
        <f>'3 Statement Model'!D11/'3 Statement Model'!D$10</f>
        <v>-0.51200006626438666</v>
      </c>
      <c r="E11" s="163">
        <f>'3 Statement Model'!E11/'3 Statement Model'!E$10</f>
        <v>-0.50524035297385883</v>
      </c>
      <c r="F11" s="163">
        <f>'3 Statement Model'!F11/'3 Statement Model'!F$10</f>
        <v>-0.48454214200371981</v>
      </c>
      <c r="G11" s="163">
        <f>'3 Statement Model'!G11/'3 Statement Model'!G$10</f>
        <v>-0.47112862432710878</v>
      </c>
      <c r="H11" s="163">
        <f>'3 Statement Model'!H11/'3 Statement Model'!H$10</f>
        <v>-0.45794659889720934</v>
      </c>
      <c r="I11" s="163">
        <f>'3 Statement Model'!I11/'3 Statement Model'!I$10</f>
        <v>-0.44508196391714261</v>
      </c>
      <c r="J11" s="163">
        <f>'3 Statement Model'!J11/'3 Statement Model'!J$10</f>
        <v>-0.43188914035941994</v>
      </c>
      <c r="K11" s="163">
        <f>'3 Statement Model'!K11/'3 Statement Model'!K$10</f>
        <v>-0.4190319286363795</v>
      </c>
    </row>
    <row r="12" spans="1:12" outlineLevel="1" x14ac:dyDescent="0.35">
      <c r="B12" s="114" t="s">
        <v>32</v>
      </c>
      <c r="C12" s="60"/>
      <c r="D12" s="166">
        <f>'3 Statement Model'!D12/'3 Statement Model'!D$10</f>
        <v>0.4879999337356134</v>
      </c>
      <c r="E12" s="166">
        <f>'3 Statement Model'!E12/'3 Statement Model'!E$10</f>
        <v>0.49475964702614117</v>
      </c>
      <c r="F12" s="166">
        <f>'3 Statement Model'!F12/'3 Statement Model'!F$10</f>
        <v>0.51545785799628019</v>
      </c>
      <c r="G12" s="166">
        <f>'3 Statement Model'!G12/'3 Statement Model'!G$10</f>
        <v>0.52887137567289122</v>
      </c>
      <c r="H12" s="166">
        <f>'3 Statement Model'!H12/'3 Statement Model'!H$10</f>
        <v>0.54205340110279066</v>
      </c>
      <c r="I12" s="166">
        <f>'3 Statement Model'!I12/'3 Statement Model'!I$10</f>
        <v>0.55491803608285739</v>
      </c>
      <c r="J12" s="166">
        <f>'3 Statement Model'!J12/'3 Statement Model'!J$10</f>
        <v>0.56811085964058006</v>
      </c>
      <c r="K12" s="166">
        <f>'3 Statement Model'!K12/'3 Statement Model'!K$10</f>
        <v>0.5809680713636205</v>
      </c>
    </row>
    <row r="13" spans="1:12" outlineLevel="1" x14ac:dyDescent="0.35">
      <c r="B13" s="105"/>
      <c r="D13" s="111"/>
    </row>
    <row r="14" spans="1:12" outlineLevel="1" x14ac:dyDescent="0.35">
      <c r="B14" s="106" t="s">
        <v>211</v>
      </c>
      <c r="D14" s="111"/>
    </row>
    <row r="15" spans="1:12" outlineLevel="1" x14ac:dyDescent="0.35">
      <c r="B15" s="107" t="s">
        <v>34</v>
      </c>
      <c r="D15" s="163">
        <f>'3 Statement Model'!D15/'3 Statement Model'!D$10</f>
        <v>-6.027988420298439E-3</v>
      </c>
      <c r="E15" s="163">
        <f>'3 Statement Model'!E15/'3 Statement Model'!E$10</f>
        <v>-5.9885486718733979E-3</v>
      </c>
      <c r="F15" s="163">
        <f>'3 Statement Model'!F15/'3 Statement Model'!F$10</f>
        <v>-5.9884788122704057E-3</v>
      </c>
      <c r="G15" s="163">
        <f>'3 Statement Model'!G15/'3 Statement Model'!G$10</f>
        <v>-0.01</v>
      </c>
      <c r="H15" s="163">
        <f>'3 Statement Model'!H15/'3 Statement Model'!H$10</f>
        <v>-0.01</v>
      </c>
      <c r="I15" s="163">
        <f>'3 Statement Model'!I15/'3 Statement Model'!I$10</f>
        <v>-0.01</v>
      </c>
      <c r="J15" s="163">
        <f>'3 Statement Model'!J15/'3 Statement Model'!J$10</f>
        <v>-0.01</v>
      </c>
      <c r="K15" s="163">
        <f>'3 Statement Model'!K15/'3 Statement Model'!K$10</f>
        <v>-0.01</v>
      </c>
    </row>
    <row r="16" spans="1:12" outlineLevel="1" x14ac:dyDescent="0.35">
      <c r="B16" s="107" t="s">
        <v>37</v>
      </c>
      <c r="D16" s="163">
        <f>'3 Statement Model'!D16/'3 Statement Model'!D$10</f>
        <v>-5.4999855046654264E-2</v>
      </c>
      <c r="E16" s="163">
        <f>'3 Statement Model'!E16/'3 Statement Model'!E$10</f>
        <v>-5.1999694233504923E-2</v>
      </c>
      <c r="F16" s="163">
        <f>'3 Statement Model'!F16/'3 Statement Model'!F$10</f>
        <v>-4.9999983119633523E-2</v>
      </c>
      <c r="G16" s="163">
        <f>'3 Statement Model'!G16/'3 Statement Model'!G$10</f>
        <v>-5.3418287489700615E-2</v>
      </c>
      <c r="H16" s="163">
        <f>'3 Statement Model'!H16/'3 Statement Model'!H$10</f>
        <v>-5.163741380992342E-2</v>
      </c>
      <c r="I16" s="163">
        <f>'3 Statement Model'!I16/'3 Statement Model'!I$10</f>
        <v>-4.9987916447992553E-2</v>
      </c>
      <c r="J16" s="163">
        <f>'3 Statement Model'!J16/'3 Statement Model'!J$10</f>
        <v>-4.8679194299283711E-2</v>
      </c>
      <c r="K16" s="163">
        <f>'3 Statement Model'!K16/'3 Statement Model'!K$10</f>
        <v>-4.7450718064943186E-2</v>
      </c>
    </row>
    <row r="17" spans="2:11" outlineLevel="1" x14ac:dyDescent="0.35">
      <c r="B17" s="108" t="s">
        <v>38</v>
      </c>
      <c r="D17" s="163">
        <f>'3 Statement Model'!D17/'3 Statement Model'!D$10</f>
        <v>-2.4999896461895904E-2</v>
      </c>
      <c r="E17" s="163">
        <f>'3 Statement Model'!E17/'3 Statement Model'!E$10</f>
        <v>-2.4999766946268997E-2</v>
      </c>
      <c r="F17" s="163">
        <f>'3 Statement Model'!F17/'3 Statement Model'!F$10</f>
        <v>-2.4999822756151965E-2</v>
      </c>
      <c r="G17" s="163">
        <f>'3 Statement Model'!G17/'3 Statement Model'!G$10</f>
        <v>-2.5000000000000001E-2</v>
      </c>
      <c r="H17" s="163">
        <f>'3 Statement Model'!H17/'3 Statement Model'!H$10</f>
        <v>-2.5000000000000001E-2</v>
      </c>
      <c r="I17" s="163">
        <f>'3 Statement Model'!I17/'3 Statement Model'!I$10</f>
        <v>-2.5000000000000001E-2</v>
      </c>
      <c r="J17" s="163">
        <f>'3 Statement Model'!J17/'3 Statement Model'!J$10</f>
        <v>-2.5000000000000001E-2</v>
      </c>
      <c r="K17" s="163">
        <f>'3 Statement Model'!K17/'3 Statement Model'!K$10</f>
        <v>-2.4999999999999998E-2</v>
      </c>
    </row>
    <row r="18" spans="2:11" outlineLevel="1" x14ac:dyDescent="0.35">
      <c r="B18" s="107" t="s">
        <v>39</v>
      </c>
      <c r="D18" s="163">
        <f>'3 Statement Model'!D18/'3 Statement Model'!D$10</f>
        <v>-2.5713895227721707E-2</v>
      </c>
      <c r="E18" s="163">
        <f>'3 Statement Model'!E18/'3 Statement Model'!E$10</f>
        <v>-2.3999686775785532E-2</v>
      </c>
      <c r="F18" s="163">
        <f>'3 Statement Model'!F18/'3 Statement Model'!F$10</f>
        <v>-2.1944476423360944E-2</v>
      </c>
      <c r="G18" s="163">
        <f>'3 Statement Model'!G18/'3 Statement Model'!G$10</f>
        <v>-1.9897891331118168E-2</v>
      </c>
      <c r="H18" s="163">
        <f>'3 Statement Model'!H18/'3 Statement Model'!H$10</f>
        <v>-2.2268573662680407E-2</v>
      </c>
      <c r="I18" s="163">
        <f>'3 Statement Model'!I18/'3 Statement Model'!I$10</f>
        <v>-2.0167608558956246E-2</v>
      </c>
      <c r="J18" s="163">
        <f>'3 Statement Model'!J18/'3 Statement Model'!J$10</f>
        <v>-1.8477569558373794E-2</v>
      </c>
      <c r="K18" s="163">
        <f>'3 Statement Model'!K18/'3 Statement Model'!K$10</f>
        <v>-1.6923876074821306E-2</v>
      </c>
    </row>
    <row r="19" spans="2:11" outlineLevel="1" x14ac:dyDescent="0.35">
      <c r="B19" s="107" t="s">
        <v>40</v>
      </c>
      <c r="D19" s="163">
        <f>'3 Statement Model'!D19/'3 Statement Model'!D$10</f>
        <v>-0.15000004141524162</v>
      </c>
      <c r="E19" s="163">
        <f>'3 Statement Model'!E19/'3 Statement Model'!E$10</f>
        <v>-0.14999972033552281</v>
      </c>
      <c r="F19" s="163">
        <f>'3 Statement Model'!F19/'3 Statement Model'!F$10</f>
        <v>-0.14999994935890057</v>
      </c>
      <c r="G19" s="163">
        <f>'3 Statement Model'!G19/'3 Statement Model'!G$10</f>
        <v>-0.15</v>
      </c>
      <c r="H19" s="163">
        <f>'3 Statement Model'!H19/'3 Statement Model'!H$10</f>
        <v>-0.15</v>
      </c>
      <c r="I19" s="163">
        <f>'3 Statement Model'!I19/'3 Statement Model'!I$10</f>
        <v>-0.16</v>
      </c>
      <c r="J19" s="163">
        <f>'3 Statement Model'!J19/'3 Statement Model'!J$10</f>
        <v>-0.16</v>
      </c>
      <c r="K19" s="163">
        <f>'3 Statement Model'!K19/'3 Statement Model'!K$10</f>
        <v>-0.16</v>
      </c>
    </row>
    <row r="20" spans="2:11" outlineLevel="1" x14ac:dyDescent="0.35">
      <c r="B20" s="107" t="s">
        <v>41</v>
      </c>
      <c r="D20" s="163">
        <f>'3 Statement Model'!D20/'3 Statement Model'!D$10</f>
        <v>-0.10274086069155169</v>
      </c>
      <c r="E20" s="163">
        <f>'3 Statement Model'!E20/'3 Statement Model'!E$10</f>
        <v>-9.7999653216048255E-2</v>
      </c>
      <c r="F20" s="163">
        <f>'3 Statement Model'!F20/'3 Statement Model'!F$10</f>
        <v>-9.8376074983938341E-2</v>
      </c>
      <c r="G20" s="163">
        <f>'3 Statement Model'!G20/'3 Statement Model'!G$10</f>
        <v>-0.09</v>
      </c>
      <c r="H20" s="163">
        <f>'3 Statement Model'!H20/'3 Statement Model'!H$10</f>
        <v>-0.09</v>
      </c>
      <c r="I20" s="163">
        <f>'3 Statement Model'!I20/'3 Statement Model'!I$10</f>
        <v>-0.09</v>
      </c>
      <c r="J20" s="163">
        <f>'3 Statement Model'!J20/'3 Statement Model'!J$10</f>
        <v>-0.09</v>
      </c>
      <c r="K20" s="163">
        <f>'3 Statement Model'!K20/'3 Statement Model'!K$10</f>
        <v>-0.09</v>
      </c>
    </row>
    <row r="21" spans="2:11" outlineLevel="1" x14ac:dyDescent="0.35">
      <c r="B21" s="116" t="s">
        <v>216</v>
      </c>
      <c r="C21" s="60"/>
      <c r="D21" s="166">
        <f>'3 Statement Model'!D21/'3 Statement Model'!D$10</f>
        <v>0.12351739647224978</v>
      </c>
      <c r="E21" s="166">
        <f>'3 Statement Model'!E21/'3 Statement Model'!E$10</f>
        <v>0.13977257684713723</v>
      </c>
      <c r="F21" s="166">
        <f>'3 Statement Model'!F21/'3 Statement Model'!F$10</f>
        <v>0.16414907254202452</v>
      </c>
      <c r="G21" s="166">
        <f>'3 Statement Model'!G21/'3 Statement Model'!G$10</f>
        <v>0.18055519685207244</v>
      </c>
      <c r="H21" s="166">
        <f>'3 Statement Model'!H21/'3 Statement Model'!H$10</f>
        <v>0.19314741363018689</v>
      </c>
      <c r="I21" s="166">
        <f>'3 Statement Model'!I21/'3 Statement Model'!I$10</f>
        <v>0.1997625110759087</v>
      </c>
      <c r="J21" s="166">
        <f>'3 Statement Model'!J21/'3 Statement Model'!J$10</f>
        <v>0.21595409578292254</v>
      </c>
      <c r="K21" s="166">
        <f>'3 Statement Model'!K21/'3 Statement Model'!K$10</f>
        <v>0.23159347722385601</v>
      </c>
    </row>
    <row r="22" spans="2:11" outlineLevel="1" x14ac:dyDescent="0.35">
      <c r="B22" s="109"/>
      <c r="C22" s="45"/>
      <c r="D22" s="113"/>
    </row>
    <row r="23" spans="2:11" outlineLevel="1" x14ac:dyDescent="0.35">
      <c r="B23" s="109" t="s">
        <v>185</v>
      </c>
      <c r="C23" s="45"/>
      <c r="D23" s="113"/>
    </row>
    <row r="24" spans="2:11" outlineLevel="1" x14ac:dyDescent="0.35">
      <c r="B24" s="107" t="s">
        <v>35</v>
      </c>
      <c r="D24" s="163">
        <f>'3 Statement Model'!D24/'3 Statement Model'!D$10</f>
        <v>-1.5131058532161006E-2</v>
      </c>
      <c r="E24" s="163">
        <f>'3 Statement Model'!E24/'3 Statement Model'!E$10</f>
        <v>-1.399963084289009E-2</v>
      </c>
      <c r="F24" s="163">
        <f>'3 Statement Model'!F24/'3 Statement Model'!F$10</f>
        <v>-1.3493489749059848E-2</v>
      </c>
      <c r="G24" s="163">
        <f>'3 Statement Model'!G24/'3 Statement Model'!G$10</f>
        <v>-1.7235060318802016E-2</v>
      </c>
      <c r="H24" s="163">
        <f>'3 Statement Model'!H24/'3 Statement Model'!H$10</f>
        <v>-2.0612154972816103E-2</v>
      </c>
      <c r="I24" s="163">
        <f>'3 Statement Model'!I24/'3 Statement Model'!I$10</f>
        <v>-2.3667467406992524E-2</v>
      </c>
      <c r="J24" s="163">
        <f>'3 Statement Model'!J24/'3 Statement Model'!J$10</f>
        <v>-2.6684141379719535E-2</v>
      </c>
      <c r="K24" s="163">
        <f>'3 Statement Model'!K24/'3 Statement Model'!K$10</f>
        <v>-2.9440395174630846E-2</v>
      </c>
    </row>
    <row r="25" spans="2:11" outlineLevel="1" x14ac:dyDescent="0.35">
      <c r="B25" s="107" t="s">
        <v>36</v>
      </c>
      <c r="D25" s="163">
        <f>'3 Statement Model'!D25/'3 Statement Model'!D$10</f>
        <v>-6.2209834463279184E-3</v>
      </c>
      <c r="E25" s="163">
        <f>'3 Statement Model'!E25/'3 Statement Model'!E$10</f>
        <v>-5.1167412749344183E-3</v>
      </c>
      <c r="F25" s="163">
        <f>'3 Statement Model'!F25/'3 Statement Model'!F$10</f>
        <v>-3.9999716409843148E-3</v>
      </c>
      <c r="G25" s="163">
        <f>'3 Statement Model'!G25/'3 Statement Model'!G$10</f>
        <v>-5.6269264075552014E-3</v>
      </c>
      <c r="H25" s="163">
        <f>'3 Statement Model'!H25/'3 Statement Model'!H$10</f>
        <v>-7.0970780183198913E-3</v>
      </c>
      <c r="I25" s="163">
        <f>'3 Statement Model'!I25/'3 Statement Model'!I$10</f>
        <v>-8.4274925531364359E-3</v>
      </c>
      <c r="J25" s="163">
        <f>'3 Statement Model'!J25/'3 Statement Model'!J$10</f>
        <v>-9.721271433746766E-3</v>
      </c>
      <c r="K25" s="163">
        <f>'3 Statement Model'!K25/'3 Statement Model'!K$10</f>
        <v>-1.0903854617604276E-2</v>
      </c>
    </row>
    <row r="26" spans="2:11" outlineLevel="1" x14ac:dyDescent="0.35">
      <c r="B26" s="109" t="s">
        <v>217</v>
      </c>
      <c r="D26" s="165">
        <f>'3 Statement Model'!D26/'3 Statement Model'!D$10</f>
        <v>0.10216535449376085</v>
      </c>
      <c r="E26" s="165">
        <f>'3 Statement Model'!E26/'3 Statement Model'!E$10</f>
        <v>0.12065620472931272</v>
      </c>
      <c r="F26" s="165">
        <f>'3 Statement Model'!F26/'3 Statement Model'!F$10</f>
        <v>0.14665561115198039</v>
      </c>
      <c r="G26" s="165">
        <f>'3 Statement Model'!G26/'3 Statement Model'!G$10</f>
        <v>0.15769321012571524</v>
      </c>
      <c r="H26" s="165">
        <f>'3 Statement Model'!H26/'3 Statement Model'!H$10</f>
        <v>0.16543818063905089</v>
      </c>
      <c r="I26" s="165">
        <f>'3 Statement Model'!I26/'3 Statement Model'!I$10</f>
        <v>0.16766755111577974</v>
      </c>
      <c r="J26" s="165">
        <f>'3 Statement Model'!J26/'3 Statement Model'!J$10</f>
        <v>0.17954868296945622</v>
      </c>
      <c r="K26" s="165">
        <f>'3 Statement Model'!K26/'3 Statement Model'!K$10</f>
        <v>0.1912492274316209</v>
      </c>
    </row>
    <row r="27" spans="2:11" outlineLevel="1" x14ac:dyDescent="0.35">
      <c r="B27" s="109"/>
      <c r="D27" s="113"/>
    </row>
    <row r="28" spans="2:11" outlineLevel="1" x14ac:dyDescent="0.35">
      <c r="B28" s="109" t="s">
        <v>212</v>
      </c>
      <c r="D28" s="163"/>
    </row>
    <row r="29" spans="2:11" outlineLevel="1" x14ac:dyDescent="0.35">
      <c r="B29" s="107" t="s">
        <v>213</v>
      </c>
      <c r="D29" s="163">
        <f>'3 Statement Model'!D29/'3 Statement Model'!D$10</f>
        <v>-7.1192800374393784E-3</v>
      </c>
      <c r="E29" s="163">
        <f>'3 Statement Model'!E29/'3 Statement Model'!E$10</f>
        <v>-5.8561741526632462E-3</v>
      </c>
      <c r="F29" s="163">
        <f>'3 Statement Model'!F29/'3 Statement Model'!F$10</f>
        <v>-4.8007762267721936E-3</v>
      </c>
      <c r="G29" s="163">
        <f>'3 Statement Model'!G29/'3 Statement Model'!G$10</f>
        <v>-1.0201452093132439E-2</v>
      </c>
      <c r="H29" s="163">
        <f>'3 Statement Model'!H29/'3 Statement Model'!H$10</f>
        <v>-1.0003235698807051E-2</v>
      </c>
      <c r="I29" s="163">
        <f>'3 Statement Model'!I29/'3 Statement Model'!I$10</f>
        <v>-9.3966654110898586E-3</v>
      </c>
      <c r="J29" s="163">
        <f>'3 Statement Model'!J29/'3 Statement Model'!J$10</f>
        <v>-8.6068472045930395E-3</v>
      </c>
      <c r="K29" s="163">
        <f>'3 Statement Model'!K29/'3 Statement Model'!K$10</f>
        <v>-7.8753655244590635E-3</v>
      </c>
    </row>
    <row r="30" spans="2:11" outlineLevel="1" x14ac:dyDescent="0.35">
      <c r="B30" s="107" t="s">
        <v>215</v>
      </c>
      <c r="D30" s="163">
        <f>'3 Statement Model'!D30/'3 Statement Model'!D$10</f>
        <v>0</v>
      </c>
      <c r="E30" s="163">
        <f>'3 Statement Model'!E30/'3 Statement Model'!E$10</f>
        <v>0</v>
      </c>
      <c r="F30" s="163">
        <f>'3 Statement Model'!F30/'3 Statement Model'!F$10</f>
        <v>0</v>
      </c>
      <c r="G30" s="163">
        <f ca="1">'3 Statement Model'!G30/'3 Statement Model'!G$10</f>
        <v>0</v>
      </c>
      <c r="H30" s="163">
        <f ca="1">'3 Statement Model'!H30/'3 Statement Model'!H$10</f>
        <v>0</v>
      </c>
      <c r="I30" s="163">
        <f ca="1">'3 Statement Model'!I30/'3 Statement Model'!I$10</f>
        <v>0</v>
      </c>
      <c r="J30" s="163">
        <f ca="1">'3 Statement Model'!J30/'3 Statement Model'!J$10</f>
        <v>0</v>
      </c>
      <c r="K30" s="163">
        <f ca="1">'3 Statement Model'!K30/'3 Statement Model'!K$10</f>
        <v>0</v>
      </c>
    </row>
    <row r="31" spans="2:11" outlineLevel="1" x14ac:dyDescent="0.35">
      <c r="B31" s="109" t="s">
        <v>218</v>
      </c>
      <c r="D31" s="165">
        <f>'3 Statement Model'!D31/'3 Statement Model'!D$10</f>
        <v>9.5046074456321475E-2</v>
      </c>
      <c r="E31" s="165">
        <f>'3 Statement Model'!E31/'3 Statement Model'!E$10</f>
        <v>0.11480003057664948</v>
      </c>
      <c r="F31" s="165">
        <f>'3 Statement Model'!F31/'3 Statement Model'!F$10</f>
        <v>0.1418548349252082</v>
      </c>
      <c r="G31" s="165">
        <f ca="1">'3 Statement Model'!G31/'3 Statement Model'!G$10</f>
        <v>0.1474917580325828</v>
      </c>
      <c r="H31" s="165">
        <f ca="1">'3 Statement Model'!H31/'3 Statement Model'!H$10</f>
        <v>0.15543494494024387</v>
      </c>
      <c r="I31" s="165">
        <f ca="1">'3 Statement Model'!I31/'3 Statement Model'!I$10</f>
        <v>0.15827088570468986</v>
      </c>
      <c r="J31" s="165">
        <f ca="1">'3 Statement Model'!J31/'3 Statement Model'!J$10</f>
        <v>0.17094183576486319</v>
      </c>
      <c r="K31" s="165">
        <f ca="1">'3 Statement Model'!K31/'3 Statement Model'!K$10</f>
        <v>0.18337386190716184</v>
      </c>
    </row>
    <row r="32" spans="2:11" outlineLevel="1" x14ac:dyDescent="0.35">
      <c r="B32" s="107" t="s">
        <v>214</v>
      </c>
      <c r="D32" s="111"/>
    </row>
    <row r="33" spans="1:11" outlineLevel="1" x14ac:dyDescent="0.35">
      <c r="B33" s="107" t="s">
        <v>44</v>
      </c>
      <c r="D33" s="163">
        <f>'3 Statement Model'!D33/'3 Statement Model'!D$10</f>
        <v>-1.9151784002948771E-2</v>
      </c>
      <c r="E33" s="163">
        <f>'3 Statement Model'!E33/'3 Statement Model'!E$10</f>
        <v>-2.3132206161194879E-2</v>
      </c>
      <c r="F33" s="163">
        <f>'3 Statement Model'!F33/'3 Statement Model'!F$10</f>
        <v>-2.8583749237429432E-2</v>
      </c>
      <c r="G33" s="163">
        <f>'3 Statement Model'!G33/'3 Statement Model'!G$10</f>
        <v>-3.6872939508145679E-2</v>
      </c>
      <c r="H33" s="163">
        <f>'3 Statement Model'!H33/'3 Statement Model'!H$10</f>
        <v>-3.8858736235060955E-2</v>
      </c>
      <c r="I33" s="163">
        <f>'3 Statement Model'!I33/'3 Statement Model'!I$10</f>
        <v>-3.9567721426172452E-2</v>
      </c>
      <c r="J33" s="163">
        <f>'3 Statement Model'!J33/'3 Statement Model'!J$10</f>
        <v>-4.2735458941215804E-2</v>
      </c>
      <c r="K33" s="163">
        <f>'3 Statement Model'!K33/'3 Statement Model'!K$10</f>
        <v>-4.5843465476790461E-2</v>
      </c>
    </row>
    <row r="34" spans="1:11" ht="15" outlineLevel="1" thickBot="1" x14ac:dyDescent="0.4">
      <c r="B34" s="110" t="s">
        <v>45</v>
      </c>
      <c r="C34" s="68"/>
      <c r="D34" s="164">
        <f>'3 Statement Model'!D34/'3 Statement Model'!D$10</f>
        <v>7.5894290453372704E-2</v>
      </c>
      <c r="E34" s="164">
        <f>'3 Statement Model'!E34/'3 Statement Model'!E$10</f>
        <v>9.1667824415454596E-2</v>
      </c>
      <c r="F34" s="164">
        <f>'3 Statement Model'!F34/'3 Statement Model'!F$10</f>
        <v>0.11327108568777876</v>
      </c>
      <c r="G34" s="164">
        <f ca="1">'3 Statement Model'!G34/'3 Statement Model'!G$10</f>
        <v>0.11061881852443713</v>
      </c>
      <c r="H34" s="164">
        <f ca="1">'3 Statement Model'!H34/'3 Statement Model'!H$10</f>
        <v>0.11657620870518291</v>
      </c>
      <c r="I34" s="164">
        <f ca="1">'3 Statement Model'!I34/'3 Statement Model'!I$10</f>
        <v>0.11870316427851743</v>
      </c>
      <c r="J34" s="164">
        <f ca="1">'3 Statement Model'!J34/'3 Statement Model'!J$10</f>
        <v>0.12820637682364738</v>
      </c>
      <c r="K34" s="164">
        <f ca="1">'3 Statement Model'!K34/'3 Statement Model'!K$10</f>
        <v>0.13753039643037138</v>
      </c>
    </row>
    <row r="35" spans="1:11" outlineLevel="1" x14ac:dyDescent="0.35">
      <c r="D35" s="111"/>
    </row>
    <row r="36" spans="1:11" x14ac:dyDescent="0.35">
      <c r="D36" s="111"/>
    </row>
    <row r="37" spans="1:11" ht="18.5" x14ac:dyDescent="0.45">
      <c r="A37" s="46" t="s">
        <v>52</v>
      </c>
      <c r="B37" s="54" t="s">
        <v>273</v>
      </c>
      <c r="C37" s="127"/>
      <c r="D37" s="128"/>
      <c r="E37" s="127"/>
      <c r="F37" s="127"/>
      <c r="G37" s="127"/>
      <c r="H37" s="127"/>
      <c r="I37" s="127"/>
      <c r="J37" s="127"/>
      <c r="K37" s="127"/>
    </row>
    <row r="38" spans="1:11" outlineLevel="1" x14ac:dyDescent="0.35">
      <c r="D38" s="111"/>
    </row>
    <row r="39" spans="1:11" outlineLevel="1" x14ac:dyDescent="0.35">
      <c r="B39" s="129" t="s">
        <v>3</v>
      </c>
      <c r="D39" s="163"/>
      <c r="E39" s="163"/>
      <c r="F39" s="163"/>
      <c r="G39" s="163"/>
      <c r="H39" s="163"/>
      <c r="I39" s="163"/>
      <c r="J39" s="163"/>
      <c r="K39" s="163"/>
    </row>
    <row r="40" spans="1:11" outlineLevel="1" x14ac:dyDescent="0.35">
      <c r="B40" s="107" t="s">
        <v>4</v>
      </c>
      <c r="D40" s="163">
        <f>'3 Statement Model'!D46/'3 Statement Model'!D$59</f>
        <v>6.1225987949419212E-2</v>
      </c>
      <c r="E40" s="163">
        <f>'3 Statement Model'!E46/'3 Statement Model'!E$59</f>
        <v>7.0390974291378666E-2</v>
      </c>
      <c r="F40" s="163">
        <f>'3 Statement Model'!F46/'3 Statement Model'!F$59</f>
        <v>7.0741653026522799E-2</v>
      </c>
      <c r="G40" s="163">
        <f ca="1">'3 Statement Model'!G46/'3 Statement Model'!G$59</f>
        <v>9.1450865583657989E-2</v>
      </c>
      <c r="H40" s="163">
        <f ca="1">'3 Statement Model'!H46/'3 Statement Model'!H$59</f>
        <v>0.11935231212574147</v>
      </c>
      <c r="I40" s="163">
        <f ca="1">'3 Statement Model'!I46/'3 Statement Model'!I$59</f>
        <v>0.14096344158615692</v>
      </c>
      <c r="J40" s="163">
        <f ca="1">'3 Statement Model'!J46/'3 Statement Model'!J$59</f>
        <v>0.1744285556999193</v>
      </c>
      <c r="K40" s="163">
        <f ca="1">'3 Statement Model'!K46/'3 Statement Model'!K$59</f>
        <v>0.21400870788276011</v>
      </c>
    </row>
    <row r="41" spans="1:11" outlineLevel="1" x14ac:dyDescent="0.35">
      <c r="B41" s="107" t="s">
        <v>5</v>
      </c>
      <c r="D41" s="163">
        <f>'3 Statement Model'!D47/'3 Statement Model'!D$59</f>
        <v>0.19504338910553762</v>
      </c>
      <c r="E41" s="163">
        <f>'3 Statement Model'!E47/'3 Statement Model'!E$59</f>
        <v>0.18552580609758401</v>
      </c>
      <c r="F41" s="163">
        <f>'3 Statement Model'!F47/'3 Statement Model'!F$59</f>
        <v>0.1813771513023027</v>
      </c>
      <c r="G41" s="163">
        <f ca="1">'3 Statement Model'!G47/'3 Statement Model'!G$59</f>
        <v>0.1620604732941717</v>
      </c>
      <c r="H41" s="163">
        <f ca="1">'3 Statement Model'!H47/'3 Statement Model'!H$59</f>
        <v>0.14616597181792923</v>
      </c>
      <c r="I41" s="163">
        <f ca="1">'3 Statement Model'!I47/'3 Statement Model'!I$59</f>
        <v>0.13450258728653439</v>
      </c>
      <c r="J41" s="163">
        <f ca="1">'3 Statement Model'!J47/'3 Statement Model'!J$59</f>
        <v>0.12243415290975397</v>
      </c>
      <c r="K41" s="163">
        <f ca="1">'3 Statement Model'!K47/'3 Statement Model'!K$59</f>
        <v>0.1114600916007545</v>
      </c>
    </row>
    <row r="42" spans="1:11" outlineLevel="1" x14ac:dyDescent="0.35">
      <c r="B42" s="107" t="s">
        <v>6</v>
      </c>
      <c r="D42" s="163">
        <f>'3 Statement Model'!D48/'3 Statement Model'!D$59</f>
        <v>0.22789741264063021</v>
      </c>
      <c r="E42" s="163">
        <f>'3 Statement Model'!E48/'3 Statement Model'!E$59</f>
        <v>0.21677674947304984</v>
      </c>
      <c r="F42" s="163">
        <f>'3 Statement Model'!F48/'3 Statement Model'!F$59</f>
        <v>0.21245125303923595</v>
      </c>
      <c r="G42" s="163">
        <f ca="1">'3 Statement Model'!G48/'3 Statement Model'!G$59</f>
        <v>0.19526588896255723</v>
      </c>
      <c r="H42" s="163">
        <f ca="1">'3 Statement Model'!H48/'3 Statement Model'!H$59</f>
        <v>0.1811841537728423</v>
      </c>
      <c r="I42" s="163">
        <f ca="1">'3 Statement Model'!I48/'3 Statement Model'!I$59</f>
        <v>0.17154553323933278</v>
      </c>
      <c r="J42" s="163">
        <f ca="1">'3 Statement Model'!J48/'3 Statement Model'!J$59</f>
        <v>0.16092335123306209</v>
      </c>
      <c r="K42" s="163">
        <f ca="1">'3 Statement Model'!K48/'3 Statement Model'!K$59</f>
        <v>0.15099447320484349</v>
      </c>
    </row>
    <row r="43" spans="1:11" outlineLevel="1" x14ac:dyDescent="0.35">
      <c r="B43" s="107" t="s">
        <v>7</v>
      </c>
      <c r="D43" s="163">
        <f>'3 Statement Model'!D49/'3 Statement Model'!D$59</f>
        <v>6.9087332045132177E-2</v>
      </c>
      <c r="E43" s="163">
        <f>'3 Statement Model'!E49/'3 Statement Model'!E$59</f>
        <v>6.8916839918599579E-2</v>
      </c>
      <c r="F43" s="163">
        <f>'3 Statement Model'!F49/'3 Statement Model'!F$59</f>
        <v>7.0927264926025399E-2</v>
      </c>
      <c r="G43" s="163">
        <f ca="1">'3 Statement Model'!G49/'3 Statement Model'!G$59</f>
        <v>6.5189897632212918E-2</v>
      </c>
      <c r="H43" s="163">
        <f ca="1">'3 Statement Model'!H49/'3 Statement Model'!H$59</f>
        <v>6.0488682891744493E-2</v>
      </c>
      <c r="I43" s="163">
        <f ca="1">'3 Statement Model'!I49/'3 Statement Model'!I$59</f>
        <v>5.7270810639537047E-2</v>
      </c>
      <c r="J43" s="163">
        <f ca="1">'3 Statement Model'!J49/'3 Statement Model'!J$59</f>
        <v>5.372457447254169E-2</v>
      </c>
      <c r="K43" s="163">
        <f ca="1">'3 Statement Model'!K49/'3 Statement Model'!K$59</f>
        <v>5.0409799189970884E-2</v>
      </c>
    </row>
    <row r="44" spans="1:11" outlineLevel="1" x14ac:dyDescent="0.35">
      <c r="B44" s="107" t="s">
        <v>8</v>
      </c>
      <c r="D44" s="163">
        <f>'3 Statement Model'!D50/'3 Statement Model'!D$59</f>
        <v>4.0619935252801994E-3</v>
      </c>
      <c r="E44" s="163">
        <f>'3 Statement Model'!E50/'3 Statement Model'!E$59</f>
        <v>4.6784369830831446E-3</v>
      </c>
      <c r="F44" s="163">
        <f>'3 Statement Model'!F50/'3 Statement Model'!F$59</f>
        <v>4.9021882498768415E-3</v>
      </c>
      <c r="G44" s="163">
        <f ca="1">'3 Statement Model'!G50/'3 Statement Model'!G$59</f>
        <v>4.5056460377629354E-3</v>
      </c>
      <c r="H44" s="163">
        <f ca="1">'3 Statement Model'!H50/'3 Statement Model'!H$59</f>
        <v>4.1807182446933931E-3</v>
      </c>
      <c r="I44" s="163">
        <f ca="1">'3 Statement Model'!I50/'3 Statement Model'!I$59</f>
        <v>3.9583127203745242E-3</v>
      </c>
      <c r="J44" s="163">
        <f ca="1">'3 Statement Model'!J50/'3 Statement Model'!J$59</f>
        <v>3.7132120910570942E-3</v>
      </c>
      <c r="K44" s="163">
        <f ca="1">'3 Statement Model'!K50/'3 Statement Model'!K$59</f>
        <v>3.4841090450260844E-3</v>
      </c>
    </row>
    <row r="45" spans="1:11" outlineLevel="1" x14ac:dyDescent="0.35">
      <c r="B45" s="114" t="s">
        <v>9</v>
      </c>
      <c r="C45" s="60"/>
      <c r="D45" s="166">
        <f>'3 Statement Model'!D51/'3 Statement Model'!D$59</f>
        <v>0.55731611526599945</v>
      </c>
      <c r="E45" s="166">
        <f>'3 Statement Model'!E51/'3 Statement Model'!E$59</f>
        <v>0.54628880676369529</v>
      </c>
      <c r="F45" s="166">
        <f>'3 Statement Model'!F51/'3 Statement Model'!F$59</f>
        <v>0.54039951054396373</v>
      </c>
      <c r="G45" s="166">
        <f ca="1">'3 Statement Model'!G51/'3 Statement Model'!G$59</f>
        <v>0.51847277151036286</v>
      </c>
      <c r="H45" s="166">
        <f ca="1">'3 Statement Model'!H51/'3 Statement Model'!H$59</f>
        <v>0.51137183885295079</v>
      </c>
      <c r="I45" s="166">
        <f ca="1">'3 Statement Model'!I51/'3 Statement Model'!I$59</f>
        <v>0.50824068547193568</v>
      </c>
      <c r="J45" s="166">
        <f ca="1">'3 Statement Model'!J51/'3 Statement Model'!J$59</f>
        <v>0.51522384640633423</v>
      </c>
      <c r="K45" s="166">
        <f ca="1">'3 Statement Model'!K51/'3 Statement Model'!K$59</f>
        <v>0.53035718092335504</v>
      </c>
    </row>
    <row r="46" spans="1:11" outlineLevel="1" x14ac:dyDescent="0.35">
      <c r="B46" s="105"/>
      <c r="D46" s="163"/>
      <c r="E46" s="163"/>
      <c r="F46" s="163"/>
      <c r="G46" s="163"/>
      <c r="H46" s="163"/>
      <c r="I46" s="163"/>
      <c r="J46" s="163"/>
      <c r="K46" s="163"/>
    </row>
    <row r="47" spans="1:11" outlineLevel="1" x14ac:dyDescent="0.35">
      <c r="B47" s="107" t="s">
        <v>10</v>
      </c>
      <c r="D47" s="163">
        <f>'3 Statement Model'!D53/'3 Statement Model'!D$59</f>
        <v>0.29159893278868909</v>
      </c>
      <c r="E47" s="163">
        <f>'3 Statement Model'!E53/'3 Statement Model'!E$59</f>
        <v>0.29902004625255296</v>
      </c>
      <c r="F47" s="163">
        <f>'3 Statement Model'!F53/'3 Statement Model'!F$59</f>
        <v>0.30781699429497672</v>
      </c>
      <c r="G47" s="163">
        <f ca="1">'3 Statement Model'!G53/'3 Statement Model'!G$59</f>
        <v>0.31298647320881645</v>
      </c>
      <c r="H47" s="163">
        <f ca="1">'3 Statement Model'!H53/'3 Statement Model'!H$59</f>
        <v>0.31022067527593761</v>
      </c>
      <c r="I47" s="163">
        <f ca="1">'3 Statement Model'!I53/'3 Statement Model'!I$59</f>
        <v>0.306008386807748</v>
      </c>
      <c r="J47" s="163">
        <f ca="1">'3 Statement Model'!J53/'3 Statement Model'!J$59</f>
        <v>0.29623086975816249</v>
      </c>
      <c r="K47" s="163">
        <f ca="1">'3 Statement Model'!K53/'3 Statement Model'!K$59</f>
        <v>0.28207249187179662</v>
      </c>
    </row>
    <row r="48" spans="1:11" outlineLevel="1" x14ac:dyDescent="0.35">
      <c r="B48" s="107" t="s">
        <v>11</v>
      </c>
      <c r="D48" s="163">
        <f>'3 Statement Model'!D54/'3 Statement Model'!D$59</f>
        <v>0.10404168355765381</v>
      </c>
      <c r="E48" s="163">
        <f>'3 Statement Model'!E54/'3 Statement Model'!E$59</f>
        <v>9.349552667223969E-2</v>
      </c>
      <c r="F48" s="163">
        <f>'3 Statement Model'!F54/'3 Statement Model'!F$59</f>
        <v>9.257774882006134E-2</v>
      </c>
      <c r="G48" s="163">
        <f ca="1">'3 Statement Model'!G54/'3 Statement Model'!G$59</f>
        <v>0.11923797185960304</v>
      </c>
      <c r="H48" s="163">
        <f ca="1">'3 Statement Model'!H54/'3 Statement Model'!H$59</f>
        <v>0.13696790890280874</v>
      </c>
      <c r="I48" s="163">
        <f ca="1">'3 Statement Model'!I54/'3 Statement Model'!I$59</f>
        <v>0.15021754788851163</v>
      </c>
      <c r="J48" s="163">
        <f ca="1">'3 Statement Model'!J54/'3 Statement Model'!J$59</f>
        <v>0.15800545387077805</v>
      </c>
      <c r="K48" s="163">
        <f ca="1">'3 Statement Model'!K54/'3 Statement Model'!K$59</f>
        <v>0.16132429916303143</v>
      </c>
    </row>
    <row r="49" spans="2:11" outlineLevel="1" x14ac:dyDescent="0.35">
      <c r="B49" s="107" t="s">
        <v>12</v>
      </c>
      <c r="D49" s="163">
        <f>'3 Statement Model'!D55/'3 Statement Model'!D$59</f>
        <v>0</v>
      </c>
      <c r="E49" s="163">
        <f>'3 Statement Model'!E55/'3 Statement Model'!E$59</f>
        <v>0</v>
      </c>
      <c r="F49" s="163">
        <f>'3 Statement Model'!F55/'3 Statement Model'!F$59</f>
        <v>0</v>
      </c>
      <c r="G49" s="163">
        <f ca="1">'3 Statement Model'!G55/'3 Statement Model'!G$59</f>
        <v>0</v>
      </c>
      <c r="H49" s="163">
        <f ca="1">'3 Statement Model'!H55/'3 Statement Model'!H$59</f>
        <v>0</v>
      </c>
      <c r="I49" s="163">
        <f ca="1">'3 Statement Model'!I55/'3 Statement Model'!I$59</f>
        <v>0</v>
      </c>
      <c r="J49" s="163">
        <f ca="1">'3 Statement Model'!J55/'3 Statement Model'!J$59</f>
        <v>0</v>
      </c>
      <c r="K49" s="163">
        <f ca="1">'3 Statement Model'!K55/'3 Statement Model'!K$59</f>
        <v>0</v>
      </c>
    </row>
    <row r="50" spans="2:11" outlineLevel="1" x14ac:dyDescent="0.35">
      <c r="B50" s="104" t="s">
        <v>13</v>
      </c>
      <c r="D50" s="163">
        <f>'3 Statement Model'!D56/'3 Statement Model'!D$59</f>
        <v>4.7043268387657745E-2</v>
      </c>
      <c r="E50" s="163">
        <f>'3 Statement Model'!E56/'3 Statement Model'!E$59</f>
        <v>6.11956203115121E-2</v>
      </c>
      <c r="F50" s="163">
        <f>'3 Statement Model'!F56/'3 Statement Model'!F$59</f>
        <v>5.9205746340998296E-2</v>
      </c>
      <c r="G50" s="163">
        <f ca="1">'3 Statement Model'!G56/'3 Statement Model'!G$59</f>
        <v>4.9302783421217723E-2</v>
      </c>
      <c r="H50" s="163">
        <f ca="1">'3 Statement Model'!H56/'3 Statement Model'!H$59</f>
        <v>4.1439576968302798E-2</v>
      </c>
      <c r="I50" s="163">
        <f ca="1">'3 Statement Model'!I56/'3 Statement Model'!I$59</f>
        <v>3.5533379831804698E-2</v>
      </c>
      <c r="J50" s="163">
        <f ca="1">'3 Statement Model'!J56/'3 Statement Model'!J$59</f>
        <v>3.0539829964725252E-2</v>
      </c>
      <c r="K50" s="163">
        <f ca="1">'3 Statement Model'!K56/'3 Statement Model'!K$59</f>
        <v>2.6246028041816832E-2</v>
      </c>
    </row>
    <row r="51" spans="2:11" outlineLevel="1" x14ac:dyDescent="0.35">
      <c r="B51" s="114" t="s">
        <v>14</v>
      </c>
      <c r="C51" s="60"/>
      <c r="D51" s="166">
        <f>'3 Statement Model'!D57/'3 Statement Model'!D$59</f>
        <v>0.44268388473400061</v>
      </c>
      <c r="E51" s="166">
        <f>'3 Statement Model'!E57/'3 Statement Model'!E$59</f>
        <v>0.45371119323630477</v>
      </c>
      <c r="F51" s="166">
        <f>'3 Statement Model'!F57/'3 Statement Model'!F$59</f>
        <v>0.45960048945603632</v>
      </c>
      <c r="G51" s="166">
        <f ca="1">'3 Statement Model'!G57/'3 Statement Model'!G$59</f>
        <v>0.48152722848963725</v>
      </c>
      <c r="H51" s="166">
        <f ca="1">'3 Statement Model'!H57/'3 Statement Model'!H$59</f>
        <v>0.48862816114704921</v>
      </c>
      <c r="I51" s="166">
        <f ca="1">'3 Statement Model'!I57/'3 Statement Model'!I$59</f>
        <v>0.49175931452806437</v>
      </c>
      <c r="J51" s="166">
        <f ca="1">'3 Statement Model'!J57/'3 Statement Model'!J$59</f>
        <v>0.48477615359366577</v>
      </c>
      <c r="K51" s="166">
        <f ca="1">'3 Statement Model'!K57/'3 Statement Model'!K$59</f>
        <v>0.4696428190766449</v>
      </c>
    </row>
    <row r="52" spans="2:11" outlineLevel="1" x14ac:dyDescent="0.35">
      <c r="B52" s="107"/>
      <c r="D52" s="163"/>
      <c r="E52" s="163"/>
      <c r="F52" s="163"/>
      <c r="G52" s="163"/>
      <c r="H52" s="163"/>
      <c r="I52" s="163"/>
      <c r="J52" s="163"/>
      <c r="K52" s="163"/>
    </row>
    <row r="53" spans="2:11" ht="15" outlineLevel="1" thickBot="1" x14ac:dyDescent="0.4">
      <c r="B53" s="130" t="s">
        <v>15</v>
      </c>
      <c r="C53" s="68"/>
      <c r="D53" s="164">
        <f>'3 Statement Model'!D59/'3 Statement Model'!D$59</f>
        <v>1</v>
      </c>
      <c r="E53" s="164">
        <f>'3 Statement Model'!E59/'3 Statement Model'!E$59</f>
        <v>1</v>
      </c>
      <c r="F53" s="164">
        <f>'3 Statement Model'!F59/'3 Statement Model'!F$59</f>
        <v>1</v>
      </c>
      <c r="G53" s="164">
        <f ca="1">'3 Statement Model'!G59/'3 Statement Model'!G$59</f>
        <v>1</v>
      </c>
      <c r="H53" s="164">
        <f ca="1">'3 Statement Model'!H59/'3 Statement Model'!H$59</f>
        <v>1</v>
      </c>
      <c r="I53" s="164">
        <f ca="1">'3 Statement Model'!I59/'3 Statement Model'!I$59</f>
        <v>1</v>
      </c>
      <c r="J53" s="164">
        <f ca="1">'3 Statement Model'!J59/'3 Statement Model'!J$59</f>
        <v>1</v>
      </c>
      <c r="K53" s="164">
        <f ca="1">'3 Statement Model'!K59/'3 Statement Model'!K$59</f>
        <v>1</v>
      </c>
    </row>
    <row r="54" spans="2:11" outlineLevel="1" x14ac:dyDescent="0.35">
      <c r="B54" s="131"/>
      <c r="D54" s="163"/>
      <c r="E54" s="163"/>
      <c r="F54" s="163"/>
      <c r="G54" s="163"/>
      <c r="H54" s="163"/>
      <c r="I54" s="163"/>
      <c r="J54" s="163"/>
      <c r="K54" s="163"/>
    </row>
    <row r="55" spans="2:11" outlineLevel="1" x14ac:dyDescent="0.35">
      <c r="B55" s="131"/>
      <c r="D55" s="163"/>
      <c r="E55" s="163"/>
      <c r="F55" s="163"/>
      <c r="G55" s="163"/>
      <c r="H55" s="163"/>
      <c r="I55" s="163"/>
      <c r="J55" s="163"/>
      <c r="K55" s="163"/>
    </row>
    <row r="56" spans="2:11" outlineLevel="1" x14ac:dyDescent="0.35">
      <c r="B56" s="129" t="s">
        <v>16</v>
      </c>
      <c r="D56" s="163"/>
      <c r="E56" s="163"/>
      <c r="F56" s="163"/>
      <c r="G56" s="163"/>
      <c r="H56" s="163"/>
      <c r="I56" s="163"/>
      <c r="J56" s="163"/>
      <c r="K56" s="163"/>
    </row>
    <row r="57" spans="2:11" outlineLevel="1" x14ac:dyDescent="0.35">
      <c r="B57" s="108" t="s">
        <v>17</v>
      </c>
      <c r="D57" s="163">
        <f>'3 Statement Model'!D63/'3 Statement Model'!D$77</f>
        <v>0.19522201894128791</v>
      </c>
      <c r="E57" s="163">
        <f>'3 Statement Model'!E63/'3 Statement Model'!E$77</f>
        <v>0.19421120833031216</v>
      </c>
      <c r="F57" s="163">
        <f>'3 Statement Model'!F63/'3 Statement Model'!F$77</f>
        <v>0.19639900201821159</v>
      </c>
      <c r="G57" s="163">
        <f ca="1">'3 Statement Model'!G63/'3 Statement Model'!G$77</f>
        <v>0.17548249596513688</v>
      </c>
      <c r="H57" s="163">
        <f ca="1">'3 Statement Model'!H63/'3 Statement Model'!H$77</f>
        <v>0.15827159478438063</v>
      </c>
      <c r="I57" s="163">
        <f ca="1">'3 Statement Model'!I63/'3 Statement Model'!I$77</f>
        <v>0.14564223620380229</v>
      </c>
      <c r="J57" s="163">
        <f ca="1">'3 Statement Model'!J63/'3 Statement Model'!J$77</f>
        <v>0.13257428111407063</v>
      </c>
      <c r="K57" s="163">
        <f ca="1">'3 Statement Model'!K63/'3 Statement Model'!K$77</f>
        <v>0.12069133624643448</v>
      </c>
    </row>
    <row r="58" spans="2:11" outlineLevel="1" x14ac:dyDescent="0.35">
      <c r="B58" s="108" t="s">
        <v>18</v>
      </c>
      <c r="D58" s="163">
        <f>'3 Statement Model'!D64/'3 Statement Model'!D$77</f>
        <v>0.10937203048289601</v>
      </c>
      <c r="E58" s="163">
        <f>'3 Statement Model'!E64/'3 Statement Model'!E$77</f>
        <v>0.1101538093466044</v>
      </c>
      <c r="F58" s="163">
        <f>'3 Statement Model'!F64/'3 Statement Model'!F$77</f>
        <v>0.10843167479778154</v>
      </c>
      <c r="G58" s="163">
        <f ca="1">'3 Statement Model'!G64/'3 Statement Model'!G$77</f>
        <v>9.9660543622105413E-2</v>
      </c>
      <c r="H58" s="163">
        <f ca="1">'3 Statement Model'!H64/'3 Statement Model'!H$77</f>
        <v>9.2473454307091363E-2</v>
      </c>
      <c r="I58" s="163">
        <f ca="1">'3 Statement Model'!I64/'3 Statement Model'!I$77</f>
        <v>8.7554058670504059E-2</v>
      </c>
      <c r="J58" s="163">
        <f ca="1">'3 Statement Model'!J64/'3 Statement Model'!J$77</f>
        <v>8.2132669206003789E-2</v>
      </c>
      <c r="K58" s="163">
        <f ca="1">'3 Statement Model'!K64/'3 Statement Model'!K$77</f>
        <v>7.7065130850446029E-2</v>
      </c>
    </row>
    <row r="59" spans="2:11" outlineLevel="1" x14ac:dyDescent="0.35">
      <c r="B59" s="132" t="s">
        <v>19</v>
      </c>
      <c r="D59" s="163">
        <f>'3 Statement Model'!D65/'3 Statement Model'!D$77</f>
        <v>7.808326107933204E-3</v>
      </c>
      <c r="E59" s="163">
        <f>'3 Statement Model'!E65/'3 Statement Model'!E$77</f>
        <v>7.7677712188594398E-3</v>
      </c>
      <c r="F59" s="163">
        <f>'3 Statement Model'!F65/'3 Statement Model'!F$77</f>
        <v>8.4097446247238857E-3</v>
      </c>
      <c r="G59" s="163">
        <f ca="1">'3 Statement Model'!G65/'3 Statement Model'!G$77</f>
        <v>7.7294731690357409E-3</v>
      </c>
      <c r="H59" s="163">
        <f ca="1">'3 Statement Model'!H65/'3 Statement Model'!H$77</f>
        <v>7.1720568435287351E-3</v>
      </c>
      <c r="I59" s="163">
        <f ca="1">'3 Statement Model'!I65/'3 Statement Model'!I$77</f>
        <v>6.7905183208707177E-3</v>
      </c>
      <c r="J59" s="163">
        <f ca="1">'3 Statement Model'!J65/'3 Statement Model'!J$77</f>
        <v>6.3700461572465455E-3</v>
      </c>
      <c r="K59" s="163">
        <f ca="1">'3 Statement Model'!K65/'3 Statement Model'!K$77</f>
        <v>5.9770179805102583E-3</v>
      </c>
    </row>
    <row r="60" spans="2:11" outlineLevel="1" x14ac:dyDescent="0.35">
      <c r="B60" s="114" t="s">
        <v>20</v>
      </c>
      <c r="C60" s="60"/>
      <c r="D60" s="166">
        <f>'3 Statement Model'!D66/'3 Statement Model'!D$77</f>
        <v>0.31240237553211708</v>
      </c>
      <c r="E60" s="166">
        <f>'3 Statement Model'!E66/'3 Statement Model'!E$77</f>
        <v>0.312132788895776</v>
      </c>
      <c r="F60" s="166">
        <f>'3 Statement Model'!F66/'3 Statement Model'!F$77</f>
        <v>0.31324042144071707</v>
      </c>
      <c r="G60" s="166">
        <f ca="1">'3 Statement Model'!G66/'3 Statement Model'!G$77</f>
        <v>0.28287251275627806</v>
      </c>
      <c r="H60" s="166">
        <f ca="1">'3 Statement Model'!H66/'3 Statement Model'!H$77</f>
        <v>0.25791710593500067</v>
      </c>
      <c r="I60" s="166">
        <f ca="1">'3 Statement Model'!I66/'3 Statement Model'!I$77</f>
        <v>0.23998681319517706</v>
      </c>
      <c r="J60" s="166">
        <f ca="1">'3 Statement Model'!J66/'3 Statement Model'!J$77</f>
        <v>0.22107699647732099</v>
      </c>
      <c r="K60" s="166">
        <f ca="1">'3 Statement Model'!K66/'3 Statement Model'!K$77</f>
        <v>0.20373348507739078</v>
      </c>
    </row>
    <row r="61" spans="2:11" outlineLevel="1" x14ac:dyDescent="0.35">
      <c r="B61" s="131"/>
      <c r="D61" s="163"/>
      <c r="E61" s="163"/>
      <c r="F61" s="163"/>
      <c r="G61" s="163"/>
      <c r="H61" s="163"/>
      <c r="I61" s="163"/>
      <c r="J61" s="163"/>
      <c r="K61" s="163"/>
    </row>
    <row r="62" spans="2:11" outlineLevel="1" x14ac:dyDescent="0.35">
      <c r="B62" s="108" t="s">
        <v>21</v>
      </c>
      <c r="D62" s="163">
        <f>'3 Statement Model'!D68/'3 Statement Model'!D$77</f>
        <v>0.31158263587490692</v>
      </c>
      <c r="E62" s="163">
        <f>'3 Statement Model'!E68/'3 Statement Model'!E$77</f>
        <v>0.246159280430577</v>
      </c>
      <c r="F62" s="163">
        <f>'3 Statement Model'!F68/'3 Statement Model'!F$77</f>
        <v>0.20086767206445563</v>
      </c>
      <c r="G62" s="163">
        <f ca="1">'3 Statement Model'!G68/'3 Statement Model'!G$77</f>
        <v>0.17861272454959418</v>
      </c>
      <c r="H62" s="163">
        <f ca="1">'3 Statement Model'!H68/'3 Statement Model'!H$77</f>
        <v>0.15852497810311264</v>
      </c>
      <c r="I62" s="163">
        <f ca="1">'3 Statement Model'!I68/'3 Statement Model'!I$77</f>
        <v>0.13340076019003488</v>
      </c>
      <c r="J62" s="163">
        <f ca="1">'3 Statement Model'!J68/'3 Statement Model'!J$77</f>
        <v>0.1124790178500638</v>
      </c>
      <c r="K62" s="163">
        <f ca="1">'3 Statement Model'!K68/'3 Statement Model'!K$77</f>
        <v>9.4795826612955866E-2</v>
      </c>
    </row>
    <row r="63" spans="2:11" outlineLevel="1" x14ac:dyDescent="0.35">
      <c r="B63" s="108" t="s">
        <v>22</v>
      </c>
      <c r="D63" s="163">
        <f>'3 Statement Model'!D69/'3 Statement Model'!D$77</f>
        <v>0</v>
      </c>
      <c r="E63" s="163">
        <f>'3 Statement Model'!E69/'3 Statement Model'!E$77</f>
        <v>0</v>
      </c>
      <c r="F63" s="163">
        <f>'3 Statement Model'!F69/'3 Statement Model'!F$77</f>
        <v>0</v>
      </c>
      <c r="G63" s="163">
        <f ca="1">'3 Statement Model'!G69/'3 Statement Model'!G$77</f>
        <v>0</v>
      </c>
      <c r="H63" s="163">
        <f ca="1">'3 Statement Model'!H69/'3 Statement Model'!H$77</f>
        <v>0</v>
      </c>
      <c r="I63" s="163">
        <f ca="1">'3 Statement Model'!I69/'3 Statement Model'!I$77</f>
        <v>0</v>
      </c>
      <c r="J63" s="163">
        <f ca="1">'3 Statement Model'!J69/'3 Statement Model'!J$77</f>
        <v>0</v>
      </c>
      <c r="K63" s="163">
        <f ca="1">'3 Statement Model'!K69/'3 Statement Model'!K$77</f>
        <v>0</v>
      </c>
    </row>
    <row r="64" spans="2:11" outlineLevel="1" x14ac:dyDescent="0.35">
      <c r="B64" s="132" t="s">
        <v>23</v>
      </c>
      <c r="D64" s="163">
        <f>'3 Statement Model'!D70/'3 Statement Model'!D$77</f>
        <v>1.8703114765998993E-2</v>
      </c>
      <c r="E64" s="163">
        <f>'3 Statement Model'!E70/'3 Statement Model'!E$77</f>
        <v>6.5029780335639942E-2</v>
      </c>
      <c r="F64" s="163">
        <f>'3 Statement Model'!F70/'3 Statement Model'!F$77</f>
        <v>2.9303160805377659E-2</v>
      </c>
      <c r="G64" s="163">
        <f ca="1">'3 Statement Model'!G70/'3 Statement Model'!G$77</f>
        <v>2.4401810297663928E-2</v>
      </c>
      <c r="H64" s="163">
        <f ca="1">'3 Statement Model'!H70/'3 Statement Model'!H$77</f>
        <v>2.051001233250439E-2</v>
      </c>
      <c r="I64" s="163">
        <f ca="1">'3 Statement Model'!I70/'3 Statement Model'!I$77</f>
        <v>1.7586812218747552E-2</v>
      </c>
      <c r="J64" s="163">
        <f ca="1">'3 Statement Model'!J70/'3 Statement Model'!J$77</f>
        <v>1.5115315720723095E-2</v>
      </c>
      <c r="K64" s="163">
        <f ca="1">'3 Statement Model'!K70/'3 Statement Model'!K$77</f>
        <v>1.2990150918496845E-2</v>
      </c>
    </row>
    <row r="65" spans="2:11" outlineLevel="1" x14ac:dyDescent="0.35">
      <c r="B65" s="114" t="s">
        <v>24</v>
      </c>
      <c r="C65" s="60"/>
      <c r="D65" s="166">
        <f>'3 Statement Model'!D71/'3 Statement Model'!D$77</f>
        <v>0.33028575064090593</v>
      </c>
      <c r="E65" s="166">
        <f>'3 Statement Model'!E71/'3 Statement Model'!E$77</f>
        <v>0.31118906076621694</v>
      </c>
      <c r="F65" s="166">
        <f>'3 Statement Model'!F71/'3 Statement Model'!F$77</f>
        <v>0.23017083286983328</v>
      </c>
      <c r="G65" s="166">
        <f ca="1">'3 Statement Model'!G71/'3 Statement Model'!G$77</f>
        <v>0.20301453484725812</v>
      </c>
      <c r="H65" s="166">
        <f ca="1">'3 Statement Model'!H71/'3 Statement Model'!H$77</f>
        <v>0.17903499043561702</v>
      </c>
      <c r="I65" s="166">
        <f ca="1">'3 Statement Model'!I71/'3 Statement Model'!I$77</f>
        <v>0.15098757240878244</v>
      </c>
      <c r="J65" s="166">
        <f ca="1">'3 Statement Model'!J71/'3 Statement Model'!J$77</f>
        <v>0.12759433357078689</v>
      </c>
      <c r="K65" s="166">
        <f ca="1">'3 Statement Model'!K71/'3 Statement Model'!K$77</f>
        <v>0.10778597753145272</v>
      </c>
    </row>
    <row r="66" spans="2:11" outlineLevel="1" x14ac:dyDescent="0.35">
      <c r="B66" s="131"/>
      <c r="D66" s="163"/>
      <c r="E66" s="163"/>
      <c r="F66" s="163"/>
      <c r="G66" s="163"/>
      <c r="H66" s="163"/>
      <c r="I66" s="163"/>
      <c r="J66" s="163"/>
      <c r="K66" s="163"/>
    </row>
    <row r="67" spans="2:11" outlineLevel="1" x14ac:dyDescent="0.35">
      <c r="B67" s="108" t="s">
        <v>25</v>
      </c>
      <c r="D67" s="163">
        <f>'3 Statement Model'!D73/'3 Statement Model'!D$77</f>
        <v>4.0783067522893575E-2</v>
      </c>
      <c r="E67" s="163">
        <f>'3 Statement Model'!E73/'3 Statement Model'!E$77</f>
        <v>3.5266372554523931E-2</v>
      </c>
      <c r="F67" s="163">
        <f>'3 Statement Model'!F73/'3 Statement Model'!F$77</f>
        <v>3.1782859503869561E-2</v>
      </c>
      <c r="G67" s="163">
        <f ca="1">'3 Statement Model'!G73/'3 Statement Model'!G$77</f>
        <v>2.6466745805401343E-2</v>
      </c>
      <c r="H67" s="163">
        <f ca="1">'3 Statement Model'!H73/'3 Statement Model'!H$77</f>
        <v>2.2245615232981613E-2</v>
      </c>
      <c r="I67" s="163">
        <f ca="1">'3 Statement Model'!I73/'3 Statement Model'!I$77</f>
        <v>1.9075047418325289E-2</v>
      </c>
      <c r="J67" s="163">
        <f ca="1">'3 Statement Model'!J73/'3 Statement Model'!J$77</f>
        <v>1.6394407384892399E-2</v>
      </c>
      <c r="K67" s="163">
        <f ca="1">'3 Statement Model'!K73/'3 Statement Model'!K$77</f>
        <v>1.4089406406317756E-2</v>
      </c>
    </row>
    <row r="68" spans="2:11" outlineLevel="1" x14ac:dyDescent="0.35">
      <c r="B68" s="132" t="s">
        <v>26</v>
      </c>
      <c r="D68" s="163">
        <f>'3 Statement Model'!D74/'3 Statement Model'!D$77</f>
        <v>0.31652880630408348</v>
      </c>
      <c r="E68" s="163">
        <f>'3 Statement Model'!E74/'3 Statement Model'!E$77</f>
        <v>0.34141177778348308</v>
      </c>
      <c r="F68" s="163">
        <f>'3 Statement Model'!F74/'3 Statement Model'!F$77</f>
        <v>0.42480588618558007</v>
      </c>
      <c r="G68" s="163">
        <f ca="1">'3 Statement Model'!G74/'3 Statement Model'!G$77</f>
        <v>0.48764620659106234</v>
      </c>
      <c r="H68" s="163">
        <f ca="1">'3 Statement Model'!H74/'3 Statement Model'!H$77</f>
        <v>0.54080228839640065</v>
      </c>
      <c r="I68" s="163">
        <f ca="1">'3 Statement Model'!I74/'3 Statement Model'!I$77</f>
        <v>0.5899505669777152</v>
      </c>
      <c r="J68" s="163">
        <f ca="1">'3 Statement Model'!J74/'3 Statement Model'!J$77</f>
        <v>0.63493426256699959</v>
      </c>
      <c r="K68" s="163">
        <f ca="1">'3 Statement Model'!K74/'3 Statement Model'!K$77</f>
        <v>0.67439113098483883</v>
      </c>
    </row>
    <row r="69" spans="2:11" outlineLevel="1" x14ac:dyDescent="0.35">
      <c r="B69" s="114" t="s">
        <v>27</v>
      </c>
      <c r="C69" s="60"/>
      <c r="D69" s="166">
        <f>'3 Statement Model'!D75/'3 Statement Model'!D$77</f>
        <v>0.3573118738269771</v>
      </c>
      <c r="E69" s="166">
        <f>'3 Statement Model'!E75/'3 Statement Model'!E$77</f>
        <v>0.376678150338007</v>
      </c>
      <c r="F69" s="166">
        <f>'3 Statement Model'!F75/'3 Statement Model'!F$77</f>
        <v>0.45658874568944963</v>
      </c>
      <c r="G69" s="166">
        <f ca="1">'3 Statement Model'!G75/'3 Statement Model'!G$77</f>
        <v>0.51411295239646371</v>
      </c>
      <c r="H69" s="166">
        <f ca="1">'3 Statement Model'!H75/'3 Statement Model'!H$77</f>
        <v>0.56304790362938228</v>
      </c>
      <c r="I69" s="166">
        <f ca="1">'3 Statement Model'!I75/'3 Statement Model'!I$77</f>
        <v>0.60902561439604053</v>
      </c>
      <c r="J69" s="166">
        <f ca="1">'3 Statement Model'!J75/'3 Statement Model'!J$77</f>
        <v>0.65132866995189198</v>
      </c>
      <c r="K69" s="166">
        <f ca="1">'3 Statement Model'!K75/'3 Statement Model'!K$77</f>
        <v>0.68848053739115667</v>
      </c>
    </row>
    <row r="70" spans="2:11" outlineLevel="1" x14ac:dyDescent="0.35">
      <c r="B70" s="131"/>
      <c r="D70" s="163"/>
      <c r="E70" s="163"/>
      <c r="F70" s="163"/>
      <c r="G70" s="163"/>
      <c r="H70" s="163"/>
      <c r="I70" s="163"/>
      <c r="J70" s="163"/>
      <c r="K70" s="163"/>
    </row>
    <row r="71" spans="2:11" ht="15" outlineLevel="1" thickBot="1" x14ac:dyDescent="0.4">
      <c r="B71" s="130" t="s">
        <v>28</v>
      </c>
      <c r="C71" s="68"/>
      <c r="D71" s="164">
        <f>'3 Statement Model'!D77/'3 Statement Model'!D$77</f>
        <v>1</v>
      </c>
      <c r="E71" s="164">
        <f>'3 Statement Model'!E77/'3 Statement Model'!E$77</f>
        <v>1</v>
      </c>
      <c r="F71" s="164">
        <f>'3 Statement Model'!F77/'3 Statement Model'!F$77</f>
        <v>1</v>
      </c>
      <c r="G71" s="164">
        <f ca="1">'3 Statement Model'!G77/'3 Statement Model'!G$77</f>
        <v>1</v>
      </c>
      <c r="H71" s="164">
        <f ca="1">'3 Statement Model'!H77/'3 Statement Model'!H$77</f>
        <v>1</v>
      </c>
      <c r="I71" s="164">
        <f ca="1">'3 Statement Model'!I77/'3 Statement Model'!I$77</f>
        <v>1</v>
      </c>
      <c r="J71" s="164">
        <f ca="1">'3 Statement Model'!J77/'3 Statement Model'!J$77</f>
        <v>1</v>
      </c>
      <c r="K71" s="164">
        <f ca="1">'3 Statement Model'!K77/'3 Statement Model'!K$77</f>
        <v>1</v>
      </c>
    </row>
  </sheetData>
  <sheetProtection algorithmName="SHA-512" hashValue="LY054EEdS6DLTC6kVzi08s5E0iUVzCqFzor3vIXHWjQOx+X32Mlg9HKxU5Dg0rQFcQpWk3elP9Niz392TduACw==" saltValue="JIzwQBAt5aFh4UZ5Srwvhw==" spinCount="100000" sheet="1" objects="1" scenarios="1"/>
  <mergeCells count="2">
    <mergeCell ref="D5:F5"/>
    <mergeCell ref="G5:K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Drop Down 1">
              <controlPr defaultSize="0" autoLine="0" autoPict="0">
                <anchor moveWithCells="1">
                  <from>
                    <xdr:col>6</xdr:col>
                    <xdr:colOff>19050</xdr:colOff>
                    <xdr:row>1</xdr:row>
                    <xdr:rowOff>222250</xdr:rowOff>
                  </from>
                  <to>
                    <xdr:col>7</xdr:col>
                    <xdr:colOff>304800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2559-10AE-4C69-9AFE-36BF2F58C7A1}">
  <dimension ref="A2:L92"/>
  <sheetViews>
    <sheetView showGridLines="0" zoomScale="90" zoomScaleNormal="90" workbookViewId="0">
      <pane ySplit="6" topLeftCell="A84" activePane="bottomLeft" state="frozen"/>
      <selection pane="bottomLeft" activeCell="D93" sqref="D93"/>
    </sheetView>
  </sheetViews>
  <sheetFormatPr defaultRowHeight="14.5" x14ac:dyDescent="0.35"/>
  <cols>
    <col min="1" max="1" width="1.81640625" customWidth="1"/>
    <col min="2" max="2" width="43.6328125" customWidth="1"/>
    <col min="3" max="3" width="21" customWidth="1"/>
    <col min="4" max="4" width="10.90625" customWidth="1"/>
    <col min="5" max="5" width="13.26953125" customWidth="1"/>
    <col min="6" max="11" width="13.1796875" customWidth="1"/>
    <col min="12" max="12" width="1.81640625" customWidth="1"/>
  </cols>
  <sheetData>
    <row r="2" spans="1:12" ht="21" x14ac:dyDescent="0.5">
      <c r="B2" s="143" t="str">
        <f>'Audited Balance Sheet'!$B$2</f>
        <v>Mrs Sector Foods</v>
      </c>
      <c r="C2" s="44"/>
    </row>
    <row r="3" spans="1:12" ht="15" customHeight="1" x14ac:dyDescent="0.45">
      <c r="B3" s="46" t="s">
        <v>275</v>
      </c>
      <c r="C3" s="46"/>
      <c r="F3" t="s">
        <v>57</v>
      </c>
      <c r="G3">
        <v>1</v>
      </c>
    </row>
    <row r="4" spans="1:12" ht="15" customHeight="1" x14ac:dyDescent="0.45">
      <c r="B4" s="46"/>
      <c r="C4" s="46"/>
    </row>
    <row r="5" spans="1:12" x14ac:dyDescent="0.35">
      <c r="D5" s="191" t="s">
        <v>49</v>
      </c>
      <c r="E5" s="191"/>
      <c r="F5" s="191"/>
      <c r="G5" s="190" t="s">
        <v>50</v>
      </c>
      <c r="H5" s="190"/>
      <c r="I5" s="190"/>
      <c r="J5" s="190"/>
      <c r="K5" s="190"/>
      <c r="L5" s="120"/>
    </row>
    <row r="6" spans="1:12" x14ac:dyDescent="0.35">
      <c r="B6" s="47" t="s">
        <v>48</v>
      </c>
      <c r="C6" s="47"/>
      <c r="D6" s="102">
        <v>2021</v>
      </c>
      <c r="E6" s="50">
        <f>D6+1</f>
        <v>2022</v>
      </c>
      <c r="F6" s="50">
        <f t="shared" ref="F6:K6" si="0">E6+1</f>
        <v>2023</v>
      </c>
      <c r="G6" s="50">
        <f t="shared" si="0"/>
        <v>2024</v>
      </c>
      <c r="H6" s="50">
        <f t="shared" si="0"/>
        <v>2025</v>
      </c>
      <c r="I6" s="50">
        <f t="shared" si="0"/>
        <v>2026</v>
      </c>
      <c r="J6" s="50">
        <f t="shared" si="0"/>
        <v>2027</v>
      </c>
      <c r="K6" s="50">
        <f t="shared" si="0"/>
        <v>2028</v>
      </c>
      <c r="L6" s="119"/>
    </row>
    <row r="7" spans="1:12" x14ac:dyDescent="0.35">
      <c r="B7" s="122"/>
      <c r="C7" s="122"/>
      <c r="D7" s="123"/>
      <c r="E7" s="119"/>
      <c r="F7" s="119"/>
      <c r="G7" s="119"/>
      <c r="H7" s="119"/>
      <c r="I7" s="119"/>
      <c r="J7" s="119"/>
      <c r="K7" s="119"/>
      <c r="L7" s="119"/>
    </row>
    <row r="8" spans="1:12" ht="18.5" x14ac:dyDescent="0.45">
      <c r="A8" s="46" t="s">
        <v>52</v>
      </c>
      <c r="B8" s="54" t="s">
        <v>276</v>
      </c>
      <c r="C8" s="124"/>
      <c r="D8" s="125"/>
      <c r="E8" s="126"/>
      <c r="F8" s="126"/>
      <c r="G8" s="126"/>
      <c r="H8" s="126"/>
      <c r="I8" s="126"/>
      <c r="J8" s="126"/>
      <c r="K8" s="126"/>
      <c r="L8" s="119"/>
    </row>
    <row r="10" spans="1:12" x14ac:dyDescent="0.35">
      <c r="B10" t="s">
        <v>277</v>
      </c>
      <c r="D10" s="112">
        <f>'3 Statement Model'!D51</f>
        <v>13392.072400000001</v>
      </c>
      <c r="E10" s="112">
        <f>'3 Statement Model'!E51</f>
        <v>15180.552799999999</v>
      </c>
      <c r="F10" s="112">
        <f>'3 Statement Model'!F51</f>
        <v>16662.802800000001</v>
      </c>
      <c r="G10" s="112">
        <f ca="1">'3 Statement Model'!G51</f>
        <v>19197.800886290363</v>
      </c>
      <c r="H10" s="112">
        <f ca="1">'3 Statement Model'!H51</f>
        <v>22527.783422815355</v>
      </c>
      <c r="I10" s="112">
        <f ca="1">'3 Statement Model'!I51</f>
        <v>26111.383150953458</v>
      </c>
      <c r="J10" s="112">
        <f ca="1">'3 Statement Model'!J51</f>
        <v>30798.269045302339</v>
      </c>
      <c r="K10" s="112">
        <f ca="1">'3 Statement Model'!K51</f>
        <v>36889.420484870803</v>
      </c>
    </row>
    <row r="11" spans="1:12" x14ac:dyDescent="0.35">
      <c r="B11" t="s">
        <v>278</v>
      </c>
      <c r="D11" s="112">
        <f>'3 Statement Model'!D66</f>
        <v>7506.8980000000001</v>
      </c>
      <c r="E11" s="112">
        <f>'3 Statement Model'!E66</f>
        <v>8673.7055999999993</v>
      </c>
      <c r="F11" s="112">
        <f>'3 Statement Model'!F66</f>
        <v>9658.5272000000004</v>
      </c>
      <c r="G11" s="112">
        <f>'3 Statement Model'!G66</f>
        <v>10474.089430540356</v>
      </c>
      <c r="H11" s="112">
        <f>'3 Statement Model'!H66</f>
        <v>11362.183566025071</v>
      </c>
      <c r="I11" s="112">
        <f>'3 Statement Model'!I66</f>
        <v>12329.567092207102</v>
      </c>
      <c r="J11" s="112">
        <f>'3 Statement Model'!J66</f>
        <v>13215.205128269816</v>
      </c>
      <c r="K11" s="112">
        <f>'3 Statement Model'!K66</f>
        <v>14170.846494023694</v>
      </c>
    </row>
    <row r="12" spans="1:12" x14ac:dyDescent="0.35">
      <c r="B12" s="60" t="s">
        <v>279</v>
      </c>
      <c r="C12" s="60"/>
      <c r="D12" s="167">
        <f>D10/D11</f>
        <v>1.783968877690892</v>
      </c>
      <c r="E12" s="167">
        <f t="shared" ref="E12:K12" si="1">E11/E10</f>
        <v>0.57136954854503053</v>
      </c>
      <c r="F12" s="167">
        <f t="shared" si="1"/>
        <v>0.57964601249436853</v>
      </c>
      <c r="G12" s="167">
        <f t="shared" ca="1" si="1"/>
        <v>0.54558798127863539</v>
      </c>
      <c r="H12" s="167">
        <f t="shared" ca="1" si="1"/>
        <v>0.50436313918562647</v>
      </c>
      <c r="I12" s="167">
        <f t="shared" ca="1" si="1"/>
        <v>0.47219126696307884</v>
      </c>
      <c r="J12" s="167">
        <f t="shared" ca="1" si="1"/>
        <v>0.42908921630728891</v>
      </c>
      <c r="K12" s="167">
        <f t="shared" ca="1" si="1"/>
        <v>0.38414391735526132</v>
      </c>
    </row>
    <row r="14" spans="1:12" x14ac:dyDescent="0.35">
      <c r="B14" t="s">
        <v>277</v>
      </c>
      <c r="D14" s="111">
        <f>D10</f>
        <v>13392.072400000001</v>
      </c>
      <c r="E14" s="111">
        <f t="shared" ref="E14:K14" si="2">E10</f>
        <v>15180.552799999999</v>
      </c>
      <c r="F14" s="111">
        <f t="shared" si="2"/>
        <v>16662.802800000001</v>
      </c>
      <c r="G14" s="111">
        <f t="shared" ca="1" si="2"/>
        <v>19197.800886290363</v>
      </c>
      <c r="H14" s="111">
        <f t="shared" ca="1" si="2"/>
        <v>22527.783422815355</v>
      </c>
      <c r="I14" s="111">
        <f t="shared" ca="1" si="2"/>
        <v>26111.383150953458</v>
      </c>
      <c r="J14" s="111">
        <f t="shared" ca="1" si="2"/>
        <v>30798.269045302339</v>
      </c>
      <c r="K14" s="111">
        <f t="shared" ca="1" si="2"/>
        <v>36889.420484870803</v>
      </c>
    </row>
    <row r="15" spans="1:12" x14ac:dyDescent="0.35">
      <c r="B15" t="s">
        <v>5</v>
      </c>
      <c r="D15" s="112">
        <f>'3 Statement Model'!D47</f>
        <v>4686.8108000000002</v>
      </c>
      <c r="E15" s="112">
        <f>'3 Statement Model'!E47</f>
        <v>5155.4859999999999</v>
      </c>
      <c r="F15" s="112">
        <f>'3 Statement Model'!F47</f>
        <v>5592.6248000000005</v>
      </c>
      <c r="G15" s="112">
        <f>'3 Statement Model'!G47</f>
        <v>6000.7099095604108</v>
      </c>
      <c r="H15" s="112">
        <f>'3 Statement Model'!H47</f>
        <v>6439.1409669442373</v>
      </c>
      <c r="I15" s="112">
        <f>'3 Statement Model'!I47</f>
        <v>6910.2074899259333</v>
      </c>
      <c r="J15" s="112">
        <f>'3 Statement Model'!J47</f>
        <v>7318.682952951789</v>
      </c>
      <c r="K15" s="112">
        <f>'3 Statement Model'!K47</f>
        <v>7752.6963605620604</v>
      </c>
    </row>
    <row r="16" spans="1:12" x14ac:dyDescent="0.35">
      <c r="B16" t="s">
        <v>7</v>
      </c>
      <c r="D16" s="112">
        <f>'3 Statement Model'!D49</f>
        <v>1660.1396</v>
      </c>
      <c r="E16" s="112">
        <f>'3 Statement Model'!E49</f>
        <v>1915.0964000000001</v>
      </c>
      <c r="F16" s="112">
        <f>'3 Statement Model'!F49</f>
        <v>2186.9875999999999</v>
      </c>
      <c r="G16" s="112">
        <f>'3 Statement Model'!G49</f>
        <v>2413.8252639480434</v>
      </c>
      <c r="H16" s="112">
        <f>'3 Statement Model'!H49</f>
        <v>2664.7457763281818</v>
      </c>
      <c r="I16" s="112">
        <f>'3 Statement Model'!I49</f>
        <v>2942.3462597962921</v>
      </c>
      <c r="J16" s="112">
        <f>'3 Statement Model'!J49</f>
        <v>3211.4660656540973</v>
      </c>
      <c r="K16" s="112">
        <f>'3 Statement Model'!K49</f>
        <v>3506.2941462189333</v>
      </c>
    </row>
    <row r="17" spans="1:11" x14ac:dyDescent="0.35">
      <c r="B17" t="s">
        <v>278</v>
      </c>
      <c r="D17" s="111">
        <f>D11</f>
        <v>7506.8980000000001</v>
      </c>
      <c r="E17" s="111">
        <f t="shared" ref="E17:K17" si="3">E11</f>
        <v>8673.7055999999993</v>
      </c>
      <c r="F17" s="111">
        <f t="shared" si="3"/>
        <v>9658.5272000000004</v>
      </c>
      <c r="G17" s="111">
        <f t="shared" si="3"/>
        <v>10474.089430540356</v>
      </c>
      <c r="H17" s="111">
        <f t="shared" si="3"/>
        <v>11362.183566025071</v>
      </c>
      <c r="I17" s="111">
        <f t="shared" si="3"/>
        <v>12329.567092207102</v>
      </c>
      <c r="J17" s="111">
        <f t="shared" si="3"/>
        <v>13215.205128269816</v>
      </c>
      <c r="K17" s="111">
        <f t="shared" si="3"/>
        <v>14170.846494023694</v>
      </c>
    </row>
    <row r="18" spans="1:11" x14ac:dyDescent="0.35">
      <c r="B18" s="60" t="s">
        <v>280</v>
      </c>
      <c r="C18" s="60"/>
      <c r="D18" s="167">
        <f>(D14-D15-D16)/D17</f>
        <v>0.93848644273573467</v>
      </c>
      <c r="E18" s="167">
        <f t="shared" ref="E18:K18" si="4">(E14-E15-E16)/E17</f>
        <v>0.93500641755698977</v>
      </c>
      <c r="F18" s="167">
        <f t="shared" si="4"/>
        <v>0.9197251522985822</v>
      </c>
      <c r="G18" s="167">
        <f t="shared" ca="1" si="4"/>
        <v>1.0295182014906286</v>
      </c>
      <c r="H18" s="167">
        <f t="shared" ca="1" si="4"/>
        <v>1.1814539521859821</v>
      </c>
      <c r="I18" s="167">
        <f t="shared" ca="1" si="4"/>
        <v>1.3186861533449639</v>
      </c>
      <c r="J18" s="167">
        <f t="shared" ca="1" si="4"/>
        <v>1.5336969672411003</v>
      </c>
      <c r="K18" s="167">
        <f t="shared" ca="1" si="4"/>
        <v>1.8086731790439614</v>
      </c>
    </row>
    <row r="20" spans="1:11" x14ac:dyDescent="0.35">
      <c r="B20" t="s">
        <v>233</v>
      </c>
      <c r="D20" s="169">
        <f>'3 Statement Model'!D83</f>
        <v>70.599950657628654</v>
      </c>
      <c r="E20" s="169">
        <f>'3 Statement Model'!E83</f>
        <v>70.857270326640332</v>
      </c>
      <c r="F20" s="169">
        <f>'3 Statement Model'!F83</f>
        <v>72.565933958740942</v>
      </c>
      <c r="G20" s="169">
        <f>'3 Statement Model'!G83</f>
        <v>72.60953107937469</v>
      </c>
      <c r="H20" s="169">
        <f>'3 Statement Model'!H83</f>
        <v>72.60953107937469</v>
      </c>
      <c r="I20" s="169">
        <f>'3 Statement Model'!I83</f>
        <v>72.60953107937469</v>
      </c>
      <c r="J20" s="169">
        <f>'3 Statement Model'!J83</f>
        <v>72.60953107937469</v>
      </c>
      <c r="K20" s="169">
        <f>'3 Statement Model'!K83</f>
        <v>72.60953107937469</v>
      </c>
    </row>
    <row r="21" spans="1:11" x14ac:dyDescent="0.35">
      <c r="B21" t="s">
        <v>194</v>
      </c>
      <c r="D21" s="169">
        <f>'3 Statement Model'!D82</f>
        <v>42.235979905324754</v>
      </c>
      <c r="E21" s="169">
        <f>'3 Statement Model'!E82</f>
        <v>41.830284679793493</v>
      </c>
      <c r="F21" s="169">
        <f>'3 Statement Model'!F82</f>
        <v>41.18518909892942</v>
      </c>
      <c r="G21" s="169">
        <f>'3 Statement Model'!G82</f>
        <v>41.21757183244268</v>
      </c>
      <c r="H21" s="169">
        <f>'3 Statement Model'!H82</f>
        <v>41.21757183244268</v>
      </c>
      <c r="I21" s="169">
        <f>'3 Statement Model'!I82</f>
        <v>41.21757183244268</v>
      </c>
      <c r="J21" s="169">
        <f>'3 Statement Model'!J82</f>
        <v>41.21757183244268</v>
      </c>
      <c r="K21" s="169">
        <f>'3 Statement Model'!K82</f>
        <v>41.21757183244268</v>
      </c>
    </row>
    <row r="22" spans="1:11" x14ac:dyDescent="0.35">
      <c r="B22" t="s">
        <v>195</v>
      </c>
      <c r="D22" s="169">
        <f>'3 Statement Model'!D84</f>
        <v>70.664609386375034</v>
      </c>
      <c r="E22" s="169">
        <f>'3 Statement Model'!E84</f>
        <v>74.174457875073983</v>
      </c>
      <c r="F22" s="169">
        <f>'3 Statement Model'!F84</f>
        <v>78.575922643434055</v>
      </c>
      <c r="G22" s="169">
        <f>'3 Statement Model'!G84</f>
        <v>78.623130524481127</v>
      </c>
      <c r="H22" s="169">
        <f>'3 Statement Model'!H84</f>
        <v>78.623130524481127</v>
      </c>
      <c r="I22" s="169">
        <f>'3 Statement Model'!I84</f>
        <v>78.623130524481127</v>
      </c>
      <c r="J22" s="169">
        <f>'3 Statement Model'!J84</f>
        <v>78.623130524481127</v>
      </c>
      <c r="K22" s="169">
        <f>'3 Statement Model'!K84</f>
        <v>78.623130524481127</v>
      </c>
    </row>
    <row r="23" spans="1:11" x14ac:dyDescent="0.35">
      <c r="B23" s="60" t="s">
        <v>281</v>
      </c>
      <c r="C23" s="60"/>
      <c r="D23" s="170">
        <f>D20+D21-D22</f>
        <v>42.171321176578374</v>
      </c>
      <c r="E23" s="170">
        <f t="shared" ref="E23:K23" si="5">E20+E21-E22</f>
        <v>38.513097131359842</v>
      </c>
      <c r="F23" s="170">
        <f t="shared" si="5"/>
        <v>35.175200414236301</v>
      </c>
      <c r="G23" s="170">
        <f t="shared" si="5"/>
        <v>35.20397238733625</v>
      </c>
      <c r="H23" s="170">
        <f t="shared" si="5"/>
        <v>35.20397238733625</v>
      </c>
      <c r="I23" s="170">
        <f t="shared" si="5"/>
        <v>35.20397238733625</v>
      </c>
      <c r="J23" s="170">
        <f t="shared" si="5"/>
        <v>35.20397238733625</v>
      </c>
      <c r="K23" s="170">
        <f t="shared" si="5"/>
        <v>35.20397238733625</v>
      </c>
    </row>
    <row r="25" spans="1:11" ht="18.5" x14ac:dyDescent="0.45">
      <c r="A25" s="46" t="s">
        <v>52</v>
      </c>
      <c r="B25" s="54" t="s">
        <v>282</v>
      </c>
      <c r="C25" s="124"/>
      <c r="D25" s="125"/>
      <c r="E25" s="126"/>
      <c r="F25" s="126"/>
      <c r="G25" s="126"/>
      <c r="H25" s="126"/>
      <c r="I25" s="126"/>
      <c r="J25" s="126"/>
      <c r="K25" s="126"/>
    </row>
    <row r="27" spans="1:11" x14ac:dyDescent="0.35">
      <c r="B27" t="s">
        <v>283</v>
      </c>
      <c r="D27" s="112">
        <f>SUM('3 Statement Model'!D68:D69)</f>
        <v>7487.2</v>
      </c>
      <c r="E27" s="112">
        <f>SUM('3 Statement Model'!E68:E69)</f>
        <v>6840.4</v>
      </c>
      <c r="F27" s="112">
        <f>SUM('3 Statement Model'!F68:F69)</f>
        <v>6193.5999999999995</v>
      </c>
      <c r="G27" s="112">
        <f ca="1">SUM('3 Statement Model'!G68:G69)</f>
        <v>6613.5999999999995</v>
      </c>
      <c r="H27" s="112">
        <f ca="1">SUM('3 Statement Model'!H68:H69)</f>
        <v>6983.5999999999995</v>
      </c>
      <c r="I27" s="112">
        <f ca="1">SUM('3 Statement Model'!I68:I69)</f>
        <v>6853.5999999999995</v>
      </c>
      <c r="J27" s="112">
        <f ca="1">SUM('3 Statement Model'!J68:J69)</f>
        <v>6723.5999999999995</v>
      </c>
      <c r="K27" s="112">
        <f ca="1">SUM('3 Statement Model'!K68:K69)</f>
        <v>6593.5999999999995</v>
      </c>
    </row>
    <row r="28" spans="1:11" x14ac:dyDescent="0.35">
      <c r="B28" t="s">
        <v>284</v>
      </c>
      <c r="D28" s="112">
        <f>'3 Statement Model'!D75</f>
        <v>8586.0544000000009</v>
      </c>
      <c r="E28" s="112">
        <f>'3 Statement Model'!E75</f>
        <v>10467.32512</v>
      </c>
      <c r="F28" s="112">
        <f>'3 Statement Model'!F75</f>
        <v>14078.562399999999</v>
      </c>
      <c r="G28" s="112">
        <f>'3 Statement Model'!G75</f>
        <v>19036.367260749998</v>
      </c>
      <c r="H28" s="112">
        <f>'3 Statement Model'!H75</f>
        <v>24804.301422003773</v>
      </c>
      <c r="I28" s="112">
        <f>'3 Statement Model'!I75</f>
        <v>31289.311581722937</v>
      </c>
      <c r="J28" s="112">
        <f>'3 Statement Model'!J75</f>
        <v>38934.136597157856</v>
      </c>
      <c r="K28" s="112">
        <f>'3 Statement Model'!K75</f>
        <v>47887.817782074191</v>
      </c>
    </row>
    <row r="29" spans="1:11" x14ac:dyDescent="0.35">
      <c r="B29" s="60" t="s">
        <v>285</v>
      </c>
      <c r="C29" s="60"/>
      <c r="D29" s="167">
        <f>D27/D28</f>
        <v>0.8720187004638591</v>
      </c>
      <c r="E29" s="167">
        <f t="shared" ref="E29" si="6">E28/E27</f>
        <v>1.5302212034383955</v>
      </c>
      <c r="F29" s="167">
        <f t="shared" ref="F29" si="7">F28/F27</f>
        <v>2.2730822784810125</v>
      </c>
      <c r="G29" s="167">
        <f t="shared" ref="G29" ca="1" si="8">G28/G27</f>
        <v>2.8783668895533445</v>
      </c>
      <c r="H29" s="167">
        <f t="shared" ref="H29" ca="1" si="9">H28/H27</f>
        <v>3.5517929752568556</v>
      </c>
      <c r="I29" s="167">
        <f t="shared" ref="I29" ca="1" si="10">I28/I27</f>
        <v>4.565383387084589</v>
      </c>
      <c r="J29" s="167">
        <f t="shared" ref="J29" ca="1" si="11">J28/J27</f>
        <v>5.7906681832883962</v>
      </c>
      <c r="K29" s="167">
        <f t="shared" ref="K29" ca="1" si="12">K28/K27</f>
        <v>7.2627726556166881</v>
      </c>
    </row>
    <row r="31" spans="1:11" x14ac:dyDescent="0.35">
      <c r="B31" t="s">
        <v>283</v>
      </c>
      <c r="D31" s="111">
        <f>D27</f>
        <v>7487.2</v>
      </c>
      <c r="E31" s="111">
        <f t="shared" ref="E31:K31" si="13">E27</f>
        <v>6840.4</v>
      </c>
      <c r="F31" s="111">
        <f t="shared" si="13"/>
        <v>6193.5999999999995</v>
      </c>
      <c r="G31" s="111">
        <f t="shared" ca="1" si="13"/>
        <v>6613.5999999999995</v>
      </c>
      <c r="H31" s="111">
        <f t="shared" ca="1" si="13"/>
        <v>6983.5999999999995</v>
      </c>
      <c r="I31" s="111">
        <f t="shared" ca="1" si="13"/>
        <v>6853.5999999999995</v>
      </c>
      <c r="J31" s="111">
        <f t="shared" ca="1" si="13"/>
        <v>6723.5999999999995</v>
      </c>
      <c r="K31" s="111">
        <f t="shared" ca="1" si="13"/>
        <v>6593.5999999999995</v>
      </c>
    </row>
    <row r="32" spans="1:11" x14ac:dyDescent="0.35">
      <c r="B32" t="s">
        <v>15</v>
      </c>
      <c r="D32" s="112">
        <f>'3 Statement Model'!D59</f>
        <v>24029.580399999999</v>
      </c>
      <c r="E32" s="112">
        <f>'3 Statement Model'!E59</f>
        <v>27788.51152</v>
      </c>
      <c r="F32" s="112">
        <f>'3 Statement Model'!F59</f>
        <v>30834.23</v>
      </c>
      <c r="G32" s="112">
        <f ca="1">'3 Statement Model'!G59</f>
        <v>37027.597091290358</v>
      </c>
      <c r="H32" s="112">
        <f ca="1">'3 Statement Model'!H59</f>
        <v>44053.625388028857</v>
      </c>
      <c r="I32" s="112">
        <f ca="1">'3 Statement Model'!I59</f>
        <v>51376.01907393006</v>
      </c>
      <c r="J32" s="112">
        <f ca="1">'3 Statement Model'!J59</f>
        <v>59776.48212542769</v>
      </c>
      <c r="K32" s="112">
        <f ca="1">'3 Statement Model'!K59</f>
        <v>69555.804676097905</v>
      </c>
    </row>
    <row r="33" spans="1:11" x14ac:dyDescent="0.35">
      <c r="B33" s="60" t="s">
        <v>286</v>
      </c>
      <c r="C33" s="60"/>
      <c r="D33" s="167">
        <f>D31/D32</f>
        <v>0.31158263587490692</v>
      </c>
      <c r="E33" s="167">
        <f t="shared" ref="E33" si="14">E32/E31</f>
        <v>4.0624103151862467</v>
      </c>
      <c r="F33" s="167">
        <f t="shared" ref="F33" si="15">F32/F31</f>
        <v>4.9784018987341776</v>
      </c>
      <c r="G33" s="167">
        <f t="shared" ref="G33" ca="1" si="16">G32/G31</f>
        <v>5.5987052575436014</v>
      </c>
      <c r="H33" s="167">
        <f t="shared" ref="H33" ca="1" si="17">H32/H31</f>
        <v>6.3081541594634372</v>
      </c>
      <c r="I33" s="167">
        <f t="shared" ref="I33" ca="1" si="18">I32/I31</f>
        <v>7.4962091563455795</v>
      </c>
      <c r="J33" s="167">
        <f t="shared" ref="J33" ca="1" si="19">J32/J31</f>
        <v>8.8905470470324968</v>
      </c>
      <c r="K33" s="167">
        <f t="shared" ref="K33" ca="1" si="20">K32/K31</f>
        <v>10.548987605571753</v>
      </c>
    </row>
    <row r="35" spans="1:11" x14ac:dyDescent="0.35">
      <c r="B35" t="s">
        <v>284</v>
      </c>
      <c r="D35" s="111">
        <f>D28</f>
        <v>8586.0544000000009</v>
      </c>
      <c r="E35" s="111">
        <f t="shared" ref="E35:K35" si="21">E28</f>
        <v>10467.32512</v>
      </c>
      <c r="F35" s="111">
        <f t="shared" si="21"/>
        <v>14078.562399999999</v>
      </c>
      <c r="G35" s="111">
        <f t="shared" si="21"/>
        <v>19036.367260749998</v>
      </c>
      <c r="H35" s="111">
        <f t="shared" si="21"/>
        <v>24804.301422003773</v>
      </c>
      <c r="I35" s="111">
        <f t="shared" si="21"/>
        <v>31289.311581722937</v>
      </c>
      <c r="J35" s="111">
        <f t="shared" si="21"/>
        <v>38934.136597157856</v>
      </c>
      <c r="K35" s="111">
        <f t="shared" si="21"/>
        <v>47887.817782074191</v>
      </c>
    </row>
    <row r="36" spans="1:11" x14ac:dyDescent="0.35">
      <c r="B36" t="s">
        <v>15</v>
      </c>
      <c r="D36" s="111">
        <f>D32</f>
        <v>24029.580399999999</v>
      </c>
      <c r="E36" s="111">
        <f t="shared" ref="E36:K36" si="22">E32</f>
        <v>27788.51152</v>
      </c>
      <c r="F36" s="111">
        <f t="shared" si="22"/>
        <v>30834.23</v>
      </c>
      <c r="G36" s="111">
        <f t="shared" ca="1" si="22"/>
        <v>37027.597091290358</v>
      </c>
      <c r="H36" s="111">
        <f t="shared" ca="1" si="22"/>
        <v>44053.625388028857</v>
      </c>
      <c r="I36" s="111">
        <f t="shared" ca="1" si="22"/>
        <v>51376.01907393006</v>
      </c>
      <c r="J36" s="111">
        <f t="shared" ca="1" si="22"/>
        <v>59776.48212542769</v>
      </c>
      <c r="K36" s="111">
        <f t="shared" ca="1" si="22"/>
        <v>69555.804676097905</v>
      </c>
    </row>
    <row r="37" spans="1:11" x14ac:dyDescent="0.35">
      <c r="B37" s="60" t="s">
        <v>287</v>
      </c>
      <c r="C37" s="60"/>
      <c r="D37" s="167">
        <f>D35/D36</f>
        <v>0.3573118738269771</v>
      </c>
      <c r="E37" s="167">
        <f t="shared" ref="E37" si="23">E36/E35</f>
        <v>2.654786318512671</v>
      </c>
      <c r="F37" s="167">
        <f t="shared" ref="F37" si="24">F36/F35</f>
        <v>2.1901547277298712</v>
      </c>
      <c r="G37" s="167">
        <f t="shared" ref="G37" ca="1" si="25">G36/G35</f>
        <v>1.9450978531831256</v>
      </c>
      <c r="H37" s="167">
        <f t="shared" ref="H37" ca="1" si="26">H36/H35</f>
        <v>1.7760478168092693</v>
      </c>
      <c r="I37" s="167">
        <f t="shared" ref="I37" ca="1" si="27">I36/I35</f>
        <v>1.6419670640481714</v>
      </c>
      <c r="J37" s="167">
        <f t="shared" ref="J37" ca="1" si="28">J36/J35</f>
        <v>1.5353231726677432</v>
      </c>
      <c r="K37" s="167">
        <f t="shared" ref="K37" ca="1" si="29">K36/K35</f>
        <v>1.4524738837052349</v>
      </c>
    </row>
    <row r="39" spans="1:11" ht="18.5" x14ac:dyDescent="0.45">
      <c r="A39" s="46" t="s">
        <v>52</v>
      </c>
      <c r="B39" s="54" t="s">
        <v>297</v>
      </c>
      <c r="C39" s="124"/>
      <c r="D39" s="125"/>
      <c r="E39" s="126"/>
      <c r="F39" s="126"/>
      <c r="G39" s="126"/>
      <c r="H39" s="126"/>
      <c r="I39" s="126"/>
      <c r="J39" s="126"/>
      <c r="K39" s="126"/>
    </row>
    <row r="41" spans="1:11" x14ac:dyDescent="0.35">
      <c r="B41" t="s">
        <v>32</v>
      </c>
      <c r="D41" s="112">
        <f>'3 Statement Model'!D12</f>
        <v>23094.876</v>
      </c>
      <c r="E41" s="112">
        <f>'3 Statement Model'!E12</f>
        <v>26006.044399999999</v>
      </c>
      <c r="F41" s="112">
        <f>'3 Statement Model'!F12</f>
        <v>29925.221199999996</v>
      </c>
      <c r="G41" s="112">
        <f>'3 Statement Model'!G12</f>
        <v>33861.986750000004</v>
      </c>
      <c r="H41" s="112">
        <f>'3 Statement Model'!H12</f>
        <v>38313.727060375008</v>
      </c>
      <c r="I41" s="112">
        <f>'3 Statement Model'!I12</f>
        <v>43309.1006423035</v>
      </c>
      <c r="J41" s="112">
        <f>'3 Statement Model'!J12</f>
        <v>48394.161918823913</v>
      </c>
      <c r="K41" s="112">
        <f>'3 Statement Model'!K12</f>
        <v>54032.760597131353</v>
      </c>
    </row>
    <row r="42" spans="1:11" x14ac:dyDescent="0.35">
      <c r="B42" t="s">
        <v>70</v>
      </c>
      <c r="D42" s="112">
        <f>'3 Statement Model'!D10</f>
        <v>47325.572</v>
      </c>
      <c r="E42" s="112">
        <f>'3 Statement Model'!E10</f>
        <v>52562.985999999997</v>
      </c>
      <c r="F42" s="112">
        <f>'3 Statement Model'!F10</f>
        <v>58055.611599999997</v>
      </c>
      <c r="G42" s="112">
        <f>'3 Statement Model'!G10</f>
        <v>64026.885000000002</v>
      </c>
      <c r="H42" s="112">
        <f>'3 Statement Model'!H10</f>
        <v>70682.569249500011</v>
      </c>
      <c r="I42" s="112">
        <f>'3 Statement Model'!I10</f>
        <v>78045.941609720569</v>
      </c>
      <c r="J42" s="112">
        <f>'3 Statement Model'!J10</f>
        <v>85184.36339949719</v>
      </c>
      <c r="K42" s="112">
        <f>'3 Statement Model'!K10</f>
        <v>93004.698985106428</v>
      </c>
    </row>
    <row r="43" spans="1:11" x14ac:dyDescent="0.35">
      <c r="B43" s="60" t="s">
        <v>288</v>
      </c>
      <c r="C43" s="60"/>
      <c r="D43" s="167">
        <f>D41/D42</f>
        <v>0.4879999337356134</v>
      </c>
      <c r="E43" s="167">
        <f t="shared" ref="E43:K43" si="30">E41/E42</f>
        <v>0.49475964702614117</v>
      </c>
      <c r="F43" s="167">
        <f t="shared" si="30"/>
        <v>0.51545785799628019</v>
      </c>
      <c r="G43" s="167">
        <f t="shared" si="30"/>
        <v>0.52887137567289122</v>
      </c>
      <c r="H43" s="167">
        <f t="shared" si="30"/>
        <v>0.54205340110279066</v>
      </c>
      <c r="I43" s="167">
        <f t="shared" si="30"/>
        <v>0.55491803608285739</v>
      </c>
      <c r="J43" s="167">
        <f t="shared" si="30"/>
        <v>0.56811085964058006</v>
      </c>
      <c r="K43" s="167">
        <f t="shared" si="30"/>
        <v>0.5809680713636205</v>
      </c>
    </row>
    <row r="45" spans="1:11" x14ac:dyDescent="0.35">
      <c r="B45" t="s">
        <v>289</v>
      </c>
      <c r="D45" s="112">
        <f>'3 Statement Model'!D21</f>
        <v>5845.5314400000034</v>
      </c>
      <c r="E45" s="112">
        <f>'3 Statement Model'!E21</f>
        <v>7346.8639999999978</v>
      </c>
      <c r="F45" s="112">
        <f>'3 Statement Model'!F21</f>
        <v>9529.7747999999992</v>
      </c>
      <c r="G45" s="112">
        <f>'3 Statement Model'!G21</f>
        <v>11560.386825000005</v>
      </c>
      <c r="H45" s="112">
        <f>'3 Statement Model'!H21</f>
        <v>13652.155439277507</v>
      </c>
      <c r="I45" s="112">
        <f>'3 Statement Model'!I21</f>
        <v>15590.653275241528</v>
      </c>
      <c r="J45" s="112">
        <f>'3 Statement Model'!J21</f>
        <v>18395.912172782297</v>
      </c>
      <c r="K45" s="112">
        <f>'3 Statement Model'!K21</f>
        <v>21539.281636118831</v>
      </c>
    </row>
    <row r="46" spans="1:11" x14ac:dyDescent="0.35">
      <c r="B46" t="s">
        <v>70</v>
      </c>
      <c r="D46" s="111">
        <f>D42</f>
        <v>47325.572</v>
      </c>
      <c r="E46" s="111">
        <f t="shared" ref="E46:K46" si="31">E42</f>
        <v>52562.985999999997</v>
      </c>
      <c r="F46" s="111">
        <f t="shared" si="31"/>
        <v>58055.611599999997</v>
      </c>
      <c r="G46" s="111">
        <f t="shared" si="31"/>
        <v>64026.885000000002</v>
      </c>
      <c r="H46" s="111">
        <f t="shared" si="31"/>
        <v>70682.569249500011</v>
      </c>
      <c r="I46" s="111">
        <f t="shared" si="31"/>
        <v>78045.941609720569</v>
      </c>
      <c r="J46" s="111">
        <f t="shared" si="31"/>
        <v>85184.36339949719</v>
      </c>
      <c r="K46" s="111">
        <f t="shared" si="31"/>
        <v>93004.698985106428</v>
      </c>
    </row>
    <row r="47" spans="1:11" x14ac:dyDescent="0.35">
      <c r="B47" s="60" t="s">
        <v>291</v>
      </c>
      <c r="C47" s="60"/>
      <c r="D47" s="167">
        <f>D45/D46</f>
        <v>0.12351739647224978</v>
      </c>
      <c r="E47" s="167">
        <f t="shared" ref="E47:K47" si="32">E45/E46</f>
        <v>0.13977257684713723</v>
      </c>
      <c r="F47" s="167">
        <f t="shared" si="32"/>
        <v>0.16414907254202452</v>
      </c>
      <c r="G47" s="167">
        <f t="shared" si="32"/>
        <v>0.18055519685207244</v>
      </c>
      <c r="H47" s="167">
        <f t="shared" si="32"/>
        <v>0.19314741363018689</v>
      </c>
      <c r="I47" s="167">
        <f t="shared" si="32"/>
        <v>0.1997625110759087</v>
      </c>
      <c r="J47" s="167">
        <f t="shared" si="32"/>
        <v>0.21595409578292254</v>
      </c>
      <c r="K47" s="167">
        <f t="shared" si="32"/>
        <v>0.23159347722385601</v>
      </c>
    </row>
    <row r="49" spans="2:11" x14ac:dyDescent="0.35">
      <c r="B49" t="s">
        <v>290</v>
      </c>
      <c r="D49" s="112">
        <f>'3 Statement Model'!D26</f>
        <v>4835.0338400000028</v>
      </c>
      <c r="E49" s="112">
        <f>'3 Statement Model'!E26</f>
        <v>6342.0503999999983</v>
      </c>
      <c r="F49" s="112">
        <f>'3 Statement Model'!F26</f>
        <v>8514.1812000000009</v>
      </c>
      <c r="G49" s="112">
        <f>'3 Statement Model'!G26</f>
        <v>10096.605030000006</v>
      </c>
      <c r="H49" s="112">
        <f>'3 Statement Model'!H26</f>
        <v>11693.595659531007</v>
      </c>
      <c r="I49" s="112">
        <f>'3 Statement Model'!I26</f>
        <v>13085.771904226984</v>
      </c>
      <c r="J49" s="112">
        <f>'3 Statement Model'!J26</f>
        <v>15294.740257971271</v>
      </c>
      <c r="K49" s="112">
        <f>'3 Statement Model'!K26</f>
        <v>17787.07682841206</v>
      </c>
    </row>
    <row r="50" spans="2:11" x14ac:dyDescent="0.35">
      <c r="B50" t="s">
        <v>70</v>
      </c>
      <c r="D50" s="111">
        <f>D46</f>
        <v>47325.572</v>
      </c>
      <c r="E50" s="111">
        <f t="shared" ref="E50:K50" si="33">E46</f>
        <v>52562.985999999997</v>
      </c>
      <c r="F50" s="111">
        <f t="shared" si="33"/>
        <v>58055.611599999997</v>
      </c>
      <c r="G50" s="111">
        <f t="shared" si="33"/>
        <v>64026.885000000002</v>
      </c>
      <c r="H50" s="111">
        <f t="shared" si="33"/>
        <v>70682.569249500011</v>
      </c>
      <c r="I50" s="111">
        <f t="shared" si="33"/>
        <v>78045.941609720569</v>
      </c>
      <c r="J50" s="111">
        <f t="shared" si="33"/>
        <v>85184.36339949719</v>
      </c>
      <c r="K50" s="111">
        <f t="shared" si="33"/>
        <v>93004.698985106428</v>
      </c>
    </row>
    <row r="51" spans="2:11" x14ac:dyDescent="0.35">
      <c r="B51" s="60" t="s">
        <v>292</v>
      </c>
      <c r="C51" s="60"/>
      <c r="D51" s="167">
        <f>D49/D50</f>
        <v>0.10216535449376085</v>
      </c>
      <c r="E51" s="167">
        <f t="shared" ref="E51:K51" si="34">E49/E50</f>
        <v>0.12065620472931272</v>
      </c>
      <c r="F51" s="167">
        <f t="shared" si="34"/>
        <v>0.14665561115198039</v>
      </c>
      <c r="G51" s="167">
        <f t="shared" si="34"/>
        <v>0.15769321012571524</v>
      </c>
      <c r="H51" s="167">
        <f t="shared" si="34"/>
        <v>0.16543818063905089</v>
      </c>
      <c r="I51" s="167">
        <f t="shared" si="34"/>
        <v>0.16766755111577974</v>
      </c>
      <c r="J51" s="167">
        <f t="shared" si="34"/>
        <v>0.17954868296945622</v>
      </c>
      <c r="K51" s="167">
        <f t="shared" si="34"/>
        <v>0.1912492274316209</v>
      </c>
    </row>
    <row r="53" spans="2:11" x14ac:dyDescent="0.35">
      <c r="B53" t="s">
        <v>294</v>
      </c>
      <c r="D53" s="112">
        <f>'3 Statement Model'!D34</f>
        <v>3591.7407072400024</v>
      </c>
      <c r="E53" s="112">
        <f>'3 Statement Model'!E34</f>
        <v>4818.3345713999979</v>
      </c>
      <c r="F53" s="112">
        <f>'3 Statement Model'!F34</f>
        <v>6576.0221562000024</v>
      </c>
      <c r="G53" s="112">
        <f ca="1">'3 Statement Model'!G34</f>
        <v>7082.5783725000056</v>
      </c>
      <c r="H53" s="112">
        <f ca="1">'3 Statement Model'!H34</f>
        <v>8239.905944648257</v>
      </c>
      <c r="I53" s="112">
        <f ca="1">'3 Statement Model'!I34</f>
        <v>9264.3002281702393</v>
      </c>
      <c r="J53" s="112">
        <f ca="1">'3 Statement Model'!J34</f>
        <v>10921.178593478453</v>
      </c>
      <c r="K53" s="112">
        <f ca="1">'3 Statement Model'!K34</f>
        <v>12790.973121309045</v>
      </c>
    </row>
    <row r="54" spans="2:11" x14ac:dyDescent="0.35">
      <c r="B54" t="s">
        <v>70</v>
      </c>
      <c r="D54" s="111">
        <f>D50</f>
        <v>47325.572</v>
      </c>
      <c r="E54" s="111">
        <f t="shared" ref="E54:K54" si="35">E50</f>
        <v>52562.985999999997</v>
      </c>
      <c r="F54" s="111">
        <f t="shared" si="35"/>
        <v>58055.611599999997</v>
      </c>
      <c r="G54" s="111">
        <f t="shared" si="35"/>
        <v>64026.885000000002</v>
      </c>
      <c r="H54" s="111">
        <f t="shared" si="35"/>
        <v>70682.569249500011</v>
      </c>
      <c r="I54" s="111">
        <f t="shared" si="35"/>
        <v>78045.941609720569</v>
      </c>
      <c r="J54" s="111">
        <f t="shared" si="35"/>
        <v>85184.36339949719</v>
      </c>
      <c r="K54" s="111">
        <f t="shared" si="35"/>
        <v>93004.698985106428</v>
      </c>
    </row>
    <row r="55" spans="2:11" x14ac:dyDescent="0.35">
      <c r="B55" s="60" t="s">
        <v>293</v>
      </c>
      <c r="C55" s="60"/>
      <c r="D55" s="167">
        <f>D53/D54</f>
        <v>7.5894290453372704E-2</v>
      </c>
      <c r="E55" s="167">
        <f t="shared" ref="E55:K55" si="36">E53/E54</f>
        <v>9.1667824415454596E-2</v>
      </c>
      <c r="F55" s="167">
        <f t="shared" si="36"/>
        <v>0.11327108568777876</v>
      </c>
      <c r="G55" s="167">
        <f t="shared" ca="1" si="36"/>
        <v>0.11061881852443713</v>
      </c>
      <c r="H55" s="167">
        <f t="shared" ca="1" si="36"/>
        <v>0.11657620870518291</v>
      </c>
      <c r="I55" s="167">
        <f t="shared" ca="1" si="36"/>
        <v>0.11870316427851743</v>
      </c>
      <c r="J55" s="167">
        <f t="shared" ca="1" si="36"/>
        <v>0.12820637682364738</v>
      </c>
      <c r="K55" s="167">
        <f t="shared" ca="1" si="36"/>
        <v>0.13753039643037138</v>
      </c>
    </row>
    <row r="57" spans="2:11" x14ac:dyDescent="0.35">
      <c r="B57" t="s">
        <v>45</v>
      </c>
      <c r="D57" s="111">
        <f>D53</f>
        <v>3591.7407072400024</v>
      </c>
      <c r="E57" s="111">
        <f t="shared" ref="E57:K57" si="37">E53</f>
        <v>4818.3345713999979</v>
      </c>
      <c r="F57" s="111">
        <f t="shared" si="37"/>
        <v>6576.0221562000024</v>
      </c>
      <c r="G57" s="111">
        <f t="shared" ca="1" si="37"/>
        <v>7082.5783725000056</v>
      </c>
      <c r="H57" s="111">
        <f t="shared" ca="1" si="37"/>
        <v>8239.905944648257</v>
      </c>
      <c r="I57" s="111">
        <f t="shared" ca="1" si="37"/>
        <v>9264.3002281702393</v>
      </c>
      <c r="J57" s="111">
        <f t="shared" ca="1" si="37"/>
        <v>10921.178593478453</v>
      </c>
      <c r="K57" s="111">
        <f t="shared" ca="1" si="37"/>
        <v>12790.973121309045</v>
      </c>
    </row>
    <row r="58" spans="2:11" x14ac:dyDescent="0.35">
      <c r="B58" t="s">
        <v>15</v>
      </c>
      <c r="D58" s="111">
        <f>D36</f>
        <v>24029.580399999999</v>
      </c>
      <c r="E58" s="111">
        <f t="shared" ref="E58:K58" si="38">E36</f>
        <v>27788.51152</v>
      </c>
      <c r="F58" s="111">
        <f t="shared" si="38"/>
        <v>30834.23</v>
      </c>
      <c r="G58" s="111">
        <f t="shared" ca="1" si="38"/>
        <v>37027.597091290358</v>
      </c>
      <c r="H58" s="111">
        <f t="shared" ca="1" si="38"/>
        <v>44053.625388028857</v>
      </c>
      <c r="I58" s="111">
        <f t="shared" ca="1" si="38"/>
        <v>51376.01907393006</v>
      </c>
      <c r="J58" s="111">
        <f t="shared" ca="1" si="38"/>
        <v>59776.48212542769</v>
      </c>
      <c r="K58" s="111">
        <f t="shared" ca="1" si="38"/>
        <v>69555.804676097905</v>
      </c>
    </row>
    <row r="59" spans="2:11" x14ac:dyDescent="0.35">
      <c r="B59" s="60" t="s">
        <v>295</v>
      </c>
      <c r="C59" s="60"/>
      <c r="D59" s="167">
        <f>D57/D58</f>
        <v>0.14947163651846382</v>
      </c>
      <c r="E59" s="167">
        <f t="shared" ref="E59:K59" si="39">E57/E58</f>
        <v>0.1733930429462599</v>
      </c>
      <c r="F59" s="167">
        <f t="shared" si="39"/>
        <v>0.21327019212738579</v>
      </c>
      <c r="G59" s="167">
        <f t="shared" ca="1" si="39"/>
        <v>0.19127836880794977</v>
      </c>
      <c r="H59" s="167">
        <f t="shared" ca="1" si="39"/>
        <v>0.18704262979653363</v>
      </c>
      <c r="I59" s="167">
        <f t="shared" ca="1" si="39"/>
        <v>0.18032343484688679</v>
      </c>
      <c r="J59" s="167">
        <f t="shared" ca="1" si="39"/>
        <v>0.18270025610678764</v>
      </c>
      <c r="K59" s="167">
        <f t="shared" ca="1" si="39"/>
        <v>0.18389512105960187</v>
      </c>
    </row>
    <row r="61" spans="2:11" x14ac:dyDescent="0.35">
      <c r="B61" t="s">
        <v>45</v>
      </c>
      <c r="D61" s="111">
        <f>D57</f>
        <v>3591.7407072400024</v>
      </c>
      <c r="E61" s="111">
        <f t="shared" ref="E61:K61" si="40">E57</f>
        <v>4818.3345713999979</v>
      </c>
      <c r="F61" s="111">
        <f t="shared" si="40"/>
        <v>6576.0221562000024</v>
      </c>
      <c r="G61" s="111">
        <f t="shared" ca="1" si="40"/>
        <v>7082.5783725000056</v>
      </c>
      <c r="H61" s="111">
        <f t="shared" ca="1" si="40"/>
        <v>8239.905944648257</v>
      </c>
      <c r="I61" s="111">
        <f t="shared" ca="1" si="40"/>
        <v>9264.3002281702393</v>
      </c>
      <c r="J61" s="111">
        <f t="shared" ca="1" si="40"/>
        <v>10921.178593478453</v>
      </c>
      <c r="K61" s="111">
        <f t="shared" ca="1" si="40"/>
        <v>12790.973121309045</v>
      </c>
    </row>
    <row r="62" spans="2:11" x14ac:dyDescent="0.35">
      <c r="B62" t="s">
        <v>284</v>
      </c>
      <c r="D62" s="111">
        <f>D35</f>
        <v>8586.0544000000009</v>
      </c>
      <c r="E62" s="111">
        <f t="shared" ref="E62:K62" si="41">E35</f>
        <v>10467.32512</v>
      </c>
      <c r="F62" s="111">
        <f t="shared" si="41"/>
        <v>14078.562399999999</v>
      </c>
      <c r="G62" s="111">
        <f t="shared" si="41"/>
        <v>19036.367260749998</v>
      </c>
      <c r="H62" s="111">
        <f t="shared" si="41"/>
        <v>24804.301422003773</v>
      </c>
      <c r="I62" s="111">
        <f t="shared" si="41"/>
        <v>31289.311581722937</v>
      </c>
      <c r="J62" s="111">
        <f t="shared" si="41"/>
        <v>38934.136597157856</v>
      </c>
      <c r="K62" s="111">
        <f t="shared" si="41"/>
        <v>47887.817782074191</v>
      </c>
    </row>
    <row r="63" spans="2:11" x14ac:dyDescent="0.35">
      <c r="B63" s="60" t="s">
        <v>296</v>
      </c>
      <c r="C63" s="60"/>
      <c r="D63" s="167">
        <f>D61/D62</f>
        <v>0.41832261244932273</v>
      </c>
      <c r="E63" s="167">
        <f t="shared" ref="E63:K63" si="42">E61/E62</f>
        <v>0.46032147813901075</v>
      </c>
      <c r="F63" s="167">
        <f t="shared" si="42"/>
        <v>0.46709471957165194</v>
      </c>
      <c r="G63" s="167">
        <f t="shared" ca="1" si="42"/>
        <v>0.37205514452871324</v>
      </c>
      <c r="H63" s="167">
        <f t="shared" ca="1" si="42"/>
        <v>0.33219665430039796</v>
      </c>
      <c r="I63" s="167">
        <f t="shared" ca="1" si="42"/>
        <v>0.2960851408946244</v>
      </c>
      <c r="J63" s="167">
        <f t="shared" ca="1" si="42"/>
        <v>0.28050393685308245</v>
      </c>
      <c r="K63" s="167">
        <f t="shared" ca="1" si="42"/>
        <v>0.26710286067988426</v>
      </c>
    </row>
    <row r="65" spans="1:11" ht="18.5" x14ac:dyDescent="0.45">
      <c r="A65" s="46" t="s">
        <v>52</v>
      </c>
      <c r="B65" s="54" t="s">
        <v>298</v>
      </c>
      <c r="C65" s="124"/>
      <c r="D65" s="125"/>
      <c r="E65" s="126"/>
      <c r="F65" s="126"/>
      <c r="G65" s="126"/>
      <c r="H65" s="126"/>
      <c r="I65" s="126"/>
      <c r="J65" s="126"/>
      <c r="K65" s="126"/>
    </row>
    <row r="67" spans="1:11" x14ac:dyDescent="0.35">
      <c r="B67" t="s">
        <v>176</v>
      </c>
      <c r="D67" s="111">
        <f>D54</f>
        <v>47325.572</v>
      </c>
      <c r="E67" s="111">
        <f t="shared" ref="E67:K67" si="43">E54</f>
        <v>52562.985999999997</v>
      </c>
      <c r="F67" s="111">
        <f t="shared" si="43"/>
        <v>58055.611599999997</v>
      </c>
      <c r="G67" s="111">
        <f t="shared" si="43"/>
        <v>64026.885000000002</v>
      </c>
      <c r="H67" s="111">
        <f t="shared" si="43"/>
        <v>70682.569249500011</v>
      </c>
      <c r="I67" s="111">
        <f t="shared" si="43"/>
        <v>78045.941609720569</v>
      </c>
      <c r="J67" s="111">
        <f t="shared" si="43"/>
        <v>85184.36339949719</v>
      </c>
      <c r="K67" s="111">
        <f t="shared" si="43"/>
        <v>93004.698985106428</v>
      </c>
    </row>
    <row r="68" spans="1:11" x14ac:dyDescent="0.35">
      <c r="B68" t="s">
        <v>15</v>
      </c>
      <c r="D68" s="111">
        <f>D58</f>
        <v>24029.580399999999</v>
      </c>
      <c r="E68" s="111">
        <f t="shared" ref="E68:K68" si="44">E58</f>
        <v>27788.51152</v>
      </c>
      <c r="F68" s="111">
        <f t="shared" si="44"/>
        <v>30834.23</v>
      </c>
      <c r="G68" s="111">
        <f t="shared" ca="1" si="44"/>
        <v>37027.597091290358</v>
      </c>
      <c r="H68" s="111">
        <f t="shared" ca="1" si="44"/>
        <v>44053.625388028857</v>
      </c>
      <c r="I68" s="111">
        <f t="shared" ca="1" si="44"/>
        <v>51376.01907393006</v>
      </c>
      <c r="J68" s="111">
        <f t="shared" ca="1" si="44"/>
        <v>59776.48212542769</v>
      </c>
      <c r="K68" s="111">
        <f t="shared" ca="1" si="44"/>
        <v>69555.804676097905</v>
      </c>
    </row>
    <row r="69" spans="1:11" x14ac:dyDescent="0.35">
      <c r="B69" s="60" t="s">
        <v>299</v>
      </c>
      <c r="C69" s="60"/>
      <c r="D69" s="167">
        <f>D67/D68</f>
        <v>1.9694714269750628</v>
      </c>
      <c r="E69" s="167">
        <f t="shared" ref="E69:K69" si="45">E67/E68</f>
        <v>1.891536578422679</v>
      </c>
      <c r="F69" s="167">
        <f t="shared" si="45"/>
        <v>1.8828299458102244</v>
      </c>
      <c r="G69" s="167">
        <f t="shared" ca="1" si="45"/>
        <v>1.7291666224557798</v>
      </c>
      <c r="H69" s="167">
        <f t="shared" ca="1" si="45"/>
        <v>1.6044665706152599</v>
      </c>
      <c r="I69" s="167">
        <f t="shared" ca="1" si="45"/>
        <v>1.5191122826665979</v>
      </c>
      <c r="J69" s="167">
        <f t="shared" ca="1" si="45"/>
        <v>1.4250481187694635</v>
      </c>
      <c r="K69" s="167">
        <f t="shared" ca="1" si="45"/>
        <v>1.3371234711208291</v>
      </c>
    </row>
    <row r="71" spans="1:11" x14ac:dyDescent="0.35">
      <c r="B71" t="s">
        <v>300</v>
      </c>
      <c r="D71" s="171" t="s">
        <v>304</v>
      </c>
      <c r="E71" s="111">
        <f>E54-D54</f>
        <v>5237.413999999997</v>
      </c>
      <c r="F71" s="111">
        <f t="shared" ref="F71:K71" si="46">F54-E54</f>
        <v>5492.6255999999994</v>
      </c>
      <c r="G71" s="111">
        <f t="shared" si="46"/>
        <v>5971.2734000000055</v>
      </c>
      <c r="H71" s="111">
        <f t="shared" si="46"/>
        <v>6655.6842495000092</v>
      </c>
      <c r="I71" s="111">
        <f t="shared" si="46"/>
        <v>7363.3723602205573</v>
      </c>
      <c r="J71" s="111">
        <f t="shared" si="46"/>
        <v>7138.4217897766212</v>
      </c>
      <c r="K71" s="111">
        <f t="shared" si="46"/>
        <v>7820.3355856092385</v>
      </c>
    </row>
    <row r="72" spans="1:11" x14ac:dyDescent="0.35">
      <c r="B72" t="s">
        <v>301</v>
      </c>
      <c r="D72" s="171" t="s">
        <v>304</v>
      </c>
      <c r="E72" s="111">
        <f>E58-D58</f>
        <v>3758.9311200000011</v>
      </c>
      <c r="F72" s="111">
        <f t="shared" ref="F72:K72" si="47">F58-E58</f>
        <v>3045.7184799999995</v>
      </c>
      <c r="G72" s="111">
        <f t="shared" ca="1" si="47"/>
        <v>6193.3670912903581</v>
      </c>
      <c r="H72" s="111">
        <f t="shared" ca="1" si="47"/>
        <v>7026.0282967384992</v>
      </c>
      <c r="I72" s="111">
        <f t="shared" ca="1" si="47"/>
        <v>7322.3936859012028</v>
      </c>
      <c r="J72" s="111">
        <f t="shared" ca="1" si="47"/>
        <v>8400.4630514976307</v>
      </c>
      <c r="K72" s="111">
        <f t="shared" ca="1" si="47"/>
        <v>9779.3225506702147</v>
      </c>
    </row>
    <row r="73" spans="1:11" x14ac:dyDescent="0.35">
      <c r="B73" s="60" t="s">
        <v>302</v>
      </c>
      <c r="C73" s="60"/>
      <c r="D73" s="172" t="s">
        <v>304</v>
      </c>
      <c r="E73" s="168">
        <f t="shared" ref="E73" si="48">E71/E72</f>
        <v>1.3933253451050189</v>
      </c>
      <c r="F73" s="168">
        <f t="shared" ref="F73" si="49">F71/F72</f>
        <v>1.8033924133395285</v>
      </c>
      <c r="G73" s="168">
        <f t="shared" ref="G73" ca="1" si="50">G71/G72</f>
        <v>0.96414007307871674</v>
      </c>
      <c r="H73" s="168">
        <f t="shared" ref="H73" ca="1" si="51">H71/H72</f>
        <v>0.94728970172089899</v>
      </c>
      <c r="I73" s="168">
        <f t="shared" ref="I73" ca="1" si="52">I71/I72</f>
        <v>1.0055963495104416</v>
      </c>
      <c r="J73" s="168">
        <f t="shared" ref="J73" ca="1" si="53">J71/J72</f>
        <v>0.84976527436829652</v>
      </c>
      <c r="K73" s="168">
        <f t="shared" ref="K73" ca="1" si="54">K71/K72</f>
        <v>0.79968070846311134</v>
      </c>
    </row>
    <row r="75" spans="1:11" x14ac:dyDescent="0.35">
      <c r="B75" t="s">
        <v>193</v>
      </c>
      <c r="D75" s="112">
        <f>'3 Statement Model'!D11*-1</f>
        <v>24230.696</v>
      </c>
      <c r="E75" s="112">
        <f>'3 Statement Model'!E11*-1</f>
        <v>26556.941599999998</v>
      </c>
      <c r="F75" s="112">
        <f>'3 Statement Model'!F11*-1</f>
        <v>28130.3904</v>
      </c>
      <c r="G75" s="112">
        <f>'3 Statement Model'!G11*-1</f>
        <v>30164.898249999998</v>
      </c>
      <c r="H75" s="112">
        <f>'3 Statement Model'!H11*-1</f>
        <v>32368.842189125004</v>
      </c>
      <c r="I75" s="112">
        <f>'3 Statement Model'!I11*-1</f>
        <v>34736.840967417069</v>
      </c>
      <c r="J75" s="112">
        <f>'3 Statement Model'!J11*-1</f>
        <v>36790.201480673277</v>
      </c>
      <c r="K75" s="112">
        <f>'3 Statement Model'!K11*-1</f>
        <v>38971.938387975075</v>
      </c>
    </row>
    <row r="76" spans="1:11" x14ac:dyDescent="0.35">
      <c r="B76" t="s">
        <v>5</v>
      </c>
      <c r="D76" s="111">
        <f>D15</f>
        <v>4686.8108000000002</v>
      </c>
      <c r="E76" s="111">
        <f t="shared" ref="E76:K76" si="55">E15</f>
        <v>5155.4859999999999</v>
      </c>
      <c r="F76" s="111">
        <f t="shared" si="55"/>
        <v>5592.6248000000005</v>
      </c>
      <c r="G76" s="111">
        <f t="shared" si="55"/>
        <v>6000.7099095604108</v>
      </c>
      <c r="H76" s="111">
        <f t="shared" si="55"/>
        <v>6439.1409669442373</v>
      </c>
      <c r="I76" s="111">
        <f t="shared" si="55"/>
        <v>6910.2074899259333</v>
      </c>
      <c r="J76" s="111">
        <f t="shared" si="55"/>
        <v>7318.682952951789</v>
      </c>
      <c r="K76" s="111">
        <f t="shared" si="55"/>
        <v>7752.6963605620604</v>
      </c>
    </row>
    <row r="77" spans="1:11" x14ac:dyDescent="0.35">
      <c r="B77" s="60" t="s">
        <v>303</v>
      </c>
      <c r="C77" s="60"/>
      <c r="D77" s="167">
        <f>D75/D76</f>
        <v>5.1699752846861236</v>
      </c>
      <c r="E77" s="167">
        <f t="shared" ref="E77:K77" si="56">E75/E76</f>
        <v>5.1512004105917457</v>
      </c>
      <c r="F77" s="167">
        <f t="shared" si="56"/>
        <v>5.0299083893487717</v>
      </c>
      <c r="G77" s="167">
        <f t="shared" si="56"/>
        <v>5.0268882689931207</v>
      </c>
      <c r="H77" s="167">
        <f t="shared" si="56"/>
        <v>5.0268882689931198</v>
      </c>
      <c r="I77" s="167">
        <f t="shared" si="56"/>
        <v>5.0268882689931198</v>
      </c>
      <c r="J77" s="167">
        <f t="shared" si="56"/>
        <v>5.0268882689931207</v>
      </c>
      <c r="K77" s="167">
        <f t="shared" si="56"/>
        <v>5.0268882689931198</v>
      </c>
    </row>
    <row r="79" spans="1:11" ht="18.5" x14ac:dyDescent="0.45">
      <c r="A79" s="46" t="s">
        <v>52</v>
      </c>
      <c r="B79" s="54" t="s">
        <v>305</v>
      </c>
      <c r="C79" s="124"/>
      <c r="D79" s="125"/>
      <c r="E79" s="126"/>
      <c r="F79" s="126"/>
      <c r="G79" s="126"/>
      <c r="H79" s="126"/>
      <c r="I79" s="126"/>
      <c r="J79" s="126"/>
      <c r="K79" s="126"/>
    </row>
    <row r="81" spans="2:11" x14ac:dyDescent="0.35">
      <c r="B81" t="s">
        <v>283</v>
      </c>
      <c r="D81" s="111">
        <f>D31</f>
        <v>7487.2</v>
      </c>
      <c r="E81" s="111">
        <f t="shared" ref="E81:K81" si="57">E68</f>
        <v>27788.51152</v>
      </c>
      <c r="F81" s="111">
        <f t="shared" si="57"/>
        <v>30834.23</v>
      </c>
      <c r="G81" s="111">
        <f t="shared" ca="1" si="57"/>
        <v>37027.597091290358</v>
      </c>
      <c r="H81" s="111">
        <f t="shared" ca="1" si="57"/>
        <v>44053.625388028857</v>
      </c>
      <c r="I81" s="111">
        <f t="shared" ca="1" si="57"/>
        <v>51376.01907393006</v>
      </c>
      <c r="J81" s="111">
        <f t="shared" ca="1" si="57"/>
        <v>59776.48212542769</v>
      </c>
      <c r="K81" s="111">
        <f t="shared" ca="1" si="57"/>
        <v>69555.804676097905</v>
      </c>
    </row>
    <row r="82" spans="2:11" x14ac:dyDescent="0.35">
      <c r="B82" t="s">
        <v>289</v>
      </c>
      <c r="D82" s="111">
        <f>D45</f>
        <v>5845.5314400000034</v>
      </c>
      <c r="E82" s="111">
        <f t="shared" ref="E82:K82" si="58">E72</f>
        <v>3758.9311200000011</v>
      </c>
      <c r="F82" s="111">
        <f t="shared" si="58"/>
        <v>3045.7184799999995</v>
      </c>
      <c r="G82" s="111">
        <f t="shared" ca="1" si="58"/>
        <v>6193.3670912903581</v>
      </c>
      <c r="H82" s="111">
        <f t="shared" ca="1" si="58"/>
        <v>7026.0282967384992</v>
      </c>
      <c r="I82" s="111">
        <f t="shared" ca="1" si="58"/>
        <v>7322.3936859012028</v>
      </c>
      <c r="J82" s="111">
        <f t="shared" ca="1" si="58"/>
        <v>8400.4630514976307</v>
      </c>
      <c r="K82" s="111">
        <f t="shared" ca="1" si="58"/>
        <v>9779.3225506702147</v>
      </c>
    </row>
    <row r="83" spans="2:11" x14ac:dyDescent="0.35">
      <c r="B83" s="60" t="s">
        <v>306</v>
      </c>
      <c r="C83" s="60"/>
      <c r="D83" s="167">
        <f>D81/D82</f>
        <v>1.2808416269505165</v>
      </c>
      <c r="E83" s="167">
        <f t="shared" ref="E83" si="59">E81/E82</f>
        <v>7.3926631355777523</v>
      </c>
      <c r="F83" s="167">
        <f t="shared" ref="F83" si="60">F81/F82</f>
        <v>10.123795157850571</v>
      </c>
      <c r="G83" s="167">
        <f t="shared" ref="G83" ca="1" si="61">G81/G82</f>
        <v>5.9785891172770507</v>
      </c>
      <c r="H83" s="167">
        <f t="shared" ref="H83" ca="1" si="62">H81/H82</f>
        <v>6.2700609117214441</v>
      </c>
      <c r="I83" s="167">
        <f t="shared" ref="I83" ca="1" si="63">I81/I82</f>
        <v>7.0162874707011822</v>
      </c>
      <c r="J83" s="167">
        <f t="shared" ref="J83" ca="1" si="64">J81/J82</f>
        <v>7.1158556092655827</v>
      </c>
      <c r="K83" s="167">
        <f t="shared" ref="K83" ca="1" si="65">K81/K82</f>
        <v>7.112538145224689</v>
      </c>
    </row>
    <row r="85" spans="2:11" x14ac:dyDescent="0.35">
      <c r="B85" t="s">
        <v>290</v>
      </c>
      <c r="D85" s="171" t="s">
        <v>304</v>
      </c>
      <c r="E85" s="111">
        <f>E49</f>
        <v>6342.0503999999983</v>
      </c>
      <c r="F85" s="111">
        <f t="shared" ref="F85:K85" si="66">F49</f>
        <v>8514.1812000000009</v>
      </c>
      <c r="G85" s="111">
        <f t="shared" si="66"/>
        <v>10096.605030000006</v>
      </c>
      <c r="H85" s="111">
        <f t="shared" si="66"/>
        <v>11693.595659531007</v>
      </c>
      <c r="I85" s="111">
        <f t="shared" si="66"/>
        <v>13085.771904226984</v>
      </c>
      <c r="J85" s="111">
        <f t="shared" si="66"/>
        <v>15294.740257971271</v>
      </c>
      <c r="K85" s="111">
        <f t="shared" si="66"/>
        <v>17787.07682841206</v>
      </c>
    </row>
    <row r="86" spans="2:11" x14ac:dyDescent="0.35">
      <c r="B86" t="s">
        <v>309</v>
      </c>
      <c r="D86" s="171" t="s">
        <v>304</v>
      </c>
      <c r="E86" s="112">
        <f>SUM('3 Statement Model'!E29:E30)*-1</f>
        <v>307.81800000000004</v>
      </c>
      <c r="F86" s="112">
        <f>SUM('3 Statement Model'!F29:F30)*-1</f>
        <v>278.71199999999999</v>
      </c>
      <c r="G86" s="112">
        <f ca="1">SUM('3 Statement Model'!G29:G30)*-1</f>
        <v>653.16719999999998</v>
      </c>
      <c r="H86" s="112">
        <f ca="1">SUM('3 Statement Model'!H29:H30)*-1</f>
        <v>707.05439999999999</v>
      </c>
      <c r="I86" s="112">
        <f ca="1">SUM('3 Statement Model'!I29:I30)*-1</f>
        <v>733.37160000000006</v>
      </c>
      <c r="J86" s="112">
        <f ca="1">SUM('3 Statement Model'!J29:J30)*-1</f>
        <v>733.16880000000003</v>
      </c>
      <c r="K86" s="112">
        <f ca="1">SUM('3 Statement Model'!K29:K30)*-1</f>
        <v>732.44600000000003</v>
      </c>
    </row>
    <row r="87" spans="2:11" x14ac:dyDescent="0.35">
      <c r="B87" t="s">
        <v>307</v>
      </c>
      <c r="D87" s="171" t="s">
        <v>304</v>
      </c>
      <c r="E87" s="112">
        <f>('3 Statement Model'!E68-'3 Statement Model'!D68)*-1</f>
        <v>646.80000000000018</v>
      </c>
      <c r="F87" s="112">
        <f>('3 Statement Model'!F68-'3 Statement Model'!E68)*-1</f>
        <v>646.80000000000018</v>
      </c>
      <c r="G87" s="112">
        <f>Schedules!F328</f>
        <v>80</v>
      </c>
      <c r="H87" s="112">
        <f>Schedules!G328</f>
        <v>130</v>
      </c>
      <c r="I87" s="112">
        <f>Schedules!H328</f>
        <v>130</v>
      </c>
      <c r="J87" s="112">
        <f>Schedules!I328</f>
        <v>130</v>
      </c>
      <c r="K87" s="112">
        <f>Schedules!J328</f>
        <v>130</v>
      </c>
    </row>
    <row r="88" spans="2:11" x14ac:dyDescent="0.35">
      <c r="B88" s="60" t="s">
        <v>308</v>
      </c>
      <c r="C88" s="60"/>
      <c r="D88" s="172" t="s">
        <v>304</v>
      </c>
      <c r="E88" s="168">
        <f>E85/SUM(E86:E87)</f>
        <v>6.6435478903603293</v>
      </c>
      <c r="F88" s="168">
        <f t="shared" ref="F88:K88" si="67">F85/SUM(F86:F87)</f>
        <v>9.1994282083862764</v>
      </c>
      <c r="G88" s="168">
        <f t="shared" ca="1" si="67"/>
        <v>13.771217574926983</v>
      </c>
      <c r="H88" s="168">
        <f t="shared" ca="1" si="67"/>
        <v>13.9699351195466</v>
      </c>
      <c r="I88" s="168">
        <f t="shared" ca="1" si="67"/>
        <v>15.156592948189381</v>
      </c>
      <c r="J88" s="168">
        <f t="shared" ca="1" si="67"/>
        <v>17.719292284395902</v>
      </c>
      <c r="K88" s="168">
        <f t="shared" ca="1" si="67"/>
        <v>20.623989013123211</v>
      </c>
    </row>
    <row r="90" spans="2:11" x14ac:dyDescent="0.35">
      <c r="B90" t="s">
        <v>290</v>
      </c>
      <c r="D90" s="111">
        <f>D49</f>
        <v>4835.0338400000028</v>
      </c>
      <c r="E90" s="111">
        <f t="shared" ref="E90:K90" si="68">E49</f>
        <v>6342.0503999999983</v>
      </c>
      <c r="F90" s="111">
        <f t="shared" si="68"/>
        <v>8514.1812000000009</v>
      </c>
      <c r="G90" s="111">
        <f t="shared" si="68"/>
        <v>10096.605030000006</v>
      </c>
      <c r="H90" s="111">
        <f t="shared" si="68"/>
        <v>11693.595659531007</v>
      </c>
      <c r="I90" s="111">
        <f t="shared" si="68"/>
        <v>13085.771904226984</v>
      </c>
      <c r="J90" s="111">
        <f t="shared" si="68"/>
        <v>15294.740257971271</v>
      </c>
      <c r="K90" s="111">
        <f t="shared" si="68"/>
        <v>17787.07682841206</v>
      </c>
    </row>
    <row r="91" spans="2:11" x14ac:dyDescent="0.35">
      <c r="B91" t="s">
        <v>309</v>
      </c>
      <c r="D91" s="112">
        <f>SUM('3 Statement Model'!D29:D30)*-1</f>
        <v>336.92399999999998</v>
      </c>
      <c r="E91" s="112">
        <f>SUM('3 Statement Model'!E29:E30)*-1</f>
        <v>307.81800000000004</v>
      </c>
      <c r="F91" s="112">
        <f>SUM('3 Statement Model'!F29:F30)*-1</f>
        <v>278.71199999999999</v>
      </c>
      <c r="G91" s="112">
        <f ca="1">SUM('3 Statement Model'!G29:G30)*-1</f>
        <v>653.16719999999998</v>
      </c>
      <c r="H91" s="112">
        <f ca="1">SUM('3 Statement Model'!H29:H30)*-1</f>
        <v>707.05439999999999</v>
      </c>
      <c r="I91" s="112">
        <f ca="1">SUM('3 Statement Model'!I29:I30)*-1</f>
        <v>733.37160000000006</v>
      </c>
      <c r="J91" s="112">
        <f ca="1">SUM('3 Statement Model'!J29:J30)*-1</f>
        <v>733.16880000000003</v>
      </c>
      <c r="K91" s="112">
        <f ca="1">SUM('3 Statement Model'!K29:K30)*-1</f>
        <v>732.44600000000003</v>
      </c>
    </row>
    <row r="92" spans="2:11" x14ac:dyDescent="0.35">
      <c r="B92" s="60" t="s">
        <v>310</v>
      </c>
      <c r="C92" s="60"/>
      <c r="D92" s="167">
        <f>D90/D91</f>
        <v>14.350517742873773</v>
      </c>
      <c r="E92" s="167">
        <f t="shared" ref="E92:K92" si="69">E90/E91</f>
        <v>20.603247373447939</v>
      </c>
      <c r="F92" s="167">
        <f t="shared" si="69"/>
        <v>30.548312236286925</v>
      </c>
      <c r="G92" s="167">
        <f t="shared" ca="1" si="69"/>
        <v>15.457918018541051</v>
      </c>
      <c r="H92" s="167">
        <f t="shared" ca="1" si="69"/>
        <v>16.538466714203331</v>
      </c>
      <c r="I92" s="167">
        <f t="shared" ca="1" si="69"/>
        <v>17.843303318845429</v>
      </c>
      <c r="J92" s="167">
        <f t="shared" ca="1" si="69"/>
        <v>20.861144470374722</v>
      </c>
      <c r="K92" s="167">
        <f t="shared" ca="1" si="69"/>
        <v>24.284488997703665</v>
      </c>
    </row>
  </sheetData>
  <sheetProtection algorithmName="SHA-512" hashValue="LlEhKsX/oFCYsSDhqcNmwOLs2xfRgzMDqab/Y8h3740UnMiRSBBH36o/2kNVL00UqH+/x5E2jC8LBN8xAtE5iA==" saltValue="oPqWt+jT6lHI60dEgXuQPA==" spinCount="100000" sheet="1" objects="1" scenarios="1"/>
  <mergeCells count="2">
    <mergeCell ref="D5:F5"/>
    <mergeCell ref="G5:K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Drop Down 1">
              <controlPr defaultSize="0" autoLine="0" autoPict="0">
                <anchor moveWithCells="1">
                  <from>
                    <xdr:col>6</xdr:col>
                    <xdr:colOff>19050</xdr:colOff>
                    <xdr:row>1</xdr:row>
                    <xdr:rowOff>222250</xdr:rowOff>
                  </from>
                  <to>
                    <xdr:col>7</xdr:col>
                    <xdr:colOff>304800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ADB3-1A41-4B99-87E7-927EB69541E9}">
  <sheetPr>
    <tabColor theme="5" tint="-0.249977111117893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0E48-1CB2-4E0E-9D8E-A87BAE0EDCE4}">
  <dimension ref="A2:M96"/>
  <sheetViews>
    <sheetView showGridLines="0" zoomScale="90" zoomScaleNormal="90" workbookViewId="0">
      <pane ySplit="6" topLeftCell="A7" activePane="bottomLeft" state="frozen"/>
      <selection pane="bottomLeft" activeCell="M11" sqref="M11"/>
    </sheetView>
  </sheetViews>
  <sheetFormatPr defaultRowHeight="14.5" x14ac:dyDescent="0.35"/>
  <cols>
    <col min="1" max="1" width="1.81640625" customWidth="1"/>
    <col min="2" max="2" width="43.6328125" customWidth="1"/>
    <col min="3" max="3" width="8.81640625" customWidth="1"/>
    <col min="4" max="4" width="13" customWidth="1"/>
    <col min="5" max="10" width="13.1796875" customWidth="1"/>
    <col min="11" max="11" width="1.81640625" customWidth="1"/>
  </cols>
  <sheetData>
    <row r="2" spans="1:13" ht="21" x14ac:dyDescent="0.5">
      <c r="B2" s="143" t="str">
        <f>'Audited Balance Sheet'!$B$2</f>
        <v>Mrs Sector Foods</v>
      </c>
      <c r="C2" s="44"/>
      <c r="D2" s="44"/>
      <c r="M2" s="175" t="s">
        <v>319</v>
      </c>
    </row>
    <row r="3" spans="1:13" ht="15" customHeight="1" x14ac:dyDescent="0.45">
      <c r="B3" s="46" t="s">
        <v>311</v>
      </c>
      <c r="C3" s="46"/>
      <c r="D3" s="46"/>
      <c r="E3" t="s">
        <v>57</v>
      </c>
      <c r="F3">
        <v>1</v>
      </c>
      <c r="M3" s="175" t="s">
        <v>320</v>
      </c>
    </row>
    <row r="4" spans="1:13" ht="15" customHeight="1" x14ac:dyDescent="0.45">
      <c r="B4" s="46"/>
      <c r="C4" s="46"/>
      <c r="D4" s="46"/>
      <c r="M4" s="175" t="s">
        <v>321</v>
      </c>
    </row>
    <row r="5" spans="1:13" x14ac:dyDescent="0.35">
      <c r="E5" s="174" t="s">
        <v>49</v>
      </c>
      <c r="F5" s="190" t="s">
        <v>50</v>
      </c>
      <c r="G5" s="190"/>
      <c r="H5" s="190"/>
      <c r="I5" s="190"/>
      <c r="J5" s="190"/>
      <c r="K5" s="120"/>
    </row>
    <row r="6" spans="1:13" x14ac:dyDescent="0.35">
      <c r="B6" s="47" t="s">
        <v>48</v>
      </c>
      <c r="C6" s="47"/>
      <c r="D6" s="47"/>
      <c r="E6" s="50">
        <f>'3 Statement Model'!F6</f>
        <v>2023</v>
      </c>
      <c r="F6" s="50">
        <f t="shared" ref="F6:J6" si="0">E6+1</f>
        <v>2024</v>
      </c>
      <c r="G6" s="50">
        <f t="shared" si="0"/>
        <v>2025</v>
      </c>
      <c r="H6" s="50">
        <f t="shared" si="0"/>
        <v>2026</v>
      </c>
      <c r="I6" s="50">
        <f t="shared" si="0"/>
        <v>2027</v>
      </c>
      <c r="J6" s="50">
        <f t="shared" si="0"/>
        <v>2028</v>
      </c>
      <c r="K6" s="119"/>
    </row>
    <row r="7" spans="1:13" x14ac:dyDescent="0.35">
      <c r="B7" s="122"/>
      <c r="C7" s="122"/>
      <c r="D7" s="122"/>
      <c r="E7" s="119"/>
      <c r="F7" s="119"/>
      <c r="G7" s="119"/>
      <c r="H7" s="119"/>
      <c r="I7" s="119"/>
      <c r="J7" s="119"/>
      <c r="K7" s="119"/>
    </row>
    <row r="8" spans="1:13" ht="18.5" x14ac:dyDescent="0.45">
      <c r="A8" s="46" t="s">
        <v>52</v>
      </c>
      <c r="B8" s="54" t="s">
        <v>312</v>
      </c>
      <c r="C8" s="124"/>
      <c r="D8" s="124"/>
      <c r="E8" s="126"/>
      <c r="F8" s="126"/>
      <c r="G8" s="126"/>
      <c r="H8" s="126"/>
      <c r="I8" s="126"/>
      <c r="J8" s="126"/>
      <c r="K8" s="119"/>
    </row>
    <row r="10" spans="1:13" x14ac:dyDescent="0.35">
      <c r="B10" t="s">
        <v>289</v>
      </c>
      <c r="F10" s="112">
        <f>'3 Statement Model'!G21</f>
        <v>11560.386825000005</v>
      </c>
      <c r="G10" s="112">
        <f>'3 Statement Model'!H21</f>
        <v>13652.155439277507</v>
      </c>
      <c r="H10" s="112">
        <f>'3 Statement Model'!I21</f>
        <v>15590.653275241528</v>
      </c>
      <c r="I10" s="112">
        <f>'3 Statement Model'!J21</f>
        <v>18395.912172782297</v>
      </c>
      <c r="J10" s="112">
        <f>'3 Statement Model'!K21</f>
        <v>21539.281636118831</v>
      </c>
    </row>
    <row r="11" spans="1:13" x14ac:dyDescent="0.35">
      <c r="B11" s="85" t="s">
        <v>165</v>
      </c>
      <c r="F11" s="112">
        <f>'3 Statement Model'!G24</f>
        <v>-1103.5072250000001</v>
      </c>
      <c r="G11" s="112">
        <f>'3 Statement Model'!H24</f>
        <v>-1456.9200712475001</v>
      </c>
      <c r="H11" s="112">
        <f>'3 Statement Model'!I24</f>
        <v>-1847.1497792961031</v>
      </c>
      <c r="I11" s="112">
        <f>'3 Statement Model'!J24</f>
        <v>-2273.0715962935892</v>
      </c>
      <c r="J11" s="112">
        <f>'3 Statement Model'!K24</f>
        <v>-2738.0950912191215</v>
      </c>
    </row>
    <row r="12" spans="1:13" x14ac:dyDescent="0.35">
      <c r="B12" s="85" t="s">
        <v>181</v>
      </c>
      <c r="F12" s="112">
        <f>'3 Statement Model'!G25</f>
        <v>-360.27457000000004</v>
      </c>
      <c r="G12" s="112">
        <f>'3 Statement Model'!H25</f>
        <v>-501.63970849900005</v>
      </c>
      <c r="H12" s="112">
        <f>'3 Statement Model'!I25</f>
        <v>-657.73159171844122</v>
      </c>
      <c r="I12" s="112">
        <f>'3 Statement Model'!J25</f>
        <v>-828.10031851743565</v>
      </c>
      <c r="J12" s="112">
        <f>'3 Statement Model'!K25</f>
        <v>-1014.1097164876485</v>
      </c>
    </row>
    <row r="13" spans="1:13" x14ac:dyDescent="0.35">
      <c r="B13" s="60" t="s">
        <v>290</v>
      </c>
      <c r="C13" s="59"/>
      <c r="D13" s="59"/>
      <c r="E13" s="59"/>
      <c r="F13" s="115">
        <f>SUM(F10:F12)</f>
        <v>10096.605030000006</v>
      </c>
      <c r="G13" s="115">
        <f t="shared" ref="G13:J13" si="1">SUM(G10:G12)</f>
        <v>11693.595659531007</v>
      </c>
      <c r="H13" s="115">
        <f t="shared" si="1"/>
        <v>13085.771904226984</v>
      </c>
      <c r="I13" s="115">
        <f t="shared" si="1"/>
        <v>15294.740257971271</v>
      </c>
      <c r="J13" s="115">
        <f t="shared" si="1"/>
        <v>17787.07682841206</v>
      </c>
    </row>
    <row r="14" spans="1:13" x14ac:dyDescent="0.35">
      <c r="B14" s="85" t="s">
        <v>313</v>
      </c>
      <c r="F14" s="112">
        <f>'3 Statement Model'!G33</f>
        <v>-2360.8594575000002</v>
      </c>
      <c r="G14" s="112">
        <f>'3 Statement Model'!H33</f>
        <v>-2746.6353148827511</v>
      </c>
      <c r="H14" s="112">
        <f>'3 Statement Model'!I33</f>
        <v>-3088.1000760567445</v>
      </c>
      <c r="I14" s="112">
        <f>'3 Statement Model'!J33</f>
        <v>-3640.3928644928183</v>
      </c>
      <c r="J14" s="112">
        <f>'3 Statement Model'!K33</f>
        <v>-4263.6577071030151</v>
      </c>
    </row>
    <row r="15" spans="1:13" x14ac:dyDescent="0.35">
      <c r="B15" s="60" t="s">
        <v>314</v>
      </c>
      <c r="C15" s="59"/>
      <c r="D15" s="59"/>
      <c r="E15" s="59"/>
      <c r="F15" s="115">
        <f>SUM(F13:F14)</f>
        <v>7735.7455725000054</v>
      </c>
      <c r="G15" s="115">
        <f t="shared" ref="G15:J15" si="2">SUM(G13:G14)</f>
        <v>8946.9603446482561</v>
      </c>
      <c r="H15" s="115">
        <f t="shared" si="2"/>
        <v>9997.6718281702397</v>
      </c>
      <c r="I15" s="115">
        <f t="shared" si="2"/>
        <v>11654.347393478452</v>
      </c>
      <c r="J15" s="115">
        <f t="shared" si="2"/>
        <v>13523.419121309045</v>
      </c>
    </row>
    <row r="16" spans="1:13" x14ac:dyDescent="0.35">
      <c r="B16" s="85" t="s">
        <v>239</v>
      </c>
      <c r="F16" s="111">
        <f>F11*-1</f>
        <v>1103.5072250000001</v>
      </c>
      <c r="G16" s="111">
        <f t="shared" ref="G16:J16" si="3">G11*-1</f>
        <v>1456.9200712475001</v>
      </c>
      <c r="H16" s="111">
        <f t="shared" si="3"/>
        <v>1847.1497792961031</v>
      </c>
      <c r="I16" s="111">
        <f t="shared" si="3"/>
        <v>2273.0715962935892</v>
      </c>
      <c r="J16" s="111">
        <f t="shared" si="3"/>
        <v>2738.0950912191215</v>
      </c>
    </row>
    <row r="17" spans="1:10" x14ac:dyDescent="0.35">
      <c r="B17" s="85" t="s">
        <v>240</v>
      </c>
      <c r="F17" s="111">
        <f>F12*-1</f>
        <v>360.27457000000004</v>
      </c>
      <c r="G17" s="111">
        <f t="shared" ref="G17:J17" si="4">G12*-1</f>
        <v>501.63970849900005</v>
      </c>
      <c r="H17" s="111">
        <f t="shared" si="4"/>
        <v>657.73159171844122</v>
      </c>
      <c r="I17" s="111">
        <f t="shared" si="4"/>
        <v>828.10031851743565</v>
      </c>
      <c r="J17" s="111">
        <f t="shared" si="4"/>
        <v>1014.1097164876485</v>
      </c>
    </row>
    <row r="18" spans="1:10" x14ac:dyDescent="0.35">
      <c r="F18" s="112"/>
      <c r="G18" s="112"/>
      <c r="H18" s="112"/>
      <c r="I18" s="112"/>
      <c r="J18" s="112"/>
    </row>
    <row r="19" spans="1:10" x14ac:dyDescent="0.35">
      <c r="B19" s="173" t="s">
        <v>315</v>
      </c>
      <c r="F19" s="112"/>
      <c r="G19" s="112"/>
      <c r="H19" s="112"/>
      <c r="I19" s="112"/>
      <c r="J19" s="112"/>
    </row>
    <row r="20" spans="1:10" x14ac:dyDescent="0.35">
      <c r="B20" s="85" t="s">
        <v>253</v>
      </c>
      <c r="F20" s="112">
        <f>'3 Statement Model'!G97</f>
        <v>-514.49445126856256</v>
      </c>
      <c r="G20" s="112">
        <f>'3 Statement Model'!H97</f>
        <v>-570.19215793921308</v>
      </c>
      <c r="H20" s="112">
        <f>'3 Statement Model'!I97</f>
        <v>-631.97778588135225</v>
      </c>
      <c r="I20" s="112">
        <f>'3 Statement Model'!J97</f>
        <v>-616.66287998299708</v>
      </c>
      <c r="J20" s="112">
        <f>'3 Statement Model'!K97</f>
        <v>-676.68763129762669</v>
      </c>
    </row>
    <row r="21" spans="1:10" x14ac:dyDescent="0.35">
      <c r="B21" s="85" t="s">
        <v>316</v>
      </c>
      <c r="F21" s="112">
        <f>'3 Statement Model'!G100</f>
        <v>-3201.3442500000001</v>
      </c>
      <c r="G21" s="112">
        <f>'3 Statement Model'!H100</f>
        <v>-3534.1284624750006</v>
      </c>
      <c r="H21" s="112">
        <f>'3 Statement Model'!I100</f>
        <v>-3902.2970804860288</v>
      </c>
      <c r="I21" s="112">
        <f>'3 Statement Model'!J100</f>
        <v>-4259.2181699748598</v>
      </c>
      <c r="J21" s="112">
        <f>'3 Statement Model'!K100</f>
        <v>-4650.2349492553212</v>
      </c>
    </row>
    <row r="22" spans="1:10" x14ac:dyDescent="0.35">
      <c r="B22" s="85" t="s">
        <v>317</v>
      </c>
      <c r="F22" s="112">
        <f>'3 Statement Model'!G101</f>
        <v>-1920.80655</v>
      </c>
      <c r="G22" s="112">
        <f>'3 Statement Model'!H101</f>
        <v>-2120.4770774850003</v>
      </c>
      <c r="H22" s="112">
        <f>'3 Statement Model'!I101</f>
        <v>-2341.3782482916172</v>
      </c>
      <c r="I22" s="112">
        <f>'3 Statement Model'!J101</f>
        <v>-2555.5309019849155</v>
      </c>
      <c r="J22" s="112">
        <f>'3 Statement Model'!K101</f>
        <v>-2790.1409695531929</v>
      </c>
    </row>
    <row r="23" spans="1:10" x14ac:dyDescent="0.35">
      <c r="B23" s="92" t="s">
        <v>312</v>
      </c>
      <c r="C23" s="59"/>
      <c r="D23" s="59"/>
      <c r="E23" s="59"/>
      <c r="F23" s="115">
        <f>SUM(F15:F22)</f>
        <v>3562.8821162314407</v>
      </c>
      <c r="G23" s="115">
        <f t="shared" ref="G23:J23" si="5">SUM(G15:G22)</f>
        <v>4680.7224264955421</v>
      </c>
      <c r="H23" s="115">
        <f t="shared" si="5"/>
        <v>5626.9000845257851</v>
      </c>
      <c r="I23" s="115">
        <f t="shared" si="5"/>
        <v>7324.1073563467053</v>
      </c>
      <c r="J23" s="115">
        <f t="shared" si="5"/>
        <v>9158.5603789096731</v>
      </c>
    </row>
    <row r="25" spans="1:10" x14ac:dyDescent="0.35">
      <c r="B25" s="85" t="s">
        <v>318</v>
      </c>
      <c r="C25" s="77" t="s">
        <v>350</v>
      </c>
      <c r="D25" s="176" t="s">
        <v>320</v>
      </c>
      <c r="F25">
        <f>IF($D$25="Yes",(F6-E6)/2,F6-E6)</f>
        <v>0.5</v>
      </c>
      <c r="G25">
        <f>F25+1</f>
        <v>1.5</v>
      </c>
      <c r="H25">
        <f t="shared" ref="H25:J25" si="6">G25+1</f>
        <v>2.5</v>
      </c>
      <c r="I25">
        <f t="shared" si="6"/>
        <v>3.5</v>
      </c>
      <c r="J25">
        <f t="shared" si="6"/>
        <v>4.5</v>
      </c>
    </row>
    <row r="26" spans="1:10" x14ac:dyDescent="0.35">
      <c r="B26" s="85" t="s">
        <v>322</v>
      </c>
      <c r="C26" s="181">
        <f>C42</f>
        <v>0.11047999999999999</v>
      </c>
    </row>
    <row r="27" spans="1:10" x14ac:dyDescent="0.35">
      <c r="B27" s="85" t="s">
        <v>323</v>
      </c>
      <c r="F27" s="177">
        <f>1/(1+$C$26)^F25</f>
        <v>0.94895283893701443</v>
      </c>
      <c r="G27" s="177">
        <f t="shared" ref="G27:J27" si="7">1/(1+$C$26)^G25</f>
        <v>0.85454293543063764</v>
      </c>
      <c r="H27" s="177">
        <f t="shared" si="7"/>
        <v>0.76952573250363598</v>
      </c>
      <c r="I27" s="177">
        <f t="shared" si="7"/>
        <v>0.69296676437543769</v>
      </c>
      <c r="J27" s="177">
        <f t="shared" si="7"/>
        <v>0.62402453387313395</v>
      </c>
    </row>
    <row r="29" spans="1:10" ht="15" thickBot="1" x14ac:dyDescent="0.4">
      <c r="B29" s="68" t="s">
        <v>324</v>
      </c>
      <c r="C29" s="67"/>
      <c r="D29" s="68"/>
      <c r="E29" s="68"/>
      <c r="F29" s="117">
        <f>F23*F27</f>
        <v>3381.0070989957435</v>
      </c>
      <c r="G29" s="117">
        <f t="shared" ref="G29:J29" si="8">G23*G27</f>
        <v>3999.8782822735175</v>
      </c>
      <c r="H29" s="117">
        <f t="shared" si="8"/>
        <v>4330.0444092694761</v>
      </c>
      <c r="I29" s="117">
        <f t="shared" si="8"/>
        <v>5075.3629766659169</v>
      </c>
      <c r="J29" s="117">
        <f t="shared" si="8"/>
        <v>5715.1663713980615</v>
      </c>
    </row>
    <row r="31" spans="1:10" ht="18.5" x14ac:dyDescent="0.45">
      <c r="A31" s="46" t="s">
        <v>52</v>
      </c>
      <c r="B31" s="54" t="s">
        <v>326</v>
      </c>
      <c r="C31" s="124"/>
      <c r="D31" s="124"/>
      <c r="E31" s="126"/>
      <c r="F31" s="126"/>
      <c r="G31" s="126"/>
      <c r="H31" s="126"/>
      <c r="I31" s="126"/>
      <c r="J31" s="126"/>
    </row>
    <row r="33" spans="1:10" x14ac:dyDescent="0.35">
      <c r="B33" t="s">
        <v>327</v>
      </c>
      <c r="C33" s="179">
        <v>4.58E-2</v>
      </c>
    </row>
    <row r="34" spans="1:10" x14ac:dyDescent="0.35">
      <c r="B34" t="s">
        <v>328</v>
      </c>
      <c r="C34" s="99">
        <v>0.06</v>
      </c>
    </row>
    <row r="35" spans="1:10" x14ac:dyDescent="0.35">
      <c r="B35" t="s">
        <v>329</v>
      </c>
      <c r="C35">
        <v>1.01</v>
      </c>
    </row>
    <row r="36" spans="1:10" x14ac:dyDescent="0.35">
      <c r="B36" s="60" t="s">
        <v>330</v>
      </c>
      <c r="C36" s="180">
        <f>C33+(C34*C35)</f>
        <v>0.10639999999999999</v>
      </c>
    </row>
    <row r="37" spans="1:10" x14ac:dyDescent="0.35">
      <c r="B37" t="s">
        <v>332</v>
      </c>
      <c r="C37" s="99">
        <v>0.7</v>
      </c>
    </row>
    <row r="39" spans="1:10" x14ac:dyDescent="0.35">
      <c r="B39" s="45" t="s">
        <v>331</v>
      </c>
      <c r="C39" s="178">
        <v>0.12</v>
      </c>
    </row>
    <row r="40" spans="1:10" x14ac:dyDescent="0.35">
      <c r="B40" t="s">
        <v>333</v>
      </c>
      <c r="C40" s="99">
        <v>0.3</v>
      </c>
    </row>
    <row r="42" spans="1:10" ht="15" thickBot="1" x14ac:dyDescent="0.4">
      <c r="B42" s="68" t="s">
        <v>325</v>
      </c>
      <c r="C42" s="182">
        <f>C36*C37+C39*C40</f>
        <v>0.11047999999999999</v>
      </c>
    </row>
    <row r="44" spans="1:10" ht="18.5" x14ac:dyDescent="0.45">
      <c r="A44" s="46" t="s">
        <v>52</v>
      </c>
      <c r="B44" s="54" t="s">
        <v>334</v>
      </c>
      <c r="C44" s="124"/>
      <c r="D44" s="124"/>
      <c r="E44" s="126"/>
      <c r="F44" s="126"/>
      <c r="G44" s="126"/>
      <c r="H44" s="126"/>
      <c r="I44" s="126"/>
      <c r="J44" s="126"/>
    </row>
    <row r="46" spans="1:10" x14ac:dyDescent="0.35">
      <c r="B46" s="85" t="s">
        <v>337</v>
      </c>
      <c r="C46" s="100">
        <v>0.04</v>
      </c>
    </row>
    <row r="47" spans="1:10" x14ac:dyDescent="0.35">
      <c r="B47" s="85" t="s">
        <v>336</v>
      </c>
      <c r="C47" s="111">
        <f>J29*(1+C46)</f>
        <v>5943.7730262539844</v>
      </c>
    </row>
    <row r="48" spans="1:10" x14ac:dyDescent="0.35">
      <c r="B48" s="60" t="s">
        <v>338</v>
      </c>
      <c r="C48" s="115">
        <f>C47/(C42-C46)</f>
        <v>84332.761439471986</v>
      </c>
    </row>
    <row r="49" spans="1:10" x14ac:dyDescent="0.35">
      <c r="B49" s="85" t="s">
        <v>339</v>
      </c>
      <c r="C49" s="111">
        <f>C48*J27</f>
        <v>52625.712147500708</v>
      </c>
    </row>
    <row r="50" spans="1:10" x14ac:dyDescent="0.35">
      <c r="B50" s="85" t="s">
        <v>340</v>
      </c>
      <c r="C50" s="111">
        <f>SUM(F29:J29)</f>
        <v>22501.459138602717</v>
      </c>
    </row>
    <row r="51" spans="1:10" x14ac:dyDescent="0.35">
      <c r="B51" s="60" t="s">
        <v>341</v>
      </c>
      <c r="C51" s="115">
        <f>SUM(C49:C50)</f>
        <v>75127.171286103432</v>
      </c>
    </row>
    <row r="52" spans="1:10" x14ac:dyDescent="0.35">
      <c r="B52" s="85" t="s">
        <v>344</v>
      </c>
      <c r="C52" s="112">
        <f>'3 Statement Model'!F68*-1</f>
        <v>-6193.5999999999995</v>
      </c>
    </row>
    <row r="53" spans="1:10" x14ac:dyDescent="0.35">
      <c r="B53" s="85" t="s">
        <v>345</v>
      </c>
      <c r="C53" s="112">
        <f>'3 Statement Model'!F46</f>
        <v>2181.2644</v>
      </c>
    </row>
    <row r="54" spans="1:10" ht="15" thickBot="1" x14ac:dyDescent="0.4">
      <c r="B54" s="68" t="s">
        <v>346</v>
      </c>
      <c r="C54" s="117">
        <f>SUM(C51:C53)</f>
        <v>71114.835686103426</v>
      </c>
    </row>
    <row r="55" spans="1:10" x14ac:dyDescent="0.35">
      <c r="C55" s="112"/>
    </row>
    <row r="56" spans="1:10" x14ac:dyDescent="0.35">
      <c r="B56" s="147" t="s">
        <v>342</v>
      </c>
      <c r="C56" s="183">
        <f>$C$51/$J$10</f>
        <v>3.4879144325836773</v>
      </c>
    </row>
    <row r="57" spans="1:10" x14ac:dyDescent="0.35">
      <c r="B57" s="147" t="s">
        <v>343</v>
      </c>
      <c r="C57" s="183">
        <f>$C$51/'3 Statement Model'!$F$21</f>
        <v>7.8834151764114546</v>
      </c>
    </row>
    <row r="58" spans="1:10" x14ac:dyDescent="0.35">
      <c r="C58" s="112"/>
    </row>
    <row r="59" spans="1:10" ht="18.5" x14ac:dyDescent="0.45">
      <c r="A59" s="46" t="s">
        <v>52</v>
      </c>
      <c r="B59" s="54" t="s">
        <v>347</v>
      </c>
      <c r="C59" s="124"/>
      <c r="D59" s="124"/>
      <c r="E59" s="126"/>
      <c r="F59" s="126"/>
      <c r="G59" s="126"/>
      <c r="H59" s="126"/>
      <c r="I59" s="126"/>
      <c r="J59" s="126"/>
    </row>
    <row r="61" spans="1:10" x14ac:dyDescent="0.35">
      <c r="B61" s="85" t="s">
        <v>348</v>
      </c>
      <c r="C61" s="184">
        <v>4</v>
      </c>
    </row>
    <row r="62" spans="1:10" x14ac:dyDescent="0.35">
      <c r="B62" s="85" t="s">
        <v>349</v>
      </c>
      <c r="C62" s="111">
        <f>J10</f>
        <v>21539.281636118831</v>
      </c>
    </row>
    <row r="63" spans="1:10" x14ac:dyDescent="0.35">
      <c r="B63" s="60" t="s">
        <v>338</v>
      </c>
      <c r="C63" s="115">
        <f>C62*C61</f>
        <v>86157.126544475323</v>
      </c>
    </row>
    <row r="64" spans="1:10" x14ac:dyDescent="0.35">
      <c r="B64" s="85" t="s">
        <v>339</v>
      </c>
      <c r="C64" s="111">
        <f>C63*J27</f>
        <v>53764.16073176483</v>
      </c>
    </row>
    <row r="65" spans="1:10" x14ac:dyDescent="0.35">
      <c r="B65" s="85" t="s">
        <v>340</v>
      </c>
      <c r="C65" s="111">
        <f>SUM(F29:J29)</f>
        <v>22501.459138602717</v>
      </c>
    </row>
    <row r="66" spans="1:10" x14ac:dyDescent="0.35">
      <c r="B66" s="60" t="s">
        <v>341</v>
      </c>
      <c r="C66" s="115">
        <f>SUM(C64:C65)</f>
        <v>76265.619870367547</v>
      </c>
    </row>
    <row r="67" spans="1:10" x14ac:dyDescent="0.35">
      <c r="B67" s="85" t="s">
        <v>344</v>
      </c>
      <c r="C67" s="111">
        <f>C52</f>
        <v>-6193.5999999999995</v>
      </c>
    </row>
    <row r="68" spans="1:10" x14ac:dyDescent="0.35">
      <c r="B68" s="85" t="s">
        <v>345</v>
      </c>
      <c r="C68" s="111">
        <f>C53</f>
        <v>2181.2644</v>
      </c>
    </row>
    <row r="69" spans="1:10" ht="15" thickBot="1" x14ac:dyDescent="0.4">
      <c r="B69" s="68" t="s">
        <v>346</v>
      </c>
      <c r="C69" s="117">
        <f>SUM(C66:C68)</f>
        <v>72253.284270367541</v>
      </c>
    </row>
    <row r="70" spans="1:10" x14ac:dyDescent="0.35">
      <c r="C70" s="112"/>
    </row>
    <row r="71" spans="1:10" x14ac:dyDescent="0.35">
      <c r="B71" s="147" t="s">
        <v>342</v>
      </c>
      <c r="C71" s="183">
        <f>C66/C62</f>
        <v>3.5407689615088702</v>
      </c>
    </row>
    <row r="72" spans="1:10" x14ac:dyDescent="0.35">
      <c r="B72" s="147" t="s">
        <v>343</v>
      </c>
      <c r="C72" s="183">
        <f>C66/'3 Statement Model'!F21</f>
        <v>8.0028774520849701</v>
      </c>
    </row>
    <row r="74" spans="1:10" ht="18.5" x14ac:dyDescent="0.45">
      <c r="A74" s="46" t="s">
        <v>52</v>
      </c>
      <c r="B74" s="54" t="s">
        <v>352</v>
      </c>
      <c r="C74" s="124"/>
      <c r="D74" s="124"/>
      <c r="E74" s="126"/>
      <c r="F74" s="126"/>
      <c r="G74" s="126"/>
      <c r="H74" s="126"/>
      <c r="I74" s="126"/>
      <c r="J74" s="126"/>
    </row>
    <row r="76" spans="1:10" x14ac:dyDescent="0.35">
      <c r="D76" s="193" t="s">
        <v>335</v>
      </c>
      <c r="E76" s="193"/>
      <c r="F76" s="193"/>
      <c r="G76" s="193"/>
      <c r="H76" s="193"/>
      <c r="I76" s="193"/>
      <c r="J76" s="193"/>
    </row>
    <row r="77" spans="1:10" x14ac:dyDescent="0.35">
      <c r="C77" s="185">
        <f>C54</f>
        <v>71114.835686103426</v>
      </c>
      <c r="D77" s="186">
        <v>0.02</v>
      </c>
      <c r="E77" s="187">
        <f>D77+1%</f>
        <v>0.03</v>
      </c>
      <c r="F77" s="187">
        <f t="shared" ref="F77:I77" si="9">E77+1%</f>
        <v>0.04</v>
      </c>
      <c r="G77" s="187">
        <f t="shared" si="9"/>
        <v>0.05</v>
      </c>
      <c r="H77" s="187">
        <f t="shared" si="9"/>
        <v>6.0000000000000005E-2</v>
      </c>
      <c r="I77" s="187">
        <f t="shared" si="9"/>
        <v>7.0000000000000007E-2</v>
      </c>
      <c r="J77" s="187">
        <f>I77+0.5%</f>
        <v>7.5000000000000011E-2</v>
      </c>
    </row>
    <row r="78" spans="1:10" x14ac:dyDescent="0.35">
      <c r="B78" s="192" t="s">
        <v>351</v>
      </c>
      <c r="C78" s="186">
        <v>0.08</v>
      </c>
      <c r="D78" s="111">
        <f t="dataTable" ref="D78:J84" dt2D="1" dtr="1" r1="C46" r2="C42" ca="1"/>
        <v>98187.345915777682</v>
      </c>
      <c r="E78" s="111">
        <v>114680.96324763611</v>
      </c>
      <c r="F78" s="111">
        <v>139421.38924542372</v>
      </c>
      <c r="G78" s="111">
        <v>180655.43257506972</v>
      </c>
      <c r="H78" s="111">
        <v>263123.51923436177</v>
      </c>
      <c r="I78" s="111">
        <v>510527.77921223798</v>
      </c>
      <c r="J78" s="111">
        <v>1005336.2991679916</v>
      </c>
    </row>
    <row r="79" spans="1:10" x14ac:dyDescent="0.35">
      <c r="B79" s="192"/>
      <c r="C79" s="186">
        <f>C78+1%</f>
        <v>0.09</v>
      </c>
      <c r="D79" s="111">
        <v>81126.910521000638</v>
      </c>
      <c r="E79" s="111">
        <v>92070.654865100179</v>
      </c>
      <c r="F79" s="111">
        <v>107391.89694683957</v>
      </c>
      <c r="G79" s="111">
        <v>130373.76006944866</v>
      </c>
      <c r="H79" s="111">
        <v>168676.86527379713</v>
      </c>
      <c r="I79" s="111">
        <v>245283.07568249409</v>
      </c>
      <c r="J79" s="111">
        <v>321889.28609119111</v>
      </c>
    </row>
    <row r="80" spans="1:10" x14ac:dyDescent="0.35">
      <c r="B80" s="192"/>
      <c r="C80" s="186">
        <f t="shared" ref="C80:C84" si="10">C79+1%</f>
        <v>9.9999999999999992E-2</v>
      </c>
      <c r="D80" s="111">
        <v>68609.345382402869</v>
      </c>
      <c r="E80" s="111">
        <v>76238.87396964895</v>
      </c>
      <c r="F80" s="111">
        <v>86411.578752643749</v>
      </c>
      <c r="G80" s="111">
        <v>100653.36544883647</v>
      </c>
      <c r="H80" s="111">
        <v>122016.04549312554</v>
      </c>
      <c r="I80" s="111">
        <v>157620.51223360735</v>
      </c>
      <c r="J80" s="111">
        <v>186104.0856259928</v>
      </c>
    </row>
    <row r="81" spans="1:10" x14ac:dyDescent="0.35">
      <c r="B81" s="192"/>
      <c r="C81" s="186">
        <f t="shared" si="10"/>
        <v>0.10999999999999999</v>
      </c>
      <c r="D81" s="111">
        <v>59092.772931515392</v>
      </c>
      <c r="E81" s="111">
        <v>64612.414620896168</v>
      </c>
      <c r="F81" s="188">
        <v>71709.096792957149</v>
      </c>
      <c r="G81" s="111">
        <v>81171.339689038476</v>
      </c>
      <c r="H81" s="111">
        <v>94418.479743552336</v>
      </c>
      <c r="I81" s="111">
        <v>114289.18982532312</v>
      </c>
      <c r="J81" s="111">
        <v>128482.55416944511</v>
      </c>
    </row>
    <row r="82" spans="1:10" x14ac:dyDescent="0.35">
      <c r="B82" s="192"/>
      <c r="C82" s="186">
        <f t="shared" si="10"/>
        <v>0.11999999999999998</v>
      </c>
      <c r="D82" s="111">
        <v>51654.855697193438</v>
      </c>
      <c r="E82" s="111">
        <v>55764.843396613433</v>
      </c>
      <c r="F82" s="111">
        <v>60902.328020888424</v>
      </c>
      <c r="G82" s="111">
        <v>67507.665394956304</v>
      </c>
      <c r="H82" s="111">
        <v>76314.781893713443</v>
      </c>
      <c r="I82" s="111">
        <v>88644.74499197345</v>
      </c>
      <c r="J82" s="111">
        <v>96864.72039081344</v>
      </c>
    </row>
    <row r="83" spans="1:10" x14ac:dyDescent="0.35">
      <c r="B83" s="192"/>
      <c r="C83" s="186">
        <f t="shared" si="10"/>
        <v>0.12999999999999998</v>
      </c>
      <c r="D83" s="111">
        <v>45710.891786693224</v>
      </c>
      <c r="E83" s="111">
        <v>48842.785246425534</v>
      </c>
      <c r="F83" s="111">
        <v>52670.655030542803</v>
      </c>
      <c r="G83" s="111">
        <v>57455.492260689389</v>
      </c>
      <c r="H83" s="111">
        <v>63607.425842306424</v>
      </c>
      <c r="I83" s="111">
        <v>71810.00395112914</v>
      </c>
      <c r="J83" s="111">
        <v>77029.826384016313</v>
      </c>
    </row>
    <row r="84" spans="1:10" x14ac:dyDescent="0.35">
      <c r="B84" s="192"/>
      <c r="C84" s="186">
        <f t="shared" si="10"/>
        <v>0.13999999999999999</v>
      </c>
      <c r="D84" s="111">
        <v>40872.895688448792</v>
      </c>
      <c r="E84" s="111">
        <v>43305.180741648954</v>
      </c>
      <c r="F84" s="111">
        <v>46223.922805489135</v>
      </c>
      <c r="G84" s="111">
        <v>49791.274216849364</v>
      </c>
      <c r="H84" s="111">
        <v>54250.463481049635</v>
      </c>
      <c r="I84" s="111">
        <v>59983.70682073573</v>
      </c>
      <c r="J84" s="111">
        <v>63511.856568234849</v>
      </c>
    </row>
    <row r="86" spans="1:10" ht="18.5" x14ac:dyDescent="0.45">
      <c r="A86" s="46" t="s">
        <v>52</v>
      </c>
      <c r="B86" s="54" t="s">
        <v>353</v>
      </c>
      <c r="C86" s="124"/>
      <c r="D86" s="124"/>
      <c r="E86" s="126"/>
      <c r="F86" s="126"/>
      <c r="G86" s="126"/>
      <c r="H86" s="126"/>
      <c r="I86" s="126"/>
      <c r="J86" s="126"/>
    </row>
    <row r="88" spans="1:10" x14ac:dyDescent="0.35">
      <c r="D88" s="193" t="s">
        <v>348</v>
      </c>
      <c r="E88" s="193"/>
      <c r="F88" s="193"/>
      <c r="G88" s="193"/>
      <c r="H88" s="193"/>
      <c r="I88" s="193"/>
      <c r="J88" s="193"/>
    </row>
    <row r="89" spans="1:10" x14ac:dyDescent="0.35">
      <c r="C89" s="185">
        <f>C69</f>
        <v>72253.284270367541</v>
      </c>
      <c r="D89" s="189">
        <v>3</v>
      </c>
      <c r="E89" s="189">
        <f>D89+0.5</f>
        <v>3.5</v>
      </c>
      <c r="F89" s="189">
        <f t="shared" ref="F89:J89" si="11">E89+0.5</f>
        <v>4</v>
      </c>
      <c r="G89" s="189">
        <f t="shared" si="11"/>
        <v>4.5</v>
      </c>
      <c r="H89" s="189">
        <f t="shared" si="11"/>
        <v>5</v>
      </c>
      <c r="I89" s="189">
        <f t="shared" si="11"/>
        <v>5.5</v>
      </c>
      <c r="J89" s="189">
        <f t="shared" si="11"/>
        <v>6</v>
      </c>
    </row>
    <row r="90" spans="1:10" x14ac:dyDescent="0.35">
      <c r="B90" s="192" t="s">
        <v>351</v>
      </c>
      <c r="C90" s="186">
        <v>0.08</v>
      </c>
      <c r="D90" s="111">
        <f t="dataTable" ref="D90:J96" dt2D="1" dtr="1" r1="C61" r2="C42"/>
        <v>66003.910266609921</v>
      </c>
      <c r="E90" s="111">
        <v>73621.092039970492</v>
      </c>
      <c r="F90" s="111">
        <v>81238.273813331078</v>
      </c>
      <c r="G90" s="111">
        <v>88855.455586691663</v>
      </c>
      <c r="H90" s="111">
        <v>96472.637360052249</v>
      </c>
      <c r="I90" s="111">
        <v>104089.81913341284</v>
      </c>
      <c r="J90" s="111">
        <v>111707.00090677345</v>
      </c>
    </row>
    <row r="91" spans="1:10" x14ac:dyDescent="0.35">
      <c r="B91" s="192"/>
      <c r="C91" s="186">
        <f>C90+1%</f>
        <v>0.09</v>
      </c>
      <c r="D91" s="111">
        <v>63527.628129594836</v>
      </c>
      <c r="E91" s="111">
        <v>70835.34947198884</v>
      </c>
      <c r="F91" s="111">
        <v>78143.070814382882</v>
      </c>
      <c r="G91" s="111">
        <v>85450.792156776923</v>
      </c>
      <c r="H91" s="111">
        <v>92758.513499170935</v>
      </c>
      <c r="I91" s="111">
        <v>100066.23484156498</v>
      </c>
      <c r="J91" s="111">
        <v>107373.95618395902</v>
      </c>
    </row>
    <row r="92" spans="1:10" x14ac:dyDescent="0.35">
      <c r="B92" s="192"/>
      <c r="C92" s="186">
        <f t="shared" ref="C92:C96" si="12">C91+1%</f>
        <v>9.9999999999999992E-2</v>
      </c>
      <c r="D92" s="111">
        <v>61167.704451778176</v>
      </c>
      <c r="E92" s="111">
        <v>68181.193707725135</v>
      </c>
      <c r="F92" s="111">
        <v>75194.682963672094</v>
      </c>
      <c r="G92" s="111">
        <v>82208.172219619053</v>
      </c>
      <c r="H92" s="111">
        <v>89221.661475566012</v>
      </c>
      <c r="I92" s="111">
        <v>96235.150731512971</v>
      </c>
      <c r="J92" s="111">
        <v>103248.63998745993</v>
      </c>
    </row>
    <row r="93" spans="1:10" x14ac:dyDescent="0.35">
      <c r="B93" s="192"/>
      <c r="C93" s="186">
        <f t="shared" si="12"/>
        <v>0.10999999999999999</v>
      </c>
      <c r="D93" s="111">
        <v>58917.594102635565</v>
      </c>
      <c r="E93" s="111">
        <v>65651.201863189694</v>
      </c>
      <c r="F93" s="188">
        <v>72384.8096237438</v>
      </c>
      <c r="G93" s="111">
        <v>79118.417384297936</v>
      </c>
      <c r="H93" s="111">
        <v>85852.025144852058</v>
      </c>
      <c r="I93" s="111">
        <v>92585.632905406179</v>
      </c>
      <c r="J93" s="111">
        <v>99319.2406659603</v>
      </c>
    </row>
    <row r="94" spans="1:10" x14ac:dyDescent="0.35">
      <c r="B94" s="192"/>
      <c r="C94" s="186">
        <f t="shared" si="12"/>
        <v>0.11999999999999998</v>
      </c>
      <c r="D94" s="111">
        <v>56771.176880282015</v>
      </c>
      <c r="E94" s="111">
        <v>63238.433845421117</v>
      </c>
      <c r="F94" s="111">
        <v>69705.69081056022</v>
      </c>
      <c r="G94" s="111">
        <v>76172.947775699329</v>
      </c>
      <c r="H94" s="111">
        <v>82640.204740838424</v>
      </c>
      <c r="I94" s="111">
        <v>89107.461705977548</v>
      </c>
      <c r="J94" s="111">
        <v>95574.718671116643</v>
      </c>
    </row>
    <row r="95" spans="1:10" x14ac:dyDescent="0.35">
      <c r="B95" s="192"/>
      <c r="C95" s="186">
        <f t="shared" si="12"/>
        <v>0.12999999999999998</v>
      </c>
      <c r="D95" s="111">
        <v>54722.726370215634</v>
      </c>
      <c r="E95" s="111">
        <v>60936.396926063695</v>
      </c>
      <c r="F95" s="111">
        <v>67150.06748191177</v>
      </c>
      <c r="G95" s="111">
        <v>73363.738037759802</v>
      </c>
      <c r="H95" s="111">
        <v>79577.408593607877</v>
      </c>
      <c r="I95" s="111">
        <v>85791.079149455938</v>
      </c>
      <c r="J95" s="111">
        <v>92004.749705303984</v>
      </c>
    </row>
    <row r="96" spans="1:10" x14ac:dyDescent="0.35">
      <c r="B96" s="192"/>
      <c r="C96" s="186">
        <f t="shared" si="12"/>
        <v>0.13999999999999999</v>
      </c>
      <c r="D96" s="111">
        <v>52766.881339834574</v>
      </c>
      <c r="E96" s="111">
        <v>58739.013202332455</v>
      </c>
      <c r="F96" s="111">
        <v>64711.145064830336</v>
      </c>
      <c r="G96" s="111">
        <v>70683.276927328203</v>
      </c>
      <c r="H96" s="111">
        <v>76655.408789826077</v>
      </c>
      <c r="I96" s="111">
        <v>82627.540652323965</v>
      </c>
      <c r="J96" s="111">
        <v>88599.672514821854</v>
      </c>
    </row>
  </sheetData>
  <sheetProtection algorithmName="SHA-512" hashValue="6kLKP//gKXwYNXCGKAo4Tk6tjV7Tm798sl7P6FbUe3HbcjwHPEtLRYIturuIx0MOXilJnBMDem/wcb2DEvBqGw==" saltValue="R4Js21+HPW3DVoCaVq17nA==" spinCount="100000" sheet="1" objects="1" scenarios="1"/>
  <mergeCells count="5">
    <mergeCell ref="B90:B96"/>
    <mergeCell ref="F5:J5"/>
    <mergeCell ref="B78:B84"/>
    <mergeCell ref="D76:J76"/>
    <mergeCell ref="D88:J88"/>
  </mergeCells>
  <dataValidations count="1">
    <dataValidation type="list" allowBlank="1" showInputMessage="1" showErrorMessage="1" sqref="D25" xr:uid="{7B2C8B55-24FC-4B18-9149-A73996A398C6}">
      <formula1>$M$3:$M$4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3" name="Drop Down 1">
              <controlPr defaultSize="0" autoLine="0" autoPict="0">
                <anchor moveWithCells="1">
                  <from>
                    <xdr:col>5</xdr:col>
                    <xdr:colOff>19050</xdr:colOff>
                    <xdr:row>1</xdr:row>
                    <xdr:rowOff>222250</xdr:rowOff>
                  </from>
                  <to>
                    <xdr:col>6</xdr:col>
                    <xdr:colOff>304800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B852-6100-4B10-86AB-3D7BC877751C}">
  <sheetPr>
    <tabColor rgb="FFEE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3E4C-E15E-4DB4-8FCF-AD1D51D9457C}">
  <sheetPr>
    <tabColor rgb="FFEE0000"/>
  </sheetPr>
  <dimension ref="A1:K198"/>
  <sheetViews>
    <sheetView showGridLines="0" workbookViewId="0">
      <pane ySplit="6" topLeftCell="A24" activePane="bottomLeft" state="frozen"/>
      <selection pane="bottomLeft" activeCell="G13" sqref="G13"/>
    </sheetView>
  </sheetViews>
  <sheetFormatPr defaultColWidth="7.54296875" defaultRowHeight="13" x14ac:dyDescent="0.3"/>
  <cols>
    <col min="1" max="1" width="2.26953125" style="4" customWidth="1"/>
    <col min="2" max="2" width="38.1796875" style="4" bestFit="1" customWidth="1"/>
    <col min="3" max="19" width="14.1796875" style="4" customWidth="1"/>
    <col min="20" max="16384" width="7.54296875" style="4"/>
  </cols>
  <sheetData>
    <row r="1" spans="1:11" ht="14.5" x14ac:dyDescent="0.35">
      <c r="A1" s="1"/>
      <c r="B1" s="2"/>
      <c r="C1" s="2"/>
      <c r="D1" s="1"/>
      <c r="E1" s="1"/>
      <c r="F1" s="1"/>
      <c r="G1" s="1"/>
      <c r="H1" s="3"/>
      <c r="I1" s="3"/>
    </row>
    <row r="2" spans="1:11" ht="14.5" x14ac:dyDescent="0.35">
      <c r="A2" s="1"/>
      <c r="B2" s="5" t="s">
        <v>46</v>
      </c>
      <c r="C2" s="2"/>
      <c r="D2" s="6"/>
      <c r="E2" s="2"/>
      <c r="F2" s="2"/>
      <c r="G2" s="1"/>
      <c r="H2" s="3"/>
      <c r="I2" s="3"/>
    </row>
    <row r="3" spans="1:11" ht="14.5" x14ac:dyDescent="0.35">
      <c r="A3" s="1"/>
      <c r="B3" s="2" t="s">
        <v>1</v>
      </c>
      <c r="C3" s="2"/>
      <c r="D3" s="1"/>
      <c r="E3" s="1"/>
      <c r="F3" s="1"/>
      <c r="G3" s="1"/>
      <c r="H3" s="3"/>
      <c r="I3" s="3"/>
    </row>
    <row r="4" spans="1:11" ht="14.5" x14ac:dyDescent="0.35">
      <c r="A4" s="1"/>
      <c r="B4" s="7"/>
      <c r="C4" s="2"/>
      <c r="D4" s="1"/>
      <c r="E4" s="1"/>
      <c r="F4" s="1"/>
      <c r="G4" s="1"/>
      <c r="H4" s="3"/>
      <c r="I4" s="3"/>
    </row>
    <row r="5" spans="1:11" ht="14.5" x14ac:dyDescent="0.35">
      <c r="A5" s="1"/>
      <c r="B5" s="8"/>
      <c r="C5" s="2"/>
      <c r="D5" s="1"/>
      <c r="E5" s="1"/>
      <c r="F5" s="1"/>
      <c r="G5" s="1"/>
      <c r="H5" s="3"/>
      <c r="I5" s="3"/>
    </row>
    <row r="6" spans="1:11" ht="14.5" x14ac:dyDescent="0.35">
      <c r="A6" s="1"/>
      <c r="B6" s="7" t="s">
        <v>2</v>
      </c>
      <c r="C6" s="9"/>
      <c r="D6" s="10"/>
      <c r="E6" s="11">
        <v>2021</v>
      </c>
      <c r="F6" s="11">
        <v>2022</v>
      </c>
      <c r="G6" s="11">
        <v>2023</v>
      </c>
      <c r="H6" s="3"/>
      <c r="I6" s="3"/>
    </row>
    <row r="8" spans="1:11" ht="14.5" x14ac:dyDescent="0.35">
      <c r="B8" s="12" t="s">
        <v>3</v>
      </c>
    </row>
    <row r="9" spans="1:11" x14ac:dyDescent="0.3">
      <c r="B9" s="13" t="s">
        <v>4</v>
      </c>
      <c r="D9" s="14"/>
      <c r="E9" s="15">
        <v>1471.2348</v>
      </c>
      <c r="F9" s="15">
        <v>1956.0604000000001</v>
      </c>
      <c r="G9" s="15">
        <v>2181.2644</v>
      </c>
    </row>
    <row r="10" spans="1:11" x14ac:dyDescent="0.3">
      <c r="B10" s="13" t="s">
        <v>5</v>
      </c>
      <c r="D10" s="14"/>
      <c r="E10" s="15">
        <v>4686.8108000000002</v>
      </c>
      <c r="F10" s="15">
        <v>5155.4859999999999</v>
      </c>
      <c r="G10" s="15">
        <v>5592.6248000000005</v>
      </c>
    </row>
    <row r="11" spans="1:11" x14ac:dyDescent="0.3">
      <c r="B11" s="13" t="s">
        <v>6</v>
      </c>
      <c r="D11" s="14"/>
      <c r="E11" s="15">
        <v>5476.2791999999999</v>
      </c>
      <c r="F11" s="15">
        <v>6023.9031999999997</v>
      </c>
      <c r="G11" s="15">
        <v>6550.7708000000002</v>
      </c>
    </row>
    <row r="12" spans="1:11" x14ac:dyDescent="0.3">
      <c r="B12" s="13" t="s">
        <v>7</v>
      </c>
      <c r="D12" s="14"/>
      <c r="E12" s="15">
        <v>1660.1396</v>
      </c>
      <c r="F12" s="15">
        <v>1915.0964000000001</v>
      </c>
      <c r="G12" s="15">
        <v>2186.9875999999999</v>
      </c>
    </row>
    <row r="13" spans="1:11" x14ac:dyDescent="0.3">
      <c r="B13" s="16" t="s">
        <v>8</v>
      </c>
      <c r="C13" s="17"/>
      <c r="D13" s="18"/>
      <c r="E13" s="19">
        <v>97.60799999999999</v>
      </c>
      <c r="F13" s="19">
        <v>130.0068</v>
      </c>
      <c r="G13" s="19">
        <v>151.15520000000001</v>
      </c>
    </row>
    <row r="14" spans="1:11" x14ac:dyDescent="0.3">
      <c r="B14" s="20" t="s">
        <v>9</v>
      </c>
      <c r="C14" s="21"/>
      <c r="D14" s="22"/>
      <c r="E14" s="23">
        <f>SUM(E9:E13)</f>
        <v>13392.072400000001</v>
      </c>
      <c r="F14" s="23">
        <f>SUM(F9:F13)</f>
        <v>15180.552799999999</v>
      </c>
      <c r="G14" s="23">
        <f>SUM(G9:G13)</f>
        <v>16662.802800000001</v>
      </c>
    </row>
    <row r="15" spans="1:11" x14ac:dyDescent="0.3">
      <c r="B15" s="24"/>
      <c r="D15" s="14"/>
      <c r="E15" s="25"/>
      <c r="F15" s="25"/>
      <c r="G15" s="25"/>
    </row>
    <row r="16" spans="1:11" x14ac:dyDescent="0.3">
      <c r="B16" s="13" t="s">
        <v>10</v>
      </c>
      <c r="D16" s="14"/>
      <c r="E16" s="15">
        <v>7007</v>
      </c>
      <c r="F16" s="15">
        <v>8309.3220000000001</v>
      </c>
      <c r="G16" s="15">
        <v>9491.2999999999993</v>
      </c>
      <c r="H16" s="3"/>
      <c r="I16" s="3"/>
      <c r="J16" s="3"/>
      <c r="K16" s="3"/>
    </row>
    <row r="17" spans="2:10" x14ac:dyDescent="0.3">
      <c r="B17" s="13" t="s">
        <v>11</v>
      </c>
      <c r="D17" s="14"/>
      <c r="E17" s="15">
        <v>2500.078</v>
      </c>
      <c r="F17" s="15">
        <v>2598.1015199999997</v>
      </c>
      <c r="G17" s="15">
        <v>2854.5636</v>
      </c>
      <c r="H17" s="3"/>
      <c r="I17" s="26"/>
      <c r="J17" s="26"/>
    </row>
    <row r="18" spans="2:10" x14ac:dyDescent="0.3">
      <c r="B18" s="13" t="s">
        <v>12</v>
      </c>
      <c r="D18" s="14"/>
      <c r="E18" s="15">
        <v>0</v>
      </c>
      <c r="F18" s="15">
        <v>0</v>
      </c>
      <c r="G18" s="15">
        <v>0</v>
      </c>
    </row>
    <row r="19" spans="2:10" x14ac:dyDescent="0.3">
      <c r="B19" s="16" t="s">
        <v>13</v>
      </c>
      <c r="C19" s="17"/>
      <c r="D19" s="18"/>
      <c r="E19" s="19">
        <v>1130.43</v>
      </c>
      <c r="F19" s="19">
        <v>1700.5352</v>
      </c>
      <c r="G19" s="19">
        <v>1825.5636</v>
      </c>
    </row>
    <row r="20" spans="2:10" x14ac:dyDescent="0.3">
      <c r="B20" s="21" t="s">
        <v>14</v>
      </c>
      <c r="D20" s="14"/>
      <c r="E20" s="23">
        <f>SUM(E16:E19)</f>
        <v>10637.508</v>
      </c>
      <c r="F20" s="23">
        <f>SUM(F16:F19)</f>
        <v>12607.958720000001</v>
      </c>
      <c r="G20" s="23">
        <f>SUM(G16:G19)</f>
        <v>14171.427199999998</v>
      </c>
    </row>
    <row r="21" spans="2:10" x14ac:dyDescent="0.3">
      <c r="B21" s="13"/>
      <c r="D21" s="14"/>
      <c r="E21" s="15"/>
      <c r="F21" s="15"/>
      <c r="G21" s="15"/>
    </row>
    <row r="22" spans="2:10" ht="13.5" thickBot="1" x14ac:dyDescent="0.35">
      <c r="B22" s="27" t="s">
        <v>15</v>
      </c>
      <c r="C22" s="27"/>
      <c r="D22" s="28"/>
      <c r="E22" s="29">
        <f>E14+E20</f>
        <v>24029.580399999999</v>
      </c>
      <c r="F22" s="29">
        <f>F14+F20</f>
        <v>27788.51152</v>
      </c>
      <c r="G22" s="29">
        <f>G14+G20</f>
        <v>30834.23</v>
      </c>
    </row>
    <row r="23" spans="2:10" x14ac:dyDescent="0.3">
      <c r="D23" s="14"/>
      <c r="E23" s="15"/>
      <c r="F23" s="15"/>
      <c r="G23" s="15"/>
    </row>
    <row r="24" spans="2:10" x14ac:dyDescent="0.3">
      <c r="D24" s="14"/>
      <c r="E24" s="15"/>
      <c r="F24" s="15"/>
      <c r="G24" s="15"/>
    </row>
    <row r="25" spans="2:10" ht="14.5" x14ac:dyDescent="0.35">
      <c r="B25" s="12" t="s">
        <v>16</v>
      </c>
      <c r="D25" s="14"/>
      <c r="E25" s="15"/>
      <c r="F25" s="15"/>
      <c r="G25" s="15"/>
    </row>
    <row r="26" spans="2:10" x14ac:dyDescent="0.3">
      <c r="B26" s="30" t="s">
        <v>17</v>
      </c>
      <c r="D26" s="14"/>
      <c r="E26" s="15">
        <v>4691.1032000000005</v>
      </c>
      <c r="F26" s="15">
        <v>5396.8403999999991</v>
      </c>
      <c r="G26" s="15">
        <v>6055.8119999999999</v>
      </c>
    </row>
    <row r="27" spans="2:10" x14ac:dyDescent="0.3">
      <c r="B27" s="30" t="s">
        <v>18</v>
      </c>
      <c r="D27" s="14"/>
      <c r="E27" s="15">
        <v>2628.1640000000002</v>
      </c>
      <c r="F27" s="15">
        <v>3061.0104000000001</v>
      </c>
      <c r="G27" s="15">
        <v>3343.4071999999996</v>
      </c>
    </row>
    <row r="28" spans="2:10" x14ac:dyDescent="0.3">
      <c r="B28" s="31" t="s">
        <v>19</v>
      </c>
      <c r="C28" s="17"/>
      <c r="D28" s="18"/>
      <c r="E28" s="19">
        <v>187.63079999999999</v>
      </c>
      <c r="F28" s="19">
        <v>215.85479999999998</v>
      </c>
      <c r="G28" s="19">
        <v>259.30799999999999</v>
      </c>
    </row>
    <row r="29" spans="2:10" x14ac:dyDescent="0.3">
      <c r="B29" s="20" t="s">
        <v>20</v>
      </c>
      <c r="C29" s="21"/>
      <c r="D29" s="22"/>
      <c r="E29" s="23">
        <f>SUM(E26:E28)</f>
        <v>7506.8980000000001</v>
      </c>
      <c r="F29" s="23">
        <f>SUM(F26:F28)</f>
        <v>8673.7055999999993</v>
      </c>
      <c r="G29" s="23">
        <f>SUM(G26:G28)</f>
        <v>9658.5272000000004</v>
      </c>
    </row>
    <row r="30" spans="2:10" x14ac:dyDescent="0.3">
      <c r="D30" s="14"/>
      <c r="E30" s="15"/>
      <c r="F30" s="15"/>
      <c r="G30" s="15"/>
    </row>
    <row r="31" spans="2:10" x14ac:dyDescent="0.3">
      <c r="B31" s="30" t="s">
        <v>21</v>
      </c>
      <c r="D31" s="14"/>
      <c r="E31" s="15">
        <v>7487.2</v>
      </c>
      <c r="F31" s="15">
        <v>6840.4</v>
      </c>
      <c r="G31" s="15">
        <v>6193.5999999999995</v>
      </c>
      <c r="H31" s="3"/>
      <c r="I31" s="3"/>
    </row>
    <row r="32" spans="2:10" x14ac:dyDescent="0.3">
      <c r="B32" s="30" t="s">
        <v>22</v>
      </c>
      <c r="D32" s="14"/>
      <c r="E32" s="15">
        <v>0</v>
      </c>
      <c r="F32" s="15">
        <v>0</v>
      </c>
      <c r="G32" s="15">
        <v>0</v>
      </c>
    </row>
    <row r="33" spans="2:7" x14ac:dyDescent="0.3">
      <c r="B33" s="31" t="s">
        <v>23</v>
      </c>
      <c r="C33" s="17"/>
      <c r="D33" s="18"/>
      <c r="E33" s="19">
        <v>449.428</v>
      </c>
      <c r="F33" s="19">
        <v>1807.0808</v>
      </c>
      <c r="G33" s="19">
        <v>903.54039999999998</v>
      </c>
    </row>
    <row r="34" spans="2:7" x14ac:dyDescent="0.3">
      <c r="B34" s="20" t="s">
        <v>24</v>
      </c>
      <c r="D34" s="14"/>
      <c r="E34" s="23">
        <f>SUM(E31:E33)</f>
        <v>7936.6279999999997</v>
      </c>
      <c r="F34" s="23">
        <f>SUM(F31:F33)</f>
        <v>8647.4807999999994</v>
      </c>
      <c r="G34" s="23">
        <f>SUM(G31:G33)</f>
        <v>7097.1403999999993</v>
      </c>
    </row>
    <row r="35" spans="2:7" x14ac:dyDescent="0.3">
      <c r="D35" s="14"/>
      <c r="E35" s="15"/>
      <c r="F35" s="15"/>
      <c r="G35" s="15"/>
    </row>
    <row r="36" spans="2:7" x14ac:dyDescent="0.3">
      <c r="B36" s="30" t="s">
        <v>25</v>
      </c>
      <c r="D36" s="14"/>
      <c r="E36" s="15">
        <v>980</v>
      </c>
      <c r="F36" s="15">
        <v>980</v>
      </c>
      <c r="G36" s="15">
        <v>980</v>
      </c>
    </row>
    <row r="37" spans="2:7" x14ac:dyDescent="0.3">
      <c r="B37" s="31" t="s">
        <v>26</v>
      </c>
      <c r="C37" s="17"/>
      <c r="D37" s="18"/>
      <c r="E37" s="19">
        <v>7606.0544</v>
      </c>
      <c r="F37" s="19">
        <v>9487.3251199999995</v>
      </c>
      <c r="G37" s="19">
        <v>13098.562399999999</v>
      </c>
    </row>
    <row r="38" spans="2:7" x14ac:dyDescent="0.3">
      <c r="B38" s="20" t="s">
        <v>27</v>
      </c>
      <c r="D38" s="14"/>
      <c r="E38" s="23">
        <f>SUM(E36:E37)</f>
        <v>8586.0544000000009</v>
      </c>
      <c r="F38" s="23">
        <f>SUM(F36:F37)</f>
        <v>10467.32512</v>
      </c>
      <c r="G38" s="23">
        <f>SUM(G36:G37)</f>
        <v>14078.562399999999</v>
      </c>
    </row>
    <row r="39" spans="2:7" x14ac:dyDescent="0.3">
      <c r="D39" s="14"/>
      <c r="E39" s="15"/>
      <c r="F39" s="15"/>
      <c r="G39" s="15"/>
    </row>
    <row r="40" spans="2:7" ht="13.5" thickBot="1" x14ac:dyDescent="0.35">
      <c r="B40" s="27" t="s">
        <v>28</v>
      </c>
      <c r="C40" s="27"/>
      <c r="D40" s="28"/>
      <c r="E40" s="29">
        <f>E29+E34+E38</f>
        <v>24029.580399999999</v>
      </c>
      <c r="F40" s="29">
        <f>F29+F34+F38</f>
        <v>27788.51152</v>
      </c>
      <c r="G40" s="29">
        <f>G29+G34+G38</f>
        <v>30834.23</v>
      </c>
    </row>
    <row r="41" spans="2:7" x14ac:dyDescent="0.3">
      <c r="D41" s="14"/>
      <c r="E41" s="32"/>
      <c r="F41" s="32"/>
      <c r="G41" s="32"/>
    </row>
    <row r="42" spans="2:7" x14ac:dyDescent="0.3">
      <c r="B42" s="3"/>
      <c r="C42" s="3"/>
      <c r="D42" s="14"/>
      <c r="E42" s="15"/>
      <c r="F42" s="15"/>
      <c r="G42" s="15"/>
    </row>
    <row r="43" spans="2:7" x14ac:dyDescent="0.3">
      <c r="D43" s="14"/>
      <c r="E43" s="25"/>
      <c r="F43" s="25"/>
      <c r="G43" s="25"/>
    </row>
    <row r="44" spans="2:7" x14ac:dyDescent="0.3">
      <c r="D44" s="14"/>
      <c r="E44" s="15"/>
      <c r="F44" s="15"/>
      <c r="G44" s="15"/>
    </row>
    <row r="45" spans="2:7" x14ac:dyDescent="0.3">
      <c r="D45" s="14"/>
      <c r="E45" s="15"/>
      <c r="F45" s="15"/>
      <c r="G45" s="15"/>
    </row>
    <row r="46" spans="2:7" x14ac:dyDescent="0.3">
      <c r="D46" s="14"/>
    </row>
    <row r="47" spans="2:7" x14ac:dyDescent="0.3">
      <c r="D47" s="14"/>
    </row>
    <row r="48" spans="2:7" x14ac:dyDescent="0.3">
      <c r="D48" s="14"/>
    </row>
    <row r="49" spans="4:4" x14ac:dyDescent="0.3">
      <c r="D49" s="14"/>
    </row>
    <row r="50" spans="4:4" x14ac:dyDescent="0.3">
      <c r="D50" s="14"/>
    </row>
    <row r="51" spans="4:4" x14ac:dyDescent="0.3">
      <c r="D51" s="14"/>
    </row>
    <row r="52" spans="4:4" x14ac:dyDescent="0.3">
      <c r="D52" s="14"/>
    </row>
    <row r="53" spans="4:4" x14ac:dyDescent="0.3">
      <c r="D53" s="14"/>
    </row>
    <row r="54" spans="4:4" x14ac:dyDescent="0.3">
      <c r="D54" s="14"/>
    </row>
    <row r="55" spans="4:4" x14ac:dyDescent="0.3">
      <c r="D55" s="14"/>
    </row>
    <row r="56" spans="4:4" x14ac:dyDescent="0.3">
      <c r="D56" s="14"/>
    </row>
    <row r="57" spans="4:4" x14ac:dyDescent="0.3">
      <c r="D57" s="14"/>
    </row>
    <row r="58" spans="4:4" x14ac:dyDescent="0.3">
      <c r="D58" s="14"/>
    </row>
    <row r="59" spans="4:4" x14ac:dyDescent="0.3">
      <c r="D59" s="14"/>
    </row>
    <row r="60" spans="4:4" x14ac:dyDescent="0.3">
      <c r="D60" s="14"/>
    </row>
    <row r="61" spans="4:4" x14ac:dyDescent="0.3">
      <c r="D61" s="14"/>
    </row>
    <row r="62" spans="4:4" x14ac:dyDescent="0.3">
      <c r="D62" s="14"/>
    </row>
    <row r="63" spans="4:4" x14ac:dyDescent="0.3">
      <c r="D63" s="14"/>
    </row>
    <row r="64" spans="4:4" x14ac:dyDescent="0.3">
      <c r="D64" s="14"/>
    </row>
    <row r="65" spans="4:4" x14ac:dyDescent="0.3">
      <c r="D65" s="14"/>
    </row>
    <row r="66" spans="4:4" x14ac:dyDescent="0.3">
      <c r="D66" s="14"/>
    </row>
    <row r="67" spans="4:4" x14ac:dyDescent="0.3">
      <c r="D67" s="14"/>
    </row>
    <row r="68" spans="4:4" x14ac:dyDescent="0.3">
      <c r="D68" s="14"/>
    </row>
    <row r="69" spans="4:4" x14ac:dyDescent="0.3">
      <c r="D69" s="14"/>
    </row>
    <row r="70" spans="4:4" x14ac:dyDescent="0.3">
      <c r="D70" s="14"/>
    </row>
    <row r="71" spans="4:4" x14ac:dyDescent="0.3">
      <c r="D71" s="14"/>
    </row>
    <row r="72" spans="4:4" x14ac:dyDescent="0.3">
      <c r="D72" s="14"/>
    </row>
    <row r="73" spans="4:4" x14ac:dyDescent="0.3">
      <c r="D73" s="14"/>
    </row>
    <row r="74" spans="4:4" x14ac:dyDescent="0.3">
      <c r="D74" s="14"/>
    </row>
    <row r="75" spans="4:4" x14ac:dyDescent="0.3">
      <c r="D75" s="14"/>
    </row>
    <row r="76" spans="4:4" x14ac:dyDescent="0.3">
      <c r="D76" s="14"/>
    </row>
    <row r="77" spans="4:4" x14ac:dyDescent="0.3">
      <c r="D77" s="14"/>
    </row>
    <row r="78" spans="4:4" x14ac:dyDescent="0.3">
      <c r="D78" s="14"/>
    </row>
    <row r="79" spans="4:4" x14ac:dyDescent="0.3">
      <c r="D79" s="14"/>
    </row>
    <row r="80" spans="4:4" x14ac:dyDescent="0.3">
      <c r="D80" s="14"/>
    </row>
    <row r="81" spans="4:4" x14ac:dyDescent="0.3">
      <c r="D81" s="14"/>
    </row>
    <row r="82" spans="4:4" x14ac:dyDescent="0.3">
      <c r="D82" s="14"/>
    </row>
    <row r="83" spans="4:4" x14ac:dyDescent="0.3">
      <c r="D83" s="14"/>
    </row>
    <row r="84" spans="4:4" x14ac:dyDescent="0.3">
      <c r="D84" s="14"/>
    </row>
    <row r="85" spans="4:4" x14ac:dyDescent="0.3">
      <c r="D85" s="14"/>
    </row>
    <row r="86" spans="4:4" x14ac:dyDescent="0.3">
      <c r="D86" s="14"/>
    </row>
    <row r="87" spans="4:4" x14ac:dyDescent="0.3">
      <c r="D87" s="14"/>
    </row>
    <row r="88" spans="4:4" x14ac:dyDescent="0.3">
      <c r="D88" s="14"/>
    </row>
    <row r="89" spans="4:4" x14ac:dyDescent="0.3">
      <c r="D89" s="14"/>
    </row>
    <row r="90" spans="4:4" x14ac:dyDescent="0.3">
      <c r="D90" s="14"/>
    </row>
    <row r="91" spans="4:4" x14ac:dyDescent="0.3">
      <c r="D91" s="14"/>
    </row>
    <row r="92" spans="4:4" x14ac:dyDescent="0.3">
      <c r="D92" s="14"/>
    </row>
    <row r="93" spans="4:4" x14ac:dyDescent="0.3">
      <c r="D93" s="14"/>
    </row>
    <row r="94" spans="4:4" x14ac:dyDescent="0.3">
      <c r="D94" s="14"/>
    </row>
    <row r="95" spans="4:4" x14ac:dyDescent="0.3">
      <c r="D95" s="14"/>
    </row>
    <row r="96" spans="4:4" x14ac:dyDescent="0.3">
      <c r="D96" s="14"/>
    </row>
    <row r="97" spans="4:4" x14ac:dyDescent="0.3">
      <c r="D97" s="14"/>
    </row>
    <row r="98" spans="4:4" x14ac:dyDescent="0.3">
      <c r="D98" s="14"/>
    </row>
    <row r="99" spans="4:4" x14ac:dyDescent="0.3">
      <c r="D99" s="14"/>
    </row>
    <row r="100" spans="4:4" x14ac:dyDescent="0.3">
      <c r="D100" s="14"/>
    </row>
    <row r="101" spans="4:4" x14ac:dyDescent="0.3">
      <c r="D101" s="14"/>
    </row>
    <row r="102" spans="4:4" x14ac:dyDescent="0.3">
      <c r="D102" s="14"/>
    </row>
    <row r="103" spans="4:4" x14ac:dyDescent="0.3">
      <c r="D103" s="14"/>
    </row>
    <row r="104" spans="4:4" x14ac:dyDescent="0.3">
      <c r="D104" s="14"/>
    </row>
    <row r="105" spans="4:4" x14ac:dyDescent="0.3">
      <c r="D105" s="14"/>
    </row>
    <row r="106" spans="4:4" x14ac:dyDescent="0.3">
      <c r="D106" s="14"/>
    </row>
    <row r="107" spans="4:4" x14ac:dyDescent="0.3">
      <c r="D107" s="14"/>
    </row>
    <row r="108" spans="4:4" x14ac:dyDescent="0.3">
      <c r="D108" s="14"/>
    </row>
    <row r="109" spans="4:4" x14ac:dyDescent="0.3">
      <c r="D109" s="14"/>
    </row>
    <row r="110" spans="4:4" x14ac:dyDescent="0.3">
      <c r="D110" s="14"/>
    </row>
    <row r="111" spans="4:4" x14ac:dyDescent="0.3">
      <c r="D111" s="14"/>
    </row>
    <row r="112" spans="4:4" x14ac:dyDescent="0.3">
      <c r="D112" s="14"/>
    </row>
    <row r="113" spans="4:4" x14ac:dyDescent="0.3">
      <c r="D113" s="14"/>
    </row>
    <row r="114" spans="4:4" x14ac:dyDescent="0.3">
      <c r="D114" s="14"/>
    </row>
    <row r="115" spans="4:4" x14ac:dyDescent="0.3">
      <c r="D115" s="14"/>
    </row>
    <row r="116" spans="4:4" x14ac:dyDescent="0.3">
      <c r="D116" s="14"/>
    </row>
    <row r="117" spans="4:4" x14ac:dyDescent="0.3">
      <c r="D117" s="14"/>
    </row>
    <row r="118" spans="4:4" x14ac:dyDescent="0.3">
      <c r="D118" s="14"/>
    </row>
    <row r="119" spans="4:4" x14ac:dyDescent="0.3">
      <c r="D119" s="14"/>
    </row>
    <row r="120" spans="4:4" x14ac:dyDescent="0.3">
      <c r="D120" s="14"/>
    </row>
    <row r="121" spans="4:4" x14ac:dyDescent="0.3">
      <c r="D121" s="14"/>
    </row>
    <row r="122" spans="4:4" x14ac:dyDescent="0.3">
      <c r="D122" s="14"/>
    </row>
    <row r="123" spans="4:4" x14ac:dyDescent="0.3">
      <c r="D123" s="14"/>
    </row>
    <row r="124" spans="4:4" x14ac:dyDescent="0.3">
      <c r="D124" s="14"/>
    </row>
    <row r="125" spans="4:4" x14ac:dyDescent="0.3">
      <c r="D125" s="14"/>
    </row>
    <row r="126" spans="4:4" x14ac:dyDescent="0.3">
      <c r="D126" s="14"/>
    </row>
    <row r="127" spans="4:4" x14ac:dyDescent="0.3">
      <c r="D127" s="14"/>
    </row>
    <row r="128" spans="4:4" x14ac:dyDescent="0.3">
      <c r="D128" s="14"/>
    </row>
    <row r="129" spans="4:4" x14ac:dyDescent="0.3">
      <c r="D129" s="14"/>
    </row>
    <row r="130" spans="4:4" x14ac:dyDescent="0.3">
      <c r="D130" s="14"/>
    </row>
    <row r="131" spans="4:4" x14ac:dyDescent="0.3">
      <c r="D131" s="14"/>
    </row>
    <row r="132" spans="4:4" x14ac:dyDescent="0.3">
      <c r="D132" s="14"/>
    </row>
    <row r="133" spans="4:4" x14ac:dyDescent="0.3">
      <c r="D133" s="14"/>
    </row>
    <row r="134" spans="4:4" x14ac:dyDescent="0.3">
      <c r="D134" s="14"/>
    </row>
    <row r="135" spans="4:4" x14ac:dyDescent="0.3">
      <c r="D135" s="14"/>
    </row>
    <row r="136" spans="4:4" x14ac:dyDescent="0.3">
      <c r="D136" s="14"/>
    </row>
    <row r="137" spans="4:4" x14ac:dyDescent="0.3">
      <c r="D137" s="14"/>
    </row>
    <row r="138" spans="4:4" x14ac:dyDescent="0.3">
      <c r="D138" s="14"/>
    </row>
    <row r="139" spans="4:4" x14ac:dyDescent="0.3">
      <c r="D139" s="14"/>
    </row>
    <row r="140" spans="4:4" x14ac:dyDescent="0.3">
      <c r="D140" s="14"/>
    </row>
    <row r="141" spans="4:4" x14ac:dyDescent="0.3">
      <c r="D141" s="14"/>
    </row>
    <row r="142" spans="4:4" x14ac:dyDescent="0.3">
      <c r="D142" s="14"/>
    </row>
    <row r="143" spans="4:4" x14ac:dyDescent="0.3">
      <c r="D143" s="14"/>
    </row>
    <row r="144" spans="4:4" x14ac:dyDescent="0.3">
      <c r="D144" s="14"/>
    </row>
    <row r="145" spans="4:4" x14ac:dyDescent="0.3">
      <c r="D145" s="14"/>
    </row>
    <row r="146" spans="4:4" x14ac:dyDescent="0.3">
      <c r="D146" s="14"/>
    </row>
    <row r="147" spans="4:4" x14ac:dyDescent="0.3">
      <c r="D147" s="14"/>
    </row>
    <row r="148" spans="4:4" x14ac:dyDescent="0.3">
      <c r="D148" s="14"/>
    </row>
    <row r="149" spans="4:4" x14ac:dyDescent="0.3">
      <c r="D149" s="14"/>
    </row>
    <row r="150" spans="4:4" x14ac:dyDescent="0.3">
      <c r="D150" s="14"/>
    </row>
    <row r="151" spans="4:4" x14ac:dyDescent="0.3">
      <c r="D151" s="14"/>
    </row>
    <row r="152" spans="4:4" x14ac:dyDescent="0.3">
      <c r="D152" s="14"/>
    </row>
    <row r="153" spans="4:4" x14ac:dyDescent="0.3">
      <c r="D153" s="14"/>
    </row>
    <row r="154" spans="4:4" x14ac:dyDescent="0.3">
      <c r="D154" s="14"/>
    </row>
    <row r="155" spans="4:4" x14ac:dyDescent="0.3">
      <c r="D155" s="14"/>
    </row>
    <row r="156" spans="4:4" x14ac:dyDescent="0.3">
      <c r="D156" s="14"/>
    </row>
    <row r="157" spans="4:4" x14ac:dyDescent="0.3">
      <c r="D157" s="14"/>
    </row>
    <row r="158" spans="4:4" x14ac:dyDescent="0.3">
      <c r="D158" s="14"/>
    </row>
    <row r="159" spans="4:4" x14ac:dyDescent="0.3">
      <c r="D159" s="14"/>
    </row>
    <row r="160" spans="4:4" x14ac:dyDescent="0.3">
      <c r="D160" s="14"/>
    </row>
    <row r="161" spans="4:4" x14ac:dyDescent="0.3">
      <c r="D161" s="14"/>
    </row>
    <row r="162" spans="4:4" x14ac:dyDescent="0.3">
      <c r="D162" s="14"/>
    </row>
    <row r="163" spans="4:4" x14ac:dyDescent="0.3">
      <c r="D163" s="14"/>
    </row>
    <row r="164" spans="4:4" x14ac:dyDescent="0.3">
      <c r="D164" s="14"/>
    </row>
    <row r="165" spans="4:4" x14ac:dyDescent="0.3">
      <c r="D165" s="14"/>
    </row>
    <row r="166" spans="4:4" x14ac:dyDescent="0.3">
      <c r="D166" s="14"/>
    </row>
    <row r="167" spans="4:4" x14ac:dyDescent="0.3">
      <c r="D167" s="14"/>
    </row>
    <row r="168" spans="4:4" x14ac:dyDescent="0.3">
      <c r="D168" s="14"/>
    </row>
    <row r="169" spans="4:4" x14ac:dyDescent="0.3">
      <c r="D169" s="14"/>
    </row>
    <row r="170" spans="4:4" x14ac:dyDescent="0.3">
      <c r="D170" s="14"/>
    </row>
    <row r="171" spans="4:4" x14ac:dyDescent="0.3">
      <c r="D171" s="14"/>
    </row>
    <row r="172" spans="4:4" x14ac:dyDescent="0.3">
      <c r="D172" s="14"/>
    </row>
    <row r="173" spans="4:4" x14ac:dyDescent="0.3">
      <c r="D173" s="14"/>
    </row>
    <row r="174" spans="4:4" x14ac:dyDescent="0.3">
      <c r="D174" s="14"/>
    </row>
    <row r="175" spans="4:4" x14ac:dyDescent="0.3">
      <c r="D175" s="14"/>
    </row>
    <row r="176" spans="4:4" x14ac:dyDescent="0.3">
      <c r="D176" s="14"/>
    </row>
    <row r="177" spans="4:4" x14ac:dyDescent="0.3">
      <c r="D177" s="14"/>
    </row>
    <row r="178" spans="4:4" x14ac:dyDescent="0.3">
      <c r="D178" s="14"/>
    </row>
    <row r="179" spans="4:4" x14ac:dyDescent="0.3">
      <c r="D179" s="14"/>
    </row>
    <row r="180" spans="4:4" x14ac:dyDescent="0.3">
      <c r="D180" s="14"/>
    </row>
    <row r="181" spans="4:4" x14ac:dyDescent="0.3">
      <c r="D181" s="14"/>
    </row>
    <row r="182" spans="4:4" x14ac:dyDescent="0.3">
      <c r="D182" s="14"/>
    </row>
    <row r="183" spans="4:4" x14ac:dyDescent="0.3">
      <c r="D183" s="14"/>
    </row>
    <row r="184" spans="4:4" x14ac:dyDescent="0.3">
      <c r="D184" s="14"/>
    </row>
    <row r="185" spans="4:4" x14ac:dyDescent="0.3">
      <c r="D185" s="14"/>
    </row>
    <row r="186" spans="4:4" x14ac:dyDescent="0.3">
      <c r="D186" s="14"/>
    </row>
    <row r="187" spans="4:4" x14ac:dyDescent="0.3">
      <c r="D187" s="14"/>
    </row>
    <row r="188" spans="4:4" x14ac:dyDescent="0.3">
      <c r="D188" s="14"/>
    </row>
    <row r="189" spans="4:4" x14ac:dyDescent="0.3">
      <c r="D189" s="14"/>
    </row>
    <row r="190" spans="4:4" x14ac:dyDescent="0.3">
      <c r="D190" s="14"/>
    </row>
    <row r="191" spans="4:4" x14ac:dyDescent="0.3">
      <c r="D191" s="14"/>
    </row>
    <row r="192" spans="4:4" x14ac:dyDescent="0.3">
      <c r="D192" s="14"/>
    </row>
    <row r="193" spans="4:4" x14ac:dyDescent="0.3">
      <c r="D193" s="14"/>
    </row>
    <row r="194" spans="4:4" x14ac:dyDescent="0.3">
      <c r="D194" s="14"/>
    </row>
    <row r="195" spans="4:4" x14ac:dyDescent="0.3">
      <c r="D195" s="14"/>
    </row>
    <row r="196" spans="4:4" x14ac:dyDescent="0.3">
      <c r="D196" s="14"/>
    </row>
    <row r="197" spans="4:4" x14ac:dyDescent="0.3">
      <c r="D197" s="14"/>
    </row>
    <row r="198" spans="4:4" x14ac:dyDescent="0.3">
      <c r="D198" s="14"/>
    </row>
  </sheetData>
  <sheetProtection algorithmName="SHA-512" hashValue="2/bHDOcyZ7pAnk/rthr3dvLqCW99mA7+uOYpDDFQ0aGRqtCwNBgWXkFeaX0Eu9GQ0Wgme2EOzgQLZk1xT6pOYQ==" saltValue="OeSYpnbvTlMxN4VIFnjfC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9B28-4930-4851-AD38-676E3D3C23C2}">
  <sheetPr>
    <tabColor rgb="FFEE0000"/>
  </sheetPr>
  <dimension ref="A1:K214"/>
  <sheetViews>
    <sheetView showGridLines="0" tabSelected="1" workbookViewId="0">
      <pane ySplit="6" topLeftCell="A13" activePane="bottomLeft" state="frozen"/>
      <selection pane="bottomLeft" activeCell="G18" sqref="G18"/>
    </sheetView>
  </sheetViews>
  <sheetFormatPr defaultColWidth="7.54296875" defaultRowHeight="13" x14ac:dyDescent="0.3"/>
  <cols>
    <col min="1" max="1" width="2.26953125" style="4" customWidth="1"/>
    <col min="2" max="2" width="38.1796875" style="4" bestFit="1" customWidth="1"/>
    <col min="3" max="17" width="14.1796875" style="4" customWidth="1"/>
    <col min="18" max="16384" width="7.54296875" style="4"/>
  </cols>
  <sheetData>
    <row r="1" spans="1:11" ht="14.5" x14ac:dyDescent="0.35">
      <c r="A1" s="1"/>
      <c r="B1" s="2"/>
      <c r="C1" s="2"/>
      <c r="D1" s="1"/>
      <c r="E1" s="1"/>
      <c r="F1" s="1"/>
      <c r="G1" s="1"/>
      <c r="H1" s="3"/>
    </row>
    <row r="2" spans="1:11" ht="14.5" x14ac:dyDescent="0.35">
      <c r="A2" s="1"/>
      <c r="B2" s="5" t="s">
        <v>0</v>
      </c>
      <c r="C2" s="2"/>
      <c r="D2" s="6"/>
      <c r="E2" s="2"/>
      <c r="F2" s="2"/>
      <c r="G2" s="1"/>
      <c r="H2" s="3"/>
    </row>
    <row r="3" spans="1:11" ht="14.5" x14ac:dyDescent="0.35">
      <c r="A3" s="1"/>
      <c r="B3" s="2" t="s">
        <v>29</v>
      </c>
      <c r="C3" s="2"/>
      <c r="D3" s="1"/>
      <c r="E3" s="1"/>
      <c r="F3" s="1"/>
      <c r="G3" s="1"/>
      <c r="H3" s="3"/>
    </row>
    <row r="4" spans="1:11" ht="14.5" x14ac:dyDescent="0.35">
      <c r="A4" s="1"/>
      <c r="B4" s="7"/>
      <c r="C4" s="2"/>
      <c r="D4" s="1"/>
      <c r="E4" s="1"/>
      <c r="F4" s="33"/>
      <c r="G4" s="33"/>
      <c r="H4" s="3"/>
    </row>
    <row r="5" spans="1:11" ht="14.5" x14ac:dyDescent="0.35">
      <c r="A5" s="1"/>
      <c r="B5" s="8"/>
      <c r="C5" s="2"/>
      <c r="D5" s="1"/>
      <c r="E5" s="1"/>
      <c r="F5" s="34"/>
      <c r="G5" s="34"/>
      <c r="H5" s="3"/>
    </row>
    <row r="6" spans="1:11" ht="14.5" x14ac:dyDescent="0.35">
      <c r="A6" s="1"/>
      <c r="B6" s="7" t="s">
        <v>2</v>
      </c>
      <c r="C6" s="9"/>
      <c r="D6" s="10"/>
      <c r="E6" s="11">
        <v>2021</v>
      </c>
      <c r="F6" s="11">
        <v>2022</v>
      </c>
      <c r="G6" s="11">
        <v>2023</v>
      </c>
      <c r="H6" s="3"/>
    </row>
    <row r="8" spans="1:11" x14ac:dyDescent="0.3">
      <c r="A8" s="3"/>
      <c r="B8" s="35" t="s">
        <v>30</v>
      </c>
      <c r="C8" s="24"/>
      <c r="D8" s="3"/>
      <c r="E8" s="3">
        <v>47325.572</v>
      </c>
      <c r="F8" s="3">
        <v>52562.985999999997</v>
      </c>
      <c r="G8" s="3">
        <v>58055.611599999997</v>
      </c>
      <c r="H8" s="3"/>
    </row>
    <row r="9" spans="1:11" x14ac:dyDescent="0.3">
      <c r="B9" s="16" t="s">
        <v>31</v>
      </c>
      <c r="C9" s="17"/>
      <c r="D9" s="18"/>
      <c r="E9" s="36">
        <v>-24230.696</v>
      </c>
      <c r="F9" s="36">
        <v>-26556.941599999998</v>
      </c>
      <c r="G9" s="36">
        <v>-28130.3904</v>
      </c>
    </row>
    <row r="10" spans="1:11" x14ac:dyDescent="0.3">
      <c r="B10" s="20" t="s">
        <v>32</v>
      </c>
      <c r="C10" s="21"/>
      <c r="D10" s="22"/>
      <c r="E10" s="23">
        <f>SUM(E8:E9)</f>
        <v>23094.876</v>
      </c>
      <c r="F10" s="23">
        <f>SUM(F8:F9)</f>
        <v>26006.044399999999</v>
      </c>
      <c r="G10" s="23">
        <f>SUM(G8:G9)</f>
        <v>29925.221199999996</v>
      </c>
    </row>
    <row r="11" spans="1:11" x14ac:dyDescent="0.3">
      <c r="B11" s="24"/>
      <c r="D11" s="14"/>
      <c r="E11" s="25"/>
      <c r="F11" s="25"/>
      <c r="G11" s="25"/>
    </row>
    <row r="12" spans="1:11" x14ac:dyDescent="0.3">
      <c r="B12" s="37" t="s">
        <v>33</v>
      </c>
      <c r="D12" s="14"/>
      <c r="E12" s="15"/>
      <c r="F12" s="15"/>
      <c r="G12" s="15"/>
    </row>
    <row r="13" spans="1:11" x14ac:dyDescent="0.3">
      <c r="B13" s="13" t="s">
        <v>34</v>
      </c>
      <c r="D13" s="14"/>
      <c r="E13" s="15">
        <v>-285.27800000000002</v>
      </c>
      <c r="F13" s="15">
        <v>-314.77600000000001</v>
      </c>
      <c r="G13" s="15">
        <v>-347.66479999999996</v>
      </c>
    </row>
    <row r="14" spans="1:11" x14ac:dyDescent="0.3">
      <c r="B14" s="13" t="s">
        <v>35</v>
      </c>
      <c r="D14" s="14"/>
      <c r="E14" s="15">
        <v>-716.08600000000001</v>
      </c>
      <c r="F14" s="15">
        <v>-735.86239999999998</v>
      </c>
      <c r="G14" s="15">
        <v>-783.37279999999998</v>
      </c>
      <c r="I14" s="3"/>
      <c r="J14" s="3"/>
    </row>
    <row r="15" spans="1:11" x14ac:dyDescent="0.3">
      <c r="B15" s="13" t="s">
        <v>36</v>
      </c>
      <c r="D15" s="14"/>
      <c r="E15" s="15">
        <v>-294.41160000000002</v>
      </c>
      <c r="F15" s="15">
        <v>-268.95119999999997</v>
      </c>
      <c r="G15" s="15">
        <v>-232.2208</v>
      </c>
    </row>
    <row r="16" spans="1:11" x14ac:dyDescent="0.3">
      <c r="B16" s="13" t="s">
        <v>37</v>
      </c>
      <c r="D16" s="14"/>
      <c r="E16" s="15">
        <v>-2602.8995999999997</v>
      </c>
      <c r="F16" s="15">
        <v>-2733.2592</v>
      </c>
      <c r="G16" s="15">
        <v>-2902.7795999999998</v>
      </c>
      <c r="H16" s="15"/>
      <c r="I16" s="26"/>
      <c r="J16" s="26"/>
      <c r="K16" s="26"/>
    </row>
    <row r="17" spans="2:11" x14ac:dyDescent="0.3">
      <c r="B17" s="13" t="s">
        <v>213</v>
      </c>
      <c r="D17" s="14"/>
      <c r="E17" s="15">
        <v>-336.92399999999998</v>
      </c>
      <c r="F17" s="15">
        <v>-307.81800000000004</v>
      </c>
      <c r="G17" s="15">
        <v>-278.71199999999999</v>
      </c>
    </row>
    <row r="18" spans="2:11" x14ac:dyDescent="0.3">
      <c r="B18" s="30" t="s">
        <v>38</v>
      </c>
      <c r="D18" s="14"/>
      <c r="E18" s="15">
        <v>-1183.1343999999999</v>
      </c>
      <c r="F18" s="15">
        <v>-1314.0624</v>
      </c>
      <c r="G18" s="15">
        <v>-1451.3799999999999</v>
      </c>
    </row>
    <row r="19" spans="2:11" x14ac:dyDescent="0.3">
      <c r="B19" s="13" t="s">
        <v>39</v>
      </c>
      <c r="D19" s="14"/>
      <c r="E19" s="15">
        <v>-1216.9248</v>
      </c>
      <c r="F19" s="15">
        <v>-1261.4952000000001</v>
      </c>
      <c r="G19" s="15">
        <v>-1274</v>
      </c>
    </row>
    <row r="20" spans="2:11" x14ac:dyDescent="0.3">
      <c r="B20" s="13" t="s">
        <v>40</v>
      </c>
      <c r="D20" s="14"/>
      <c r="E20" s="15">
        <v>-7098.8377599999994</v>
      </c>
      <c r="F20" s="15">
        <v>-7884.4332000000004</v>
      </c>
      <c r="G20" s="15">
        <v>-8708.3387999999995</v>
      </c>
    </row>
    <row r="21" spans="2:11" x14ac:dyDescent="0.3">
      <c r="B21" s="16" t="s">
        <v>41</v>
      </c>
      <c r="C21" s="17"/>
      <c r="D21" s="18"/>
      <c r="E21" s="19">
        <v>-4862.2699999999995</v>
      </c>
      <c r="F21" s="19">
        <v>-5151.1543999999994</v>
      </c>
      <c r="G21" s="19">
        <v>-5711.2831999999999</v>
      </c>
      <c r="I21" s="26"/>
      <c r="J21" s="26"/>
      <c r="K21" s="26"/>
    </row>
    <row r="22" spans="2:11" x14ac:dyDescent="0.3">
      <c r="B22" s="38" t="s">
        <v>42</v>
      </c>
      <c r="D22" s="14"/>
      <c r="E22" s="39">
        <f>SUM(E13:E21)</f>
        <v>-18596.766159999999</v>
      </c>
      <c r="F22" s="39">
        <f>SUM(F13:F21)</f>
        <v>-19971.811999999998</v>
      </c>
      <c r="G22" s="39">
        <f>SUM(G13:G21)</f>
        <v>-21689.752</v>
      </c>
    </row>
    <row r="23" spans="2:11" x14ac:dyDescent="0.3">
      <c r="B23" s="13"/>
      <c r="D23" s="14"/>
      <c r="E23" s="40"/>
      <c r="F23" s="40"/>
      <c r="G23" s="40"/>
    </row>
    <row r="24" spans="2:11" x14ac:dyDescent="0.3">
      <c r="B24" s="20" t="s">
        <v>43</v>
      </c>
      <c r="C24" s="21"/>
      <c r="D24" s="22"/>
      <c r="E24" s="23">
        <f>E10+E22</f>
        <v>4498.109840000001</v>
      </c>
      <c r="F24" s="23">
        <f>F10+F22</f>
        <v>6034.2324000000008</v>
      </c>
      <c r="G24" s="23">
        <f>G10+G22</f>
        <v>8235.4691999999959</v>
      </c>
    </row>
    <row r="25" spans="2:11" x14ac:dyDescent="0.3">
      <c r="B25" s="24"/>
      <c r="D25" s="14"/>
      <c r="E25" s="15"/>
      <c r="F25" s="15"/>
      <c r="G25" s="15"/>
    </row>
    <row r="26" spans="2:11" x14ac:dyDescent="0.3">
      <c r="B26" s="16" t="s">
        <v>44</v>
      </c>
      <c r="C26" s="17"/>
      <c r="D26" s="18"/>
      <c r="E26" s="19">
        <f>E24*-0.2015</f>
        <v>-906.3691327600003</v>
      </c>
      <c r="F26" s="19">
        <f t="shared" ref="F26:G26" si="0">F24*-0.2015</f>
        <v>-1215.8978286000001</v>
      </c>
      <c r="G26" s="19">
        <f t="shared" si="0"/>
        <v>-1659.4470437999992</v>
      </c>
    </row>
    <row r="27" spans="2:11" ht="13.5" thickBot="1" x14ac:dyDescent="0.35">
      <c r="B27" s="41" t="s">
        <v>45</v>
      </c>
      <c r="C27" s="27"/>
      <c r="D27" s="28"/>
      <c r="E27" s="29">
        <f>SUM(E24:E26)</f>
        <v>3591.7407072400006</v>
      </c>
      <c r="F27" s="29">
        <f>SUM(F24:F26)</f>
        <v>4818.3345714000006</v>
      </c>
      <c r="G27" s="29">
        <f>SUM(G24:G26)</f>
        <v>6576.022156199997</v>
      </c>
    </row>
    <row r="28" spans="2:11" x14ac:dyDescent="0.3">
      <c r="B28" s="24"/>
      <c r="D28" s="14"/>
      <c r="E28" s="25"/>
      <c r="F28" s="25"/>
      <c r="G28" s="25"/>
    </row>
    <row r="29" spans="2:11" x14ac:dyDescent="0.3">
      <c r="B29" s="24"/>
      <c r="D29" s="14"/>
      <c r="E29" s="42"/>
      <c r="F29" s="42"/>
      <c r="G29" s="42"/>
    </row>
    <row r="30" spans="2:11" x14ac:dyDescent="0.3">
      <c r="B30" s="24"/>
      <c r="D30" s="14"/>
      <c r="E30" s="42"/>
      <c r="F30" s="42"/>
      <c r="G30" s="42"/>
    </row>
    <row r="31" spans="2:11" x14ac:dyDescent="0.3">
      <c r="B31" s="24"/>
      <c r="D31" s="14"/>
      <c r="E31" s="15"/>
      <c r="F31" s="15"/>
      <c r="G31" s="15"/>
    </row>
    <row r="32" spans="2:11" x14ac:dyDescent="0.3">
      <c r="B32" s="24"/>
      <c r="D32" s="14"/>
      <c r="E32" s="15"/>
      <c r="F32" s="15"/>
      <c r="G32" s="15"/>
    </row>
    <row r="33" spans="2:7" x14ac:dyDescent="0.3">
      <c r="B33" s="24"/>
      <c r="D33" s="14"/>
      <c r="E33" s="15"/>
      <c r="F33" s="15"/>
      <c r="G33" s="15"/>
    </row>
    <row r="34" spans="2:7" x14ac:dyDescent="0.3">
      <c r="B34" s="24"/>
      <c r="D34" s="14"/>
      <c r="E34" s="15"/>
      <c r="F34" s="15"/>
      <c r="G34" s="15"/>
    </row>
    <row r="35" spans="2:7" x14ac:dyDescent="0.3">
      <c r="B35" s="24"/>
      <c r="D35" s="14"/>
      <c r="E35" s="15"/>
      <c r="F35" s="15"/>
      <c r="G35" s="15"/>
    </row>
    <row r="36" spans="2:7" x14ac:dyDescent="0.3">
      <c r="B36" s="24"/>
      <c r="D36" s="14"/>
      <c r="E36" s="15"/>
      <c r="F36" s="15"/>
      <c r="G36" s="15"/>
    </row>
    <row r="37" spans="2:7" x14ac:dyDescent="0.3">
      <c r="B37" s="24"/>
      <c r="D37" s="14"/>
      <c r="E37" s="15"/>
      <c r="F37" s="15"/>
      <c r="G37" s="15"/>
    </row>
    <row r="38" spans="2:7" x14ac:dyDescent="0.3">
      <c r="B38" s="24"/>
      <c r="D38" s="14"/>
      <c r="E38" s="15"/>
      <c r="F38" s="15"/>
      <c r="G38" s="15"/>
    </row>
    <row r="39" spans="2:7" x14ac:dyDescent="0.3">
      <c r="D39" s="14"/>
      <c r="E39" s="15"/>
      <c r="F39" s="15"/>
      <c r="G39" s="15"/>
    </row>
    <row r="40" spans="2:7" x14ac:dyDescent="0.3">
      <c r="D40" s="14"/>
      <c r="E40" s="15"/>
      <c r="F40" s="15"/>
      <c r="G40" s="15"/>
    </row>
    <row r="41" spans="2:7" x14ac:dyDescent="0.3">
      <c r="D41" s="14"/>
      <c r="E41" s="15"/>
      <c r="F41" s="15"/>
      <c r="G41" s="15"/>
    </row>
    <row r="42" spans="2:7" x14ac:dyDescent="0.3">
      <c r="D42" s="14"/>
      <c r="E42" s="43"/>
      <c r="F42" s="43"/>
      <c r="G42" s="43"/>
    </row>
    <row r="43" spans="2:7" x14ac:dyDescent="0.3">
      <c r="D43" s="14"/>
      <c r="E43" s="43"/>
      <c r="F43" s="43"/>
      <c r="G43" s="43"/>
    </row>
    <row r="44" spans="2:7" x14ac:dyDescent="0.3">
      <c r="D44" s="14"/>
    </row>
    <row r="45" spans="2:7" x14ac:dyDescent="0.3">
      <c r="D45" s="14"/>
    </row>
    <row r="46" spans="2:7" x14ac:dyDescent="0.3">
      <c r="D46" s="14"/>
    </row>
    <row r="47" spans="2:7" x14ac:dyDescent="0.3">
      <c r="D47" s="14"/>
    </row>
    <row r="48" spans="2:7" x14ac:dyDescent="0.3">
      <c r="D48" s="14"/>
    </row>
    <row r="49" spans="4:4" x14ac:dyDescent="0.3">
      <c r="D49" s="14"/>
    </row>
    <row r="50" spans="4:4" x14ac:dyDescent="0.3">
      <c r="D50" s="14"/>
    </row>
    <row r="51" spans="4:4" x14ac:dyDescent="0.3">
      <c r="D51" s="14"/>
    </row>
    <row r="52" spans="4:4" x14ac:dyDescent="0.3">
      <c r="D52" s="14"/>
    </row>
    <row r="53" spans="4:4" x14ac:dyDescent="0.3">
      <c r="D53" s="14"/>
    </row>
    <row r="54" spans="4:4" x14ac:dyDescent="0.3">
      <c r="D54" s="14"/>
    </row>
    <row r="55" spans="4:4" x14ac:dyDescent="0.3">
      <c r="D55" s="14"/>
    </row>
    <row r="56" spans="4:4" x14ac:dyDescent="0.3">
      <c r="D56" s="14"/>
    </row>
    <row r="57" spans="4:4" x14ac:dyDescent="0.3">
      <c r="D57" s="14"/>
    </row>
    <row r="58" spans="4:4" x14ac:dyDescent="0.3">
      <c r="D58" s="14"/>
    </row>
    <row r="59" spans="4:4" x14ac:dyDescent="0.3">
      <c r="D59" s="14"/>
    </row>
    <row r="60" spans="4:4" x14ac:dyDescent="0.3">
      <c r="D60" s="14"/>
    </row>
    <row r="61" spans="4:4" x14ac:dyDescent="0.3">
      <c r="D61" s="14"/>
    </row>
    <row r="62" spans="4:4" x14ac:dyDescent="0.3">
      <c r="D62" s="14"/>
    </row>
    <row r="63" spans="4:4" x14ac:dyDescent="0.3">
      <c r="D63" s="14"/>
    </row>
    <row r="64" spans="4:4" x14ac:dyDescent="0.3">
      <c r="D64" s="14"/>
    </row>
    <row r="65" spans="4:4" x14ac:dyDescent="0.3">
      <c r="D65" s="14"/>
    </row>
    <row r="66" spans="4:4" x14ac:dyDescent="0.3">
      <c r="D66" s="14"/>
    </row>
    <row r="67" spans="4:4" x14ac:dyDescent="0.3">
      <c r="D67" s="14"/>
    </row>
    <row r="68" spans="4:4" x14ac:dyDescent="0.3">
      <c r="D68" s="14"/>
    </row>
    <row r="69" spans="4:4" x14ac:dyDescent="0.3">
      <c r="D69" s="14"/>
    </row>
    <row r="70" spans="4:4" x14ac:dyDescent="0.3">
      <c r="D70" s="14"/>
    </row>
    <row r="71" spans="4:4" x14ac:dyDescent="0.3">
      <c r="D71" s="14"/>
    </row>
    <row r="72" spans="4:4" x14ac:dyDescent="0.3">
      <c r="D72" s="14"/>
    </row>
    <row r="73" spans="4:4" x14ac:dyDescent="0.3">
      <c r="D73" s="14"/>
    </row>
    <row r="74" spans="4:4" x14ac:dyDescent="0.3">
      <c r="D74" s="14"/>
    </row>
    <row r="75" spans="4:4" x14ac:dyDescent="0.3">
      <c r="D75" s="14"/>
    </row>
    <row r="76" spans="4:4" x14ac:dyDescent="0.3">
      <c r="D76" s="14"/>
    </row>
    <row r="77" spans="4:4" x14ac:dyDescent="0.3">
      <c r="D77" s="14"/>
    </row>
    <row r="78" spans="4:4" x14ac:dyDescent="0.3">
      <c r="D78" s="14"/>
    </row>
    <row r="79" spans="4:4" x14ac:dyDescent="0.3">
      <c r="D79" s="14"/>
    </row>
    <row r="80" spans="4:4" x14ac:dyDescent="0.3">
      <c r="D80" s="14"/>
    </row>
    <row r="81" spans="4:4" x14ac:dyDescent="0.3">
      <c r="D81" s="14"/>
    </row>
    <row r="82" spans="4:4" x14ac:dyDescent="0.3">
      <c r="D82" s="14"/>
    </row>
    <row r="83" spans="4:4" x14ac:dyDescent="0.3">
      <c r="D83" s="14"/>
    </row>
    <row r="84" spans="4:4" x14ac:dyDescent="0.3">
      <c r="D84" s="14"/>
    </row>
    <row r="85" spans="4:4" x14ac:dyDescent="0.3">
      <c r="D85" s="14"/>
    </row>
    <row r="86" spans="4:4" x14ac:dyDescent="0.3">
      <c r="D86" s="14"/>
    </row>
    <row r="87" spans="4:4" x14ac:dyDescent="0.3">
      <c r="D87" s="14"/>
    </row>
    <row r="88" spans="4:4" x14ac:dyDescent="0.3">
      <c r="D88" s="14"/>
    </row>
    <row r="89" spans="4:4" x14ac:dyDescent="0.3">
      <c r="D89" s="14"/>
    </row>
    <row r="90" spans="4:4" x14ac:dyDescent="0.3">
      <c r="D90" s="14"/>
    </row>
    <row r="91" spans="4:4" x14ac:dyDescent="0.3">
      <c r="D91" s="14"/>
    </row>
    <row r="92" spans="4:4" x14ac:dyDescent="0.3">
      <c r="D92" s="14"/>
    </row>
    <row r="93" spans="4:4" x14ac:dyDescent="0.3">
      <c r="D93" s="14"/>
    </row>
    <row r="94" spans="4:4" x14ac:dyDescent="0.3">
      <c r="D94" s="14"/>
    </row>
    <row r="95" spans="4:4" x14ac:dyDescent="0.3">
      <c r="D95" s="14"/>
    </row>
    <row r="96" spans="4:4" x14ac:dyDescent="0.3">
      <c r="D96" s="14"/>
    </row>
    <row r="97" spans="4:4" x14ac:dyDescent="0.3">
      <c r="D97" s="14"/>
    </row>
    <row r="98" spans="4:4" x14ac:dyDescent="0.3">
      <c r="D98" s="14"/>
    </row>
    <row r="99" spans="4:4" x14ac:dyDescent="0.3">
      <c r="D99" s="14"/>
    </row>
    <row r="100" spans="4:4" x14ac:dyDescent="0.3">
      <c r="D100" s="14"/>
    </row>
    <row r="101" spans="4:4" x14ac:dyDescent="0.3">
      <c r="D101" s="14"/>
    </row>
    <row r="102" spans="4:4" x14ac:dyDescent="0.3">
      <c r="D102" s="14"/>
    </row>
    <row r="103" spans="4:4" x14ac:dyDescent="0.3">
      <c r="D103" s="14"/>
    </row>
    <row r="104" spans="4:4" x14ac:dyDescent="0.3">
      <c r="D104" s="14"/>
    </row>
    <row r="105" spans="4:4" x14ac:dyDescent="0.3">
      <c r="D105" s="14"/>
    </row>
    <row r="106" spans="4:4" x14ac:dyDescent="0.3">
      <c r="D106" s="14"/>
    </row>
    <row r="107" spans="4:4" x14ac:dyDescent="0.3">
      <c r="D107" s="14"/>
    </row>
    <row r="108" spans="4:4" x14ac:dyDescent="0.3">
      <c r="D108" s="14"/>
    </row>
    <row r="109" spans="4:4" x14ac:dyDescent="0.3">
      <c r="D109" s="14"/>
    </row>
    <row r="110" spans="4:4" x14ac:dyDescent="0.3">
      <c r="D110" s="14"/>
    </row>
    <row r="111" spans="4:4" x14ac:dyDescent="0.3">
      <c r="D111" s="14"/>
    </row>
    <row r="112" spans="4:4" x14ac:dyDescent="0.3">
      <c r="D112" s="14"/>
    </row>
    <row r="113" spans="4:4" x14ac:dyDescent="0.3">
      <c r="D113" s="14"/>
    </row>
    <row r="114" spans="4:4" x14ac:dyDescent="0.3">
      <c r="D114" s="14"/>
    </row>
    <row r="115" spans="4:4" x14ac:dyDescent="0.3">
      <c r="D115" s="14"/>
    </row>
    <row r="116" spans="4:4" x14ac:dyDescent="0.3">
      <c r="D116" s="14"/>
    </row>
    <row r="117" spans="4:4" x14ac:dyDescent="0.3">
      <c r="D117" s="14"/>
    </row>
    <row r="118" spans="4:4" x14ac:dyDescent="0.3">
      <c r="D118" s="14"/>
    </row>
    <row r="119" spans="4:4" x14ac:dyDescent="0.3">
      <c r="D119" s="14"/>
    </row>
    <row r="120" spans="4:4" x14ac:dyDescent="0.3">
      <c r="D120" s="14"/>
    </row>
    <row r="121" spans="4:4" x14ac:dyDescent="0.3">
      <c r="D121" s="14"/>
    </row>
    <row r="122" spans="4:4" x14ac:dyDescent="0.3">
      <c r="D122" s="14"/>
    </row>
    <row r="123" spans="4:4" x14ac:dyDescent="0.3">
      <c r="D123" s="14"/>
    </row>
    <row r="124" spans="4:4" x14ac:dyDescent="0.3">
      <c r="D124" s="14"/>
    </row>
    <row r="125" spans="4:4" x14ac:dyDescent="0.3">
      <c r="D125" s="14"/>
    </row>
    <row r="126" spans="4:4" x14ac:dyDescent="0.3">
      <c r="D126" s="14"/>
    </row>
    <row r="127" spans="4:4" x14ac:dyDescent="0.3">
      <c r="D127" s="14"/>
    </row>
    <row r="128" spans="4:4" x14ac:dyDescent="0.3">
      <c r="D128" s="14"/>
    </row>
    <row r="129" spans="4:4" x14ac:dyDescent="0.3">
      <c r="D129" s="14"/>
    </row>
    <row r="130" spans="4:4" x14ac:dyDescent="0.3">
      <c r="D130" s="14"/>
    </row>
    <row r="131" spans="4:4" x14ac:dyDescent="0.3">
      <c r="D131" s="14"/>
    </row>
    <row r="132" spans="4:4" x14ac:dyDescent="0.3">
      <c r="D132" s="14"/>
    </row>
    <row r="133" spans="4:4" x14ac:dyDescent="0.3">
      <c r="D133" s="14"/>
    </row>
    <row r="134" spans="4:4" x14ac:dyDescent="0.3">
      <c r="D134" s="14"/>
    </row>
    <row r="135" spans="4:4" x14ac:dyDescent="0.3">
      <c r="D135" s="14"/>
    </row>
    <row r="136" spans="4:4" x14ac:dyDescent="0.3">
      <c r="D136" s="14"/>
    </row>
    <row r="137" spans="4:4" x14ac:dyDescent="0.3">
      <c r="D137" s="14"/>
    </row>
    <row r="138" spans="4:4" x14ac:dyDescent="0.3">
      <c r="D138" s="14"/>
    </row>
    <row r="139" spans="4:4" x14ac:dyDescent="0.3">
      <c r="D139" s="14"/>
    </row>
    <row r="140" spans="4:4" x14ac:dyDescent="0.3">
      <c r="D140" s="14"/>
    </row>
    <row r="141" spans="4:4" x14ac:dyDescent="0.3">
      <c r="D141" s="14"/>
    </row>
    <row r="142" spans="4:4" x14ac:dyDescent="0.3">
      <c r="D142" s="14"/>
    </row>
    <row r="143" spans="4:4" x14ac:dyDescent="0.3">
      <c r="D143" s="14"/>
    </row>
    <row r="144" spans="4:4" x14ac:dyDescent="0.3">
      <c r="D144" s="14"/>
    </row>
    <row r="145" spans="4:4" x14ac:dyDescent="0.3">
      <c r="D145" s="14"/>
    </row>
    <row r="146" spans="4:4" x14ac:dyDescent="0.3">
      <c r="D146" s="14"/>
    </row>
    <row r="147" spans="4:4" x14ac:dyDescent="0.3">
      <c r="D147" s="14"/>
    </row>
    <row r="148" spans="4:4" x14ac:dyDescent="0.3">
      <c r="D148" s="14"/>
    </row>
    <row r="149" spans="4:4" x14ac:dyDescent="0.3">
      <c r="D149" s="14"/>
    </row>
    <row r="150" spans="4:4" x14ac:dyDescent="0.3">
      <c r="D150" s="14"/>
    </row>
    <row r="151" spans="4:4" x14ac:dyDescent="0.3">
      <c r="D151" s="14"/>
    </row>
    <row r="152" spans="4:4" x14ac:dyDescent="0.3">
      <c r="D152" s="14"/>
    </row>
    <row r="153" spans="4:4" x14ac:dyDescent="0.3">
      <c r="D153" s="14"/>
    </row>
    <row r="154" spans="4:4" x14ac:dyDescent="0.3">
      <c r="D154" s="14"/>
    </row>
    <row r="155" spans="4:4" x14ac:dyDescent="0.3">
      <c r="D155" s="14"/>
    </row>
    <row r="156" spans="4:4" x14ac:dyDescent="0.3">
      <c r="D156" s="14"/>
    </row>
    <row r="157" spans="4:4" x14ac:dyDescent="0.3">
      <c r="D157" s="14"/>
    </row>
    <row r="158" spans="4:4" x14ac:dyDescent="0.3">
      <c r="D158" s="14"/>
    </row>
    <row r="159" spans="4:4" x14ac:dyDescent="0.3">
      <c r="D159" s="14"/>
    </row>
    <row r="160" spans="4:4" x14ac:dyDescent="0.3">
      <c r="D160" s="14"/>
    </row>
    <row r="161" spans="4:4" x14ac:dyDescent="0.3">
      <c r="D161" s="14"/>
    </row>
    <row r="162" spans="4:4" x14ac:dyDescent="0.3">
      <c r="D162" s="14"/>
    </row>
    <row r="163" spans="4:4" x14ac:dyDescent="0.3">
      <c r="D163" s="14"/>
    </row>
    <row r="164" spans="4:4" x14ac:dyDescent="0.3">
      <c r="D164" s="14"/>
    </row>
    <row r="165" spans="4:4" x14ac:dyDescent="0.3">
      <c r="D165" s="14"/>
    </row>
    <row r="166" spans="4:4" x14ac:dyDescent="0.3">
      <c r="D166" s="14"/>
    </row>
    <row r="167" spans="4:4" x14ac:dyDescent="0.3">
      <c r="D167" s="14"/>
    </row>
    <row r="168" spans="4:4" x14ac:dyDescent="0.3">
      <c r="D168" s="14"/>
    </row>
    <row r="169" spans="4:4" x14ac:dyDescent="0.3">
      <c r="D169" s="14"/>
    </row>
    <row r="170" spans="4:4" x14ac:dyDescent="0.3">
      <c r="D170" s="14"/>
    </row>
    <row r="171" spans="4:4" x14ac:dyDescent="0.3">
      <c r="D171" s="14"/>
    </row>
    <row r="172" spans="4:4" x14ac:dyDescent="0.3">
      <c r="D172" s="14"/>
    </row>
    <row r="173" spans="4:4" x14ac:dyDescent="0.3">
      <c r="D173" s="14"/>
    </row>
    <row r="174" spans="4:4" x14ac:dyDescent="0.3">
      <c r="D174" s="14"/>
    </row>
    <row r="175" spans="4:4" x14ac:dyDescent="0.3">
      <c r="D175" s="14"/>
    </row>
    <row r="176" spans="4:4" x14ac:dyDescent="0.3">
      <c r="D176" s="14"/>
    </row>
    <row r="177" spans="4:4" x14ac:dyDescent="0.3">
      <c r="D177" s="14"/>
    </row>
    <row r="178" spans="4:4" x14ac:dyDescent="0.3">
      <c r="D178" s="14"/>
    </row>
    <row r="179" spans="4:4" x14ac:dyDescent="0.3">
      <c r="D179" s="14"/>
    </row>
    <row r="180" spans="4:4" x14ac:dyDescent="0.3">
      <c r="D180" s="14"/>
    </row>
    <row r="181" spans="4:4" x14ac:dyDescent="0.3">
      <c r="D181" s="14"/>
    </row>
    <row r="182" spans="4:4" x14ac:dyDescent="0.3">
      <c r="D182" s="14"/>
    </row>
    <row r="183" spans="4:4" x14ac:dyDescent="0.3">
      <c r="D183" s="14"/>
    </row>
    <row r="184" spans="4:4" x14ac:dyDescent="0.3">
      <c r="D184" s="14"/>
    </row>
    <row r="185" spans="4:4" x14ac:dyDescent="0.3">
      <c r="D185" s="14"/>
    </row>
    <row r="186" spans="4:4" x14ac:dyDescent="0.3">
      <c r="D186" s="14"/>
    </row>
    <row r="187" spans="4:4" x14ac:dyDescent="0.3">
      <c r="D187" s="14"/>
    </row>
    <row r="188" spans="4:4" x14ac:dyDescent="0.3">
      <c r="D188" s="14"/>
    </row>
    <row r="189" spans="4:4" x14ac:dyDescent="0.3">
      <c r="D189" s="14"/>
    </row>
    <row r="190" spans="4:4" x14ac:dyDescent="0.3">
      <c r="D190" s="14"/>
    </row>
    <row r="191" spans="4:4" x14ac:dyDescent="0.3">
      <c r="D191" s="14"/>
    </row>
    <row r="192" spans="4:4" x14ac:dyDescent="0.3">
      <c r="D192" s="14"/>
    </row>
    <row r="193" spans="4:4" x14ac:dyDescent="0.3">
      <c r="D193" s="14"/>
    </row>
    <row r="194" spans="4:4" x14ac:dyDescent="0.3">
      <c r="D194" s="14"/>
    </row>
    <row r="195" spans="4:4" x14ac:dyDescent="0.3">
      <c r="D195" s="14"/>
    </row>
    <row r="196" spans="4:4" x14ac:dyDescent="0.3">
      <c r="D196" s="14"/>
    </row>
    <row r="197" spans="4:4" x14ac:dyDescent="0.3">
      <c r="D197" s="14"/>
    </row>
    <row r="198" spans="4:4" x14ac:dyDescent="0.3">
      <c r="D198" s="14"/>
    </row>
    <row r="199" spans="4:4" x14ac:dyDescent="0.3">
      <c r="D199" s="14"/>
    </row>
    <row r="200" spans="4:4" x14ac:dyDescent="0.3">
      <c r="D200" s="14"/>
    </row>
    <row r="201" spans="4:4" x14ac:dyDescent="0.3">
      <c r="D201" s="14"/>
    </row>
    <row r="202" spans="4:4" x14ac:dyDescent="0.3">
      <c r="D202" s="14"/>
    </row>
    <row r="203" spans="4:4" x14ac:dyDescent="0.3">
      <c r="D203" s="14"/>
    </row>
    <row r="204" spans="4:4" x14ac:dyDescent="0.3">
      <c r="D204" s="14"/>
    </row>
    <row r="205" spans="4:4" x14ac:dyDescent="0.3">
      <c r="D205" s="14"/>
    </row>
    <row r="206" spans="4:4" x14ac:dyDescent="0.3">
      <c r="D206" s="14"/>
    </row>
    <row r="207" spans="4:4" x14ac:dyDescent="0.3">
      <c r="D207" s="14"/>
    </row>
    <row r="208" spans="4:4" x14ac:dyDescent="0.3">
      <c r="D208" s="14"/>
    </row>
    <row r="209" spans="4:4" x14ac:dyDescent="0.3">
      <c r="D209" s="14"/>
    </row>
    <row r="210" spans="4:4" x14ac:dyDescent="0.3">
      <c r="D210" s="14"/>
    </row>
    <row r="211" spans="4:4" x14ac:dyDescent="0.3">
      <c r="D211" s="14"/>
    </row>
    <row r="212" spans="4:4" x14ac:dyDescent="0.3">
      <c r="D212" s="14"/>
    </row>
    <row r="213" spans="4:4" x14ac:dyDescent="0.3">
      <c r="D213" s="14"/>
    </row>
    <row r="214" spans="4:4" x14ac:dyDescent="0.3">
      <c r="D214" s="14"/>
    </row>
  </sheetData>
  <sheetProtection algorithmName="SHA-512" hashValue="J32ZocfmA9ut6eLVJ3iIFSZQBkLlEVNzwoWxcnsZzk2GLzMg7L5i7HPTEp5kP6b+zNigkC/FFOk5S6llzAfKGw==" saltValue="7JkmLc0VqSThOJoUrnD5p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Cover&gt;</vt:lpstr>
      <vt:lpstr>Control Sheet</vt:lpstr>
      <vt:lpstr>Schedules</vt:lpstr>
      <vt:lpstr>3 Statement Model</vt:lpstr>
      <vt:lpstr>Common Size Statement</vt:lpstr>
      <vt:lpstr>Ratio Analysis</vt:lpstr>
      <vt:lpstr>DCF&gt;</vt:lpstr>
      <vt:lpstr>DCF Val</vt:lpstr>
      <vt:lpstr>Client Data&gt;</vt:lpstr>
      <vt:lpstr>Audited Balance Sheet</vt:lpstr>
      <vt:lpstr>Audited 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Dhaka</dc:creator>
  <cp:lastModifiedBy>Shivansh Dhaka</cp:lastModifiedBy>
  <dcterms:created xsi:type="dcterms:W3CDTF">2025-07-09T19:19:36Z</dcterms:created>
  <dcterms:modified xsi:type="dcterms:W3CDTF">2025-07-14T18:59:18Z</dcterms:modified>
</cp:coreProperties>
</file>