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G20" i="1" l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4" i="1"/>
  <c r="CF1" i="1"/>
  <c r="BH4" i="1" l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3" i="1"/>
  <c r="V77" i="1" l="1"/>
  <c r="V76" i="1"/>
  <c r="V75" i="1"/>
  <c r="V74" i="1"/>
  <c r="V73" i="1"/>
  <c r="V72" i="1"/>
  <c r="V71" i="1"/>
  <c r="V70" i="1"/>
  <c r="AB70" i="1" s="1"/>
  <c r="V69" i="1"/>
  <c r="V68" i="1"/>
  <c r="V67" i="1"/>
  <c r="V66" i="1"/>
  <c r="AB66" i="1" s="1"/>
  <c r="V65" i="1"/>
  <c r="V64" i="1"/>
  <c r="V63" i="1"/>
  <c r="V62" i="1"/>
  <c r="AB62" i="1" s="1"/>
  <c r="V61" i="1"/>
  <c r="V60" i="1"/>
  <c r="V59" i="1"/>
  <c r="V58" i="1"/>
  <c r="AB58" i="1" s="1"/>
  <c r="V57" i="1"/>
  <c r="V56" i="1"/>
  <c r="V55" i="1"/>
  <c r="V54" i="1"/>
  <c r="AB54" i="1" s="1"/>
  <c r="V53" i="1"/>
  <c r="V52" i="1"/>
  <c r="V51" i="1"/>
  <c r="V50" i="1"/>
  <c r="AB50" i="1" s="1"/>
  <c r="V49" i="1"/>
  <c r="V48" i="1"/>
  <c r="V47" i="1"/>
  <c r="V46" i="1"/>
  <c r="AB46" i="1" s="1"/>
  <c r="V45" i="1"/>
  <c r="V44" i="1"/>
  <c r="V43" i="1"/>
  <c r="V42" i="1"/>
  <c r="AB42" i="1" s="1"/>
  <c r="V41" i="1"/>
  <c r="V40" i="1"/>
  <c r="V39" i="1"/>
  <c r="V38" i="1"/>
  <c r="AB38" i="1" s="1"/>
  <c r="V37" i="1"/>
  <c r="V36" i="1"/>
  <c r="V35" i="1"/>
  <c r="V34" i="1"/>
  <c r="AB34" i="1" s="1"/>
  <c r="V33" i="1"/>
  <c r="V32" i="1"/>
  <c r="V31" i="1"/>
  <c r="V30" i="1"/>
  <c r="AB30" i="1" s="1"/>
  <c r="V29" i="1"/>
  <c r="V28" i="1"/>
  <c r="V27" i="1"/>
  <c r="V26" i="1"/>
  <c r="AB26" i="1" s="1"/>
  <c r="V25" i="1"/>
  <c r="V24" i="1"/>
  <c r="V23" i="1"/>
  <c r="V22" i="1"/>
  <c r="AB22" i="1" s="1"/>
  <c r="V21" i="1"/>
  <c r="V20" i="1"/>
  <c r="V19" i="1"/>
  <c r="V18" i="1"/>
  <c r="AB18" i="1" s="1"/>
  <c r="V17" i="1"/>
  <c r="V16" i="1"/>
  <c r="V15" i="1"/>
  <c r="V14" i="1"/>
  <c r="AB14" i="1" s="1"/>
  <c r="V13" i="1"/>
  <c r="V12" i="1"/>
  <c r="V11" i="1"/>
  <c r="V10" i="1"/>
  <c r="AB10" i="1" s="1"/>
  <c r="V9" i="1"/>
  <c r="V8" i="1"/>
  <c r="V7" i="1"/>
  <c r="V6" i="1"/>
  <c r="AB6" i="1" s="1"/>
  <c r="V5" i="1"/>
  <c r="V4" i="1"/>
  <c r="V3" i="1"/>
  <c r="W77" i="1"/>
  <c r="AB77" i="1" s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B73" i="1" l="1"/>
  <c r="AB74" i="1"/>
  <c r="AB3" i="1"/>
  <c r="AB7" i="1"/>
  <c r="AB11" i="1"/>
  <c r="AB15" i="1"/>
  <c r="AB19" i="1"/>
  <c r="AB23" i="1"/>
  <c r="AB27" i="1"/>
  <c r="AB31" i="1"/>
  <c r="AB35" i="1"/>
  <c r="AB39" i="1"/>
  <c r="AB43" i="1"/>
  <c r="AB47" i="1"/>
  <c r="AB51" i="1"/>
  <c r="AB55" i="1"/>
  <c r="AB59" i="1"/>
  <c r="AB63" i="1"/>
  <c r="AB67" i="1"/>
  <c r="AB71" i="1"/>
  <c r="AB75" i="1"/>
  <c r="AB4" i="1"/>
  <c r="AB8" i="1"/>
  <c r="AB12" i="1"/>
  <c r="AB16" i="1"/>
  <c r="AB20" i="1"/>
  <c r="AB24" i="1"/>
  <c r="AB28" i="1"/>
  <c r="AB32" i="1"/>
  <c r="AB36" i="1"/>
  <c r="AB40" i="1"/>
  <c r="AB44" i="1"/>
  <c r="AB48" i="1"/>
  <c r="AB52" i="1"/>
  <c r="AB56" i="1"/>
  <c r="AB60" i="1"/>
  <c r="AB64" i="1"/>
  <c r="AB68" i="1"/>
  <c r="AB72" i="1"/>
  <c r="AB76" i="1"/>
  <c r="AB5" i="1"/>
  <c r="AB9" i="1"/>
  <c r="AB13" i="1"/>
  <c r="AB17" i="1"/>
  <c r="AB21" i="1"/>
  <c r="AB25" i="1"/>
  <c r="AB29" i="1"/>
  <c r="AB33" i="1"/>
  <c r="AB37" i="1"/>
  <c r="AB41" i="1"/>
  <c r="AB45" i="1"/>
  <c r="AB49" i="1"/>
  <c r="AB53" i="1"/>
  <c r="AB57" i="1"/>
  <c r="AB61" i="1"/>
  <c r="AB65" i="1"/>
  <c r="AB69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27" i="1"/>
  <c r="Q28" i="1"/>
  <c r="Q29" i="1"/>
  <c r="Q30" i="1"/>
  <c r="Q31" i="1"/>
  <c r="Q32" i="1"/>
  <c r="Q33" i="1"/>
  <c r="Q34" i="1"/>
  <c r="Q35" i="1"/>
  <c r="Q36" i="1"/>
  <c r="Q37" i="1"/>
  <c r="Q38" i="1"/>
  <c r="Q23" i="1"/>
  <c r="Q24" i="1"/>
  <c r="Q25" i="1"/>
  <c r="Q2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DV32" i="1" l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4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29" i="1"/>
  <c r="DC30" i="1"/>
  <c r="DC31" i="1"/>
  <c r="DC32" i="1"/>
  <c r="DC33" i="1"/>
  <c r="DC34" i="1"/>
  <c r="DC35" i="1"/>
  <c r="DC36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4" i="1"/>
  <c r="DC5" i="1"/>
  <c r="DC6" i="1"/>
  <c r="DC7" i="1"/>
  <c r="DC8" i="1"/>
  <c r="DC9" i="1"/>
  <c r="DC10" i="1"/>
  <c r="DC11" i="1"/>
  <c r="DC12" i="1"/>
  <c r="DC13" i="1"/>
  <c r="DC14" i="1"/>
  <c r="DC3" i="1"/>
  <c r="DO78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5" i="1"/>
  <c r="DO6" i="1"/>
  <c r="DO7" i="1"/>
  <c r="DO4" i="1"/>
  <c r="DI70" i="1"/>
  <c r="DI71" i="1"/>
  <c r="DI72" i="1"/>
  <c r="DI73" i="1"/>
  <c r="DI74" i="1"/>
  <c r="DI75" i="1"/>
  <c r="DI76" i="1"/>
  <c r="DI77" i="1"/>
  <c r="DI78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" i="1"/>
  <c r="CE73" i="1"/>
  <c r="CE74" i="1"/>
  <c r="CE75" i="1"/>
  <c r="CE76" i="1"/>
  <c r="CE77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23" i="1"/>
  <c r="CE24" i="1"/>
  <c r="CE25" i="1"/>
  <c r="CE26" i="1"/>
  <c r="CE27" i="1"/>
  <c r="CE28" i="1"/>
  <c r="CE29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6" i="1"/>
  <c r="CE7" i="1"/>
  <c r="CE8" i="1"/>
  <c r="CE9" i="1"/>
  <c r="CE10" i="1"/>
  <c r="CE4" i="1"/>
  <c r="CE5" i="1"/>
  <c r="CE3" i="1"/>
</calcChain>
</file>

<file path=xl/sharedStrings.xml><?xml version="1.0" encoding="utf-8"?>
<sst xmlns="http://schemas.openxmlformats.org/spreadsheetml/2006/main" count="351" uniqueCount="199">
  <si>
    <t>09</t>
  </si>
  <si>
    <t>0901</t>
  </si>
  <si>
    <t>UTTAR PRADESH</t>
  </si>
  <si>
    <t>SAHARANPUR</t>
  </si>
  <si>
    <t>0902</t>
  </si>
  <si>
    <t>MUZAFFARNAGAR</t>
  </si>
  <si>
    <t>0903</t>
  </si>
  <si>
    <t>BIJNOR</t>
  </si>
  <si>
    <t>0904</t>
  </si>
  <si>
    <t>MORADABAD</t>
  </si>
  <si>
    <t>0905</t>
  </si>
  <si>
    <t>RAMPUR</t>
  </si>
  <si>
    <t>0906</t>
  </si>
  <si>
    <t>JYOTIBA PHULE NAGAR</t>
  </si>
  <si>
    <t>0907</t>
  </si>
  <si>
    <t>MEERUT</t>
  </si>
  <si>
    <t>0908</t>
  </si>
  <si>
    <t>BAGHPAT</t>
  </si>
  <si>
    <t>0909</t>
  </si>
  <si>
    <t>GHAZIABAD</t>
  </si>
  <si>
    <t>0910</t>
  </si>
  <si>
    <t>GAUTAM BUDDHA NAGAR</t>
  </si>
  <si>
    <t>0911</t>
  </si>
  <si>
    <t>BULANDSHAHR</t>
  </si>
  <si>
    <t>0912</t>
  </si>
  <si>
    <t>ALIGARH</t>
  </si>
  <si>
    <t>0913</t>
  </si>
  <si>
    <t>HATHRAS</t>
  </si>
  <si>
    <t>0914</t>
  </si>
  <si>
    <t>MATHURA</t>
  </si>
  <si>
    <t>0915</t>
  </si>
  <si>
    <t>AGRA</t>
  </si>
  <si>
    <t>0916</t>
  </si>
  <si>
    <t>FIROZABAD</t>
  </si>
  <si>
    <t>0917</t>
  </si>
  <si>
    <t>ETAH</t>
  </si>
  <si>
    <t>0918</t>
  </si>
  <si>
    <t>MAINPURI</t>
  </si>
  <si>
    <t>0919</t>
  </si>
  <si>
    <t>BUDAUN</t>
  </si>
  <si>
    <t>0920</t>
  </si>
  <si>
    <t>BAREILLY</t>
  </si>
  <si>
    <t>0921</t>
  </si>
  <si>
    <t>PILIBHIT</t>
  </si>
  <si>
    <t>0922</t>
  </si>
  <si>
    <t>SHAHJAHANPUR</t>
  </si>
  <si>
    <t>0923</t>
  </si>
  <si>
    <t>KHERI</t>
  </si>
  <si>
    <t>0924</t>
  </si>
  <si>
    <t>SITAPUR</t>
  </si>
  <si>
    <t>0925</t>
  </si>
  <si>
    <t>HARDOI</t>
  </si>
  <si>
    <t>0926</t>
  </si>
  <si>
    <t>UNNAO</t>
  </si>
  <si>
    <t>0927</t>
  </si>
  <si>
    <t>LUCKNOW</t>
  </si>
  <si>
    <t>0928</t>
  </si>
  <si>
    <t>RAE BARELI</t>
  </si>
  <si>
    <t>0929</t>
  </si>
  <si>
    <t>FARRUKHABAD</t>
  </si>
  <si>
    <t>0930</t>
  </si>
  <si>
    <t>KANNAUJ</t>
  </si>
  <si>
    <t>0931</t>
  </si>
  <si>
    <t>ETAWAH</t>
  </si>
  <si>
    <t>0932</t>
  </si>
  <si>
    <t>AURAIYA</t>
  </si>
  <si>
    <t>0933</t>
  </si>
  <si>
    <t>KANPUR DEHAT</t>
  </si>
  <si>
    <t>0934</t>
  </si>
  <si>
    <t>KANPUR NAGAR</t>
  </si>
  <si>
    <t>0935</t>
  </si>
  <si>
    <t>JALAUN</t>
  </si>
  <si>
    <t>0936</t>
  </si>
  <si>
    <t>JHANSI</t>
  </si>
  <si>
    <t>0937</t>
  </si>
  <si>
    <t>LALITPUR</t>
  </si>
  <si>
    <t>0938</t>
  </si>
  <si>
    <t>HAMIRPUR (U.P.)</t>
  </si>
  <si>
    <t>0939</t>
  </si>
  <si>
    <t>MAHOBA</t>
  </si>
  <si>
    <t>0940</t>
  </si>
  <si>
    <t>BANDA</t>
  </si>
  <si>
    <t>0941</t>
  </si>
  <si>
    <t>CHITRAKOOT</t>
  </si>
  <si>
    <t>0942</t>
  </si>
  <si>
    <t>FATEHPUR</t>
  </si>
  <si>
    <t>0943</t>
  </si>
  <si>
    <t>PRATAPGARH</t>
  </si>
  <si>
    <t>0944</t>
  </si>
  <si>
    <t>KAUSHAMBI</t>
  </si>
  <si>
    <t>0945</t>
  </si>
  <si>
    <t>ALLAHABAD</t>
  </si>
  <si>
    <t>0946</t>
  </si>
  <si>
    <t>BARABANKI</t>
  </si>
  <si>
    <t>0947</t>
  </si>
  <si>
    <t>FAIZABAD</t>
  </si>
  <si>
    <t>0948</t>
  </si>
  <si>
    <t>AMBEDKAR NAGAR</t>
  </si>
  <si>
    <t>0949</t>
  </si>
  <si>
    <t>Sultanpur</t>
  </si>
  <si>
    <t>0950</t>
  </si>
  <si>
    <t>BAHRAICH</t>
  </si>
  <si>
    <t>0951</t>
  </si>
  <si>
    <t>SHRAWASTI</t>
  </si>
  <si>
    <t>0952</t>
  </si>
  <si>
    <t>BALRAMPUR (U.P)</t>
  </si>
  <si>
    <t>0953</t>
  </si>
  <si>
    <t>GONDA</t>
  </si>
  <si>
    <t>0954</t>
  </si>
  <si>
    <t>SIDDHARTHNAGAR</t>
  </si>
  <si>
    <t>0955</t>
  </si>
  <si>
    <t>BASTI</t>
  </si>
  <si>
    <t>0956</t>
  </si>
  <si>
    <t>SANT KABIR NAGAR</t>
  </si>
  <si>
    <t>0957</t>
  </si>
  <si>
    <t>MAHARAJGANJ</t>
  </si>
  <si>
    <t>0958</t>
  </si>
  <si>
    <t>GORAKHPUR</t>
  </si>
  <si>
    <t>0959</t>
  </si>
  <si>
    <t>KUSHINAGAR</t>
  </si>
  <si>
    <t>0960</t>
  </si>
  <si>
    <t>DEORIA</t>
  </si>
  <si>
    <t>0961</t>
  </si>
  <si>
    <t>AZAMGARH</t>
  </si>
  <si>
    <t>0962</t>
  </si>
  <si>
    <t>MAU</t>
  </si>
  <si>
    <t>0963</t>
  </si>
  <si>
    <t>BALLIA</t>
  </si>
  <si>
    <t>0964</t>
  </si>
  <si>
    <t>JAUNPUR</t>
  </si>
  <si>
    <t>0965</t>
  </si>
  <si>
    <t>GHAZIPUR</t>
  </si>
  <si>
    <t>0966</t>
  </si>
  <si>
    <t>CHANDAULI</t>
  </si>
  <si>
    <t>0967</t>
  </si>
  <si>
    <t>VARANASI</t>
  </si>
  <si>
    <t>0968</t>
  </si>
  <si>
    <t>SAMBHAL (BHIM NAGAR)</t>
  </si>
  <si>
    <t>0969</t>
  </si>
  <si>
    <t>MIRZAPUR</t>
  </si>
  <si>
    <t>0970</t>
  </si>
  <si>
    <t>SONBHADRA</t>
  </si>
  <si>
    <t>0971</t>
  </si>
  <si>
    <t>BHADOI</t>
  </si>
  <si>
    <t>0972</t>
  </si>
  <si>
    <t>KANSHIRAM NAGAR</t>
  </si>
  <si>
    <t>0973</t>
  </si>
  <si>
    <t>AMETHI - CSM NAGAR</t>
  </si>
  <si>
    <t>0974</t>
  </si>
  <si>
    <t>SHAMLI (PRABUDH NAGAR)</t>
  </si>
  <si>
    <t>0975</t>
  </si>
  <si>
    <t>HAPUR (PANCHSHEEL NAGAR)</t>
  </si>
  <si>
    <t>All Weather Road</t>
  </si>
  <si>
    <t>Boundary Wall</t>
  </si>
  <si>
    <t>Playground Facility</t>
  </si>
  <si>
    <t>Drinking Water</t>
  </si>
  <si>
    <t>Electricity</t>
  </si>
  <si>
    <t>Girls' Toilet</t>
  </si>
  <si>
    <t>Mid-Day Meal</t>
  </si>
  <si>
    <t>Private Schools</t>
  </si>
  <si>
    <t>Single Classroom schools</t>
  </si>
  <si>
    <t>Total No. of Teachers</t>
  </si>
  <si>
    <t>No. of Female Teachers</t>
  </si>
  <si>
    <t>Total No. of Students</t>
  </si>
  <si>
    <t>Teachers with secondary education</t>
  </si>
  <si>
    <t>Higher Secondary</t>
  </si>
  <si>
    <t>Graduate</t>
  </si>
  <si>
    <t>Post Graduate</t>
  </si>
  <si>
    <t>M.Phil/Phd</t>
  </si>
  <si>
    <t>Total No. of Classrooms</t>
  </si>
  <si>
    <t>Single Teacher Schools</t>
  </si>
  <si>
    <t>Above 30</t>
  </si>
  <si>
    <t>Above 35</t>
  </si>
  <si>
    <t>Student to Teacher Ratio in No. of Schools</t>
  </si>
  <si>
    <t>Students to Classroom ration in No. of schools</t>
  </si>
  <si>
    <t>Student-Teacher Ratio</t>
  </si>
  <si>
    <t>Teacher's Qualification</t>
  </si>
  <si>
    <t>Incentives</t>
  </si>
  <si>
    <t>SC Enrollment</t>
  </si>
  <si>
    <t xml:space="preserve">ST Enrollment </t>
  </si>
  <si>
    <t>OBC Enrollment</t>
  </si>
  <si>
    <t>Muslim Enrollment</t>
  </si>
  <si>
    <t>Total no. of Girl Students</t>
  </si>
  <si>
    <t>Minority Enrollment</t>
  </si>
  <si>
    <t>No. of students with disability</t>
  </si>
  <si>
    <t>Public Schools</t>
  </si>
  <si>
    <t>Repeaters by Grade</t>
  </si>
  <si>
    <t>Type of College</t>
  </si>
  <si>
    <t>Schools with enrollment &lt;= 50</t>
  </si>
  <si>
    <r>
      <t xml:space="preserve">                                                              </t>
    </r>
    <r>
      <rPr>
        <b/>
        <sz val="14"/>
        <color theme="1"/>
        <rFont val="Calibri"/>
        <family val="2"/>
        <scheme val="minor"/>
      </rPr>
      <t>SCHOOLS'S INFRASTRUCTURE</t>
    </r>
  </si>
  <si>
    <r>
      <t xml:space="preserve">                                      </t>
    </r>
    <r>
      <rPr>
        <b/>
        <sz val="14"/>
        <color theme="1"/>
        <rFont val="Calibri"/>
        <family val="2"/>
        <scheme val="minor"/>
      </rPr>
      <t xml:space="preserve">    FACILITIES PROVIDED</t>
    </r>
  </si>
  <si>
    <r>
      <t xml:space="preserve">                                                          </t>
    </r>
    <r>
      <rPr>
        <b/>
        <sz val="14"/>
        <color theme="1"/>
        <rFont val="Calibri"/>
        <family val="2"/>
        <scheme val="minor"/>
      </rPr>
      <t>TEACHING ASPECT</t>
    </r>
  </si>
  <si>
    <t xml:space="preserve">                                     SOCIAL REASONS</t>
  </si>
  <si>
    <t xml:space="preserve">                                EDUCATIONAL QUALITY</t>
  </si>
  <si>
    <t>Classroom/Student Ratio ((1/SCR)*100000)</t>
  </si>
  <si>
    <t>Retention Rate (As descrived in the pdf)</t>
  </si>
  <si>
    <t>Total No. of students that failed</t>
  </si>
  <si>
    <t>Retention Rate (As described in the PDF)</t>
  </si>
  <si>
    <t>Promotion Rate (As descrived in the pdf)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</si>
</sst>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1"/>
      <name val="Dialog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78"/>
  <sheetViews>
    <sheetView tabSelected="1" topLeftCell="AY40" zoomScale="74" zoomScaleNormal="74" workbookViewId="0">
      <selection activeCell="BI3" sqref="BI3:BI77"/>
    </sheetView>
  </sheetViews>
  <sheetFormatPr defaultRowHeight="14.4"/>
  <cols>
    <col min="3" max="3" width="15.44140625" customWidth="1"/>
    <col min="4" max="4" width="25" customWidth="1"/>
    <col min="5" max="5" width="15.6640625" customWidth="1"/>
    <col min="6" max="6" width="14" customWidth="1"/>
    <col min="7" max="7" width="16.88671875" customWidth="1"/>
    <col min="8" max="8" width="13.6640625" customWidth="1"/>
    <col min="9" max="9" width="9.77734375" customWidth="1"/>
    <col min="10" max="16" width="10.21875" customWidth="1"/>
    <col min="17" max="17" width="20.77734375" customWidth="1"/>
    <col min="18" max="18" width="29" customWidth="1"/>
    <col min="19" max="19" width="31.44140625" customWidth="1"/>
    <col min="20" max="20" width="12.88671875" customWidth="1"/>
    <col min="21" max="21" width="21.109375" customWidth="1"/>
    <col min="22" max="22" width="21.6640625" customWidth="1"/>
    <col min="23" max="31" width="14.88671875" customWidth="1"/>
    <col min="32" max="32" width="20.5546875" customWidth="1"/>
    <col min="33" max="33" width="21.109375" customWidth="1"/>
    <col min="34" max="34" width="21.21875" customWidth="1"/>
    <col min="35" max="35" width="23.44140625" customWidth="1"/>
    <col min="36" max="41" width="20.109375" customWidth="1"/>
    <col min="42" max="42" width="17.109375" customWidth="1"/>
    <col min="44" max="44" width="22" customWidth="1"/>
    <col min="45" max="45" width="17.77734375" customWidth="1"/>
    <col min="46" max="49" width="26.33203125" customWidth="1"/>
    <col min="50" max="50" width="19.109375" customWidth="1"/>
    <col min="51" max="51" width="17.5546875" customWidth="1"/>
    <col min="54" max="54" width="18.5546875" customWidth="1"/>
    <col min="55" max="55" width="18.77734375" customWidth="1"/>
    <col min="56" max="59" width="26.44140625" customWidth="1"/>
    <col min="60" max="60" width="26.88671875" customWidth="1"/>
    <col min="61" max="61" width="12.77734375" customWidth="1"/>
    <col min="66" max="66" width="34.77734375" customWidth="1"/>
    <col min="67" max="67" width="34.44140625" customWidth="1"/>
    <col min="69" max="69" width="19.6640625" customWidth="1"/>
    <col min="70" max="70" width="19" customWidth="1"/>
    <col min="75" max="75" width="18.33203125" customWidth="1"/>
    <col min="76" max="76" width="18.21875" customWidth="1"/>
    <col min="77" max="77" width="18.109375" customWidth="1"/>
    <col min="78" max="78" width="20.109375" customWidth="1"/>
    <col min="83" max="83" width="15.33203125" customWidth="1"/>
    <col min="88" max="88" width="22.33203125" customWidth="1"/>
    <col min="91" max="91" width="20" customWidth="1"/>
    <col min="92" max="92" width="20.44140625" customWidth="1"/>
    <col min="97" max="97" width="30.88671875" customWidth="1"/>
    <col min="98" max="98" width="21.5546875" customWidth="1"/>
    <col min="99" max="99" width="15.77734375" customWidth="1"/>
    <col min="100" max="100" width="15" customWidth="1"/>
    <col min="101" max="101" width="14" customWidth="1"/>
    <col min="102" max="102" width="18.6640625" customWidth="1"/>
    <col min="103" max="103" width="14" customWidth="1"/>
    <col min="104" max="104" width="15.33203125" customWidth="1"/>
    <col min="105" max="105" width="18.44140625" customWidth="1"/>
    <col min="106" max="107" width="21.88671875" customWidth="1"/>
    <col min="108" max="108" width="17.77734375" customWidth="1"/>
    <col min="109" max="109" width="18.44140625" customWidth="1"/>
    <col min="110" max="113" width="17.44140625" customWidth="1"/>
    <col min="115" max="115" width="21" customWidth="1"/>
    <col min="116" max="116" width="19.109375" customWidth="1"/>
    <col min="117" max="117" width="17.44140625" customWidth="1"/>
    <col min="118" max="118" width="17" customWidth="1"/>
    <col min="119" max="119" width="22.6640625" customWidth="1"/>
    <col min="122" max="122" width="15" customWidth="1"/>
    <col min="123" max="123" width="17.109375" customWidth="1"/>
    <col min="126" max="126" width="17.44140625" customWidth="1"/>
    <col min="132" max="132" width="28.21875" customWidth="1"/>
    <col min="134" max="134" width="17.5546875" customWidth="1"/>
    <col min="135" max="135" width="15.44140625" customWidth="1"/>
    <col min="137" max="137" width="26.5546875" customWidth="1"/>
    <col min="140" max="140" width="40.33203125" customWidth="1"/>
    <col min="163" max="163" width="13.5546875" customWidth="1"/>
    <col min="165" max="165" width="25.6640625" customWidth="1"/>
    <col min="166" max="166" width="25.88671875" customWidth="1"/>
    <col min="167" max="167" width="20.44140625" customWidth="1"/>
    <col min="169" max="169" width="32.44140625" customWidth="1"/>
  </cols>
  <sheetData>
    <row r="1" spans="1:169" ht="18">
      <c r="E1" t="s">
        <v>189</v>
      </c>
      <c r="T1" t="s">
        <v>190</v>
      </c>
      <c r="AG1" t="s">
        <v>191</v>
      </c>
      <c r="AR1" s="6" t="s">
        <v>192</v>
      </c>
      <c r="BB1" s="6" t="s">
        <v>193</v>
      </c>
      <c r="CF1">
        <f>SUM(BW3:BZ3)</f>
        <v>134266</v>
      </c>
    </row>
    <row r="2" spans="1:169"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T2" t="s">
        <v>158</v>
      </c>
      <c r="U2" t="s">
        <v>160</v>
      </c>
      <c r="V2" t="s">
        <v>194</v>
      </c>
      <c r="W2" t="s">
        <v>177</v>
      </c>
      <c r="AG2" t="s">
        <v>162</v>
      </c>
      <c r="AH2" t="s">
        <v>170</v>
      </c>
      <c r="AI2" t="s">
        <v>175</v>
      </c>
      <c r="AJ2" t="s">
        <v>176</v>
      </c>
      <c r="AR2" t="s">
        <v>182</v>
      </c>
      <c r="AS2" t="s">
        <v>183</v>
      </c>
      <c r="AT2" t="s">
        <v>184</v>
      </c>
      <c r="BB2" t="s">
        <v>186</v>
      </c>
      <c r="BC2" t="s">
        <v>187</v>
      </c>
      <c r="BD2" t="s">
        <v>188</v>
      </c>
      <c r="BW2" t="s">
        <v>178</v>
      </c>
      <c r="BX2" t="s">
        <v>179</v>
      </c>
      <c r="BY2" t="s">
        <v>180</v>
      </c>
      <c r="BZ2" t="s">
        <v>181</v>
      </c>
      <c r="CJ2" t="s">
        <v>169</v>
      </c>
      <c r="CM2" t="s">
        <v>161</v>
      </c>
      <c r="CN2" t="s">
        <v>163</v>
      </c>
      <c r="CS2" t="s">
        <v>164</v>
      </c>
      <c r="CT2" t="s">
        <v>165</v>
      </c>
      <c r="CU2" t="s">
        <v>166</v>
      </c>
      <c r="CV2" t="s">
        <v>167</v>
      </c>
      <c r="CW2" t="s">
        <v>168</v>
      </c>
      <c r="DE2" t="s">
        <v>173</v>
      </c>
      <c r="DK2" t="s">
        <v>174</v>
      </c>
    </row>
    <row r="3" spans="1:169">
      <c r="A3" s="1" t="s">
        <v>0</v>
      </c>
      <c r="B3" s="1" t="s">
        <v>1</v>
      </c>
      <c r="C3" s="1" t="s">
        <v>2</v>
      </c>
      <c r="D3" s="1" t="s">
        <v>3</v>
      </c>
      <c r="E3" s="2">
        <v>4069</v>
      </c>
      <c r="F3" s="2">
        <v>3918</v>
      </c>
      <c r="G3" s="2">
        <v>3457</v>
      </c>
      <c r="H3" s="2">
        <v>4039</v>
      </c>
      <c r="I3" s="2">
        <v>2777</v>
      </c>
      <c r="J3" s="2">
        <v>4116</v>
      </c>
      <c r="K3" s="4">
        <v>0.05</v>
      </c>
      <c r="L3" s="4">
        <v>0.1</v>
      </c>
      <c r="M3" s="4">
        <v>0.15</v>
      </c>
      <c r="N3" s="4">
        <v>0.2</v>
      </c>
      <c r="O3" s="4">
        <v>0.2</v>
      </c>
      <c r="P3" s="4">
        <v>0.3</v>
      </c>
      <c r="Q3" s="4">
        <f>SUMPRODUCT(E3:J3,K3:P3)</f>
        <v>3711.8</v>
      </c>
      <c r="R3" s="4">
        <v>3711.8</v>
      </c>
      <c r="T3" s="2">
        <v>0.9336363636363636</v>
      </c>
      <c r="U3" s="2">
        <v>1.2083333333333333</v>
      </c>
      <c r="V3">
        <f>(247.647350173353)/180</f>
        <v>1.3758186120741833</v>
      </c>
      <c r="W3">
        <f>(124725)/400000</f>
        <v>0.31181249999999999</v>
      </c>
      <c r="X3">
        <v>0.3</v>
      </c>
      <c r="Y3">
        <v>-0.1</v>
      </c>
      <c r="Z3">
        <v>0.4</v>
      </c>
      <c r="AA3">
        <v>0.4</v>
      </c>
      <c r="AB3">
        <f>SUMPRODUCT(T3:W3,X3:AA3)</f>
        <v>0.83431002058724901</v>
      </c>
      <c r="AC3">
        <v>2169.2060535268447</v>
      </c>
      <c r="AG3" s="2">
        <v>2524</v>
      </c>
      <c r="AH3" s="2">
        <v>142</v>
      </c>
      <c r="AI3">
        <v>481</v>
      </c>
      <c r="AJ3">
        <v>1314.3000000000002</v>
      </c>
      <c r="AK3">
        <v>0.2</v>
      </c>
      <c r="AL3">
        <v>0.2</v>
      </c>
      <c r="AM3">
        <v>0.3</v>
      </c>
      <c r="AN3">
        <v>0.3</v>
      </c>
      <c r="AO3">
        <v>1256.3814247069436</v>
      </c>
      <c r="AP3">
        <v>1071.79</v>
      </c>
      <c r="AR3">
        <v>87141</v>
      </c>
      <c r="AS3">
        <v>27970</v>
      </c>
      <c r="AT3">
        <v>1580</v>
      </c>
      <c r="AU3">
        <v>0.3</v>
      </c>
      <c r="AV3">
        <v>0.4</v>
      </c>
      <c r="AW3">
        <v>0.3</v>
      </c>
      <c r="AX3">
        <f>SUMPRODUCT(AR3:AT3,AU3:AW3)</f>
        <v>37804.300000000003</v>
      </c>
      <c r="AY3">
        <v>1023.3121642443674</v>
      </c>
      <c r="BB3">
        <v>2786</v>
      </c>
      <c r="BC3">
        <v>2008.15</v>
      </c>
      <c r="BD3" s="2">
        <v>852</v>
      </c>
      <c r="BE3" s="4">
        <v>0.4</v>
      </c>
      <c r="BF3" s="4">
        <v>0.3</v>
      </c>
      <c r="BG3" s="4">
        <v>0.3</v>
      </c>
      <c r="BH3">
        <f>SUMPRODUCT(BB3:BD3,BE3:BG3)</f>
        <v>1972.4450000000002</v>
      </c>
      <c r="BI3">
        <v>4006.5289062499996</v>
      </c>
      <c r="BN3" t="s">
        <v>198</v>
      </c>
      <c r="BO3" t="s">
        <v>197</v>
      </c>
      <c r="BW3" s="2">
        <v>7424</v>
      </c>
      <c r="BX3" s="2">
        <v>3744</v>
      </c>
      <c r="BY3" s="2">
        <v>87553</v>
      </c>
      <c r="BZ3" s="2">
        <v>35545</v>
      </c>
      <c r="CA3" s="3">
        <v>0.3</v>
      </c>
      <c r="CB3" s="3">
        <v>0.3</v>
      </c>
      <c r="CC3" s="3">
        <v>0.2</v>
      </c>
      <c r="CD3" s="3">
        <v>0.2</v>
      </c>
      <c r="CE3">
        <f>SUMPRODUCT(BW3:BZ3,CA3:CD3)</f>
        <v>27970</v>
      </c>
      <c r="CJ3">
        <v>7074</v>
      </c>
      <c r="CM3" s="2">
        <v>6617</v>
      </c>
      <c r="CN3" s="2">
        <v>134941</v>
      </c>
      <c r="CS3">
        <v>162</v>
      </c>
      <c r="CT3">
        <v>1287</v>
      </c>
      <c r="CU3">
        <v>3326</v>
      </c>
      <c r="CV3">
        <v>1724</v>
      </c>
      <c r="CW3">
        <v>21</v>
      </c>
      <c r="CX3">
        <v>0.5</v>
      </c>
      <c r="CY3">
        <v>0.1</v>
      </c>
      <c r="CZ3">
        <v>0.2</v>
      </c>
      <c r="DA3">
        <v>0.25</v>
      </c>
      <c r="DB3">
        <v>0.4</v>
      </c>
      <c r="DC3">
        <f>SUMPRODUCT(CS3:CW3,CX3:DB3)</f>
        <v>1314.3000000000002</v>
      </c>
      <c r="DE3" t="s">
        <v>171</v>
      </c>
      <c r="DF3" t="s">
        <v>172</v>
      </c>
      <c r="DK3" t="s">
        <v>171</v>
      </c>
      <c r="DL3" t="s">
        <v>172</v>
      </c>
      <c r="DR3" t="s">
        <v>185</v>
      </c>
      <c r="DS3" t="s">
        <v>159</v>
      </c>
      <c r="EB3" t="s">
        <v>196</v>
      </c>
      <c r="EJ3" t="s">
        <v>195</v>
      </c>
      <c r="FJ3" t="s">
        <v>163</v>
      </c>
      <c r="FM3" t="s">
        <v>197</v>
      </c>
    </row>
    <row r="4" spans="1:169">
      <c r="A4" s="1" t="s">
        <v>0</v>
      </c>
      <c r="B4" s="1" t="s">
        <v>4</v>
      </c>
      <c r="C4" s="1" t="s">
        <v>2</v>
      </c>
      <c r="D4" s="1" t="s">
        <v>5</v>
      </c>
      <c r="E4" s="2">
        <v>2770</v>
      </c>
      <c r="F4" s="2">
        <v>2661</v>
      </c>
      <c r="G4" s="2">
        <v>2247</v>
      </c>
      <c r="H4" s="2">
        <v>2830</v>
      </c>
      <c r="I4" s="2">
        <v>2019</v>
      </c>
      <c r="J4" s="2">
        <v>2816</v>
      </c>
      <c r="K4" s="4">
        <v>0.05</v>
      </c>
      <c r="L4" s="4">
        <v>0.1</v>
      </c>
      <c r="M4" s="4">
        <v>0.15</v>
      </c>
      <c r="N4" s="4">
        <v>0.2</v>
      </c>
      <c r="O4" s="4">
        <v>0.2</v>
      </c>
      <c r="P4" s="4">
        <v>0.3</v>
      </c>
      <c r="Q4" s="4">
        <f t="shared" ref="Q4:Q67" si="0">SUMPRODUCT(E4:J4,K4:P4)</f>
        <v>2556.25</v>
      </c>
      <c r="R4" s="4">
        <v>2556.25</v>
      </c>
      <c r="T4" s="2">
        <v>0.58545454545454545</v>
      </c>
      <c r="U4" s="2">
        <v>0.125</v>
      </c>
      <c r="V4">
        <f>(148.411991688928)/180</f>
        <v>0.82451106493848891</v>
      </c>
      <c r="W4">
        <f>(331887)/400000</f>
        <v>0.8297175</v>
      </c>
      <c r="X4">
        <v>0.3</v>
      </c>
      <c r="Y4">
        <v>-0.1</v>
      </c>
      <c r="Z4">
        <v>0.4</v>
      </c>
      <c r="AA4">
        <v>0.4</v>
      </c>
      <c r="AB4">
        <f t="shared" ref="AB4:AB67" si="1">SUMPRODUCT(T4:W4,X4:AA4)</f>
        <v>0.82482778961175929</v>
      </c>
      <c r="AC4">
        <v>2144.5522529905757</v>
      </c>
      <c r="AG4" s="2">
        <v>1978</v>
      </c>
      <c r="AH4" s="2">
        <v>135</v>
      </c>
      <c r="AI4">
        <v>789.6</v>
      </c>
      <c r="AJ4">
        <v>3774.4</v>
      </c>
      <c r="AK4">
        <v>0.2</v>
      </c>
      <c r="AL4">
        <v>0.2</v>
      </c>
      <c r="AM4">
        <v>0.3</v>
      </c>
      <c r="AN4">
        <v>0.3</v>
      </c>
      <c r="AO4">
        <v>2100.3967538322809</v>
      </c>
      <c r="AP4">
        <v>1791.8</v>
      </c>
      <c r="AR4">
        <v>298543</v>
      </c>
      <c r="AS4">
        <v>47614.299999999996</v>
      </c>
      <c r="AT4">
        <v>3865</v>
      </c>
      <c r="AU4">
        <v>0.3</v>
      </c>
      <c r="AV4">
        <v>0.4</v>
      </c>
      <c r="AW4">
        <v>0.3</v>
      </c>
      <c r="AX4">
        <f t="shared" ref="AX4:AX67" si="2">SUMPRODUCT(AR4:AT4,AU4:AW4)</f>
        <v>109768.12</v>
      </c>
      <c r="AY4">
        <v>2971.2771415483257</v>
      </c>
      <c r="BB4">
        <v>2174</v>
      </c>
      <c r="BC4">
        <v>1453.75</v>
      </c>
      <c r="BD4" s="2">
        <v>443</v>
      </c>
      <c r="BE4" s="4">
        <v>0.4</v>
      </c>
      <c r="BF4" s="4">
        <v>0.3</v>
      </c>
      <c r="BG4" s="4">
        <v>0.3</v>
      </c>
      <c r="BH4">
        <f t="shared" ref="BH4:BH67" si="3">SUMPRODUCT(BB4:BD4,BE4:BG4)</f>
        <v>1438.625</v>
      </c>
      <c r="BI4">
        <v>2922.2070312500005</v>
      </c>
      <c r="BN4">
        <v>97.714556732201501</v>
      </c>
      <c r="BO4">
        <v>72.768011216564403</v>
      </c>
      <c r="BW4" s="2">
        <v>98426</v>
      </c>
      <c r="BX4" s="2">
        <v>60063</v>
      </c>
      <c r="BY4" s="2">
        <v>286</v>
      </c>
      <c r="BZ4" s="2">
        <v>52</v>
      </c>
      <c r="CA4" s="3">
        <v>0.3</v>
      </c>
      <c r="CB4" s="3">
        <v>0.3</v>
      </c>
      <c r="CC4" s="3">
        <v>0.2</v>
      </c>
      <c r="CD4" s="3">
        <v>0.2</v>
      </c>
      <c r="CE4">
        <f t="shared" ref="CE4:CE67" si="4">SUMPRODUCT(BW4:BZ4,CA4:CD4)</f>
        <v>47614.299999999996</v>
      </c>
      <c r="CJ4">
        <v>20905</v>
      </c>
      <c r="CM4">
        <v>18523</v>
      </c>
      <c r="CN4" s="2">
        <v>477042</v>
      </c>
      <c r="CS4">
        <v>745</v>
      </c>
      <c r="CT4">
        <v>2027</v>
      </c>
      <c r="CU4">
        <v>7336</v>
      </c>
      <c r="CV4">
        <v>6608</v>
      </c>
      <c r="CW4">
        <v>200</v>
      </c>
      <c r="CX4">
        <v>0.5</v>
      </c>
      <c r="CY4">
        <v>0.1</v>
      </c>
      <c r="CZ4">
        <v>0.2</v>
      </c>
      <c r="DA4">
        <v>0.25</v>
      </c>
      <c r="DB4">
        <v>0.4</v>
      </c>
      <c r="DC4">
        <f t="shared" ref="DC4:DC67" si="5">SUMPRODUCT(CS4:CW4,CX4:DB4)</f>
        <v>3774.4</v>
      </c>
      <c r="DE4" s="2">
        <v>747</v>
      </c>
      <c r="DF4" s="2">
        <v>82</v>
      </c>
      <c r="DG4" s="4">
        <v>0.6</v>
      </c>
      <c r="DH4" s="4">
        <v>0.4</v>
      </c>
      <c r="DI4" s="4">
        <f>SUMPRODUCT(DE4:DF4,DG4:DH4)</f>
        <v>481</v>
      </c>
      <c r="DK4" s="2">
        <v>539</v>
      </c>
      <c r="DL4" s="2">
        <v>201</v>
      </c>
      <c r="DM4" s="5">
        <v>0.6</v>
      </c>
      <c r="DN4" s="5">
        <v>0.4</v>
      </c>
      <c r="DO4">
        <f>SUMPRODUCT(DK4:DL4,DM4:DN4)</f>
        <v>403.79999999999995</v>
      </c>
      <c r="DR4" s="2">
        <v>1962</v>
      </c>
      <c r="DS4" s="2">
        <v>2033</v>
      </c>
      <c r="DT4">
        <v>0.35</v>
      </c>
      <c r="DU4">
        <v>0.65</v>
      </c>
      <c r="DV4">
        <f>SUMPRODUCT(DR4:DS4,DT4:DU4)</f>
        <v>2008.15</v>
      </c>
      <c r="EB4">
        <v>3084</v>
      </c>
      <c r="ED4">
        <v>8.0339827346832209</v>
      </c>
      <c r="EE4">
        <v>-11.812592924855</v>
      </c>
      <c r="EF4">
        <v>3.7786101901717792</v>
      </c>
      <c r="EG4">
        <v>2.2854432677985401</v>
      </c>
      <c r="EJ4">
        <v>2.2854432677985401</v>
      </c>
      <c r="EO4" s="2">
        <v>15114</v>
      </c>
      <c r="EP4" s="2">
        <v>12419</v>
      </c>
      <c r="EQ4" s="2">
        <v>11592</v>
      </c>
      <c r="ER4" s="2">
        <v>11208</v>
      </c>
      <c r="ES4" s="2">
        <v>11856</v>
      </c>
      <c r="ET4" s="2">
        <v>11308</v>
      </c>
      <c r="EU4" s="2">
        <v>9087</v>
      </c>
      <c r="EV4" s="2">
        <v>8047</v>
      </c>
      <c r="EW4" s="2">
        <v>8328</v>
      </c>
      <c r="EX4" s="2">
        <v>14006</v>
      </c>
      <c r="EY4" s="2">
        <v>11395</v>
      </c>
      <c r="EZ4" s="2">
        <v>10487</v>
      </c>
      <c r="FA4" s="2">
        <v>9609</v>
      </c>
      <c r="FB4" s="2">
        <v>10206</v>
      </c>
      <c r="FC4" s="2">
        <v>9376</v>
      </c>
      <c r="FD4" s="2">
        <v>7769</v>
      </c>
      <c r="FE4" s="2">
        <v>6527</v>
      </c>
      <c r="FF4" s="2">
        <v>7106</v>
      </c>
      <c r="FG4">
        <f>SUM(EO4:FF4)</f>
        <v>185440</v>
      </c>
      <c r="FI4">
        <v>-12.1304866585736</v>
      </c>
      <c r="FJ4" s="2">
        <v>11.812592924855009</v>
      </c>
      <c r="FK4">
        <v>72.768011216564403</v>
      </c>
      <c r="FM4">
        <v>72.768011216564403</v>
      </c>
    </row>
    <row r="5" spans="1:169">
      <c r="A5" s="1" t="s">
        <v>0</v>
      </c>
      <c r="B5" s="1" t="s">
        <v>6</v>
      </c>
      <c r="C5" s="1" t="s">
        <v>2</v>
      </c>
      <c r="D5" s="1" t="s">
        <v>7</v>
      </c>
      <c r="E5" s="2">
        <v>5015</v>
      </c>
      <c r="F5" s="2">
        <v>4028</v>
      </c>
      <c r="G5" s="2">
        <v>4518</v>
      </c>
      <c r="H5" s="2">
        <v>5039</v>
      </c>
      <c r="I5" s="2">
        <v>2431</v>
      </c>
      <c r="J5" s="2">
        <v>5021</v>
      </c>
      <c r="K5" s="4">
        <v>0.05</v>
      </c>
      <c r="L5" s="4">
        <v>0.1</v>
      </c>
      <c r="M5" s="4">
        <v>0.15</v>
      </c>
      <c r="N5" s="4">
        <v>0.2</v>
      </c>
      <c r="O5" s="4">
        <v>0.2</v>
      </c>
      <c r="P5" s="4">
        <v>0.3</v>
      </c>
      <c r="Q5" s="4">
        <f t="shared" si="0"/>
        <v>4331.55</v>
      </c>
      <c r="R5" s="4">
        <v>4331.55</v>
      </c>
      <c r="T5" s="2">
        <v>1.2245454545454546</v>
      </c>
      <c r="U5" s="2">
        <v>2.5</v>
      </c>
      <c r="V5">
        <f>(176.740897843761)/180</f>
        <v>0.98189387690978325</v>
      </c>
      <c r="W5">
        <f>(226055)/400000</f>
        <v>0.56513749999999996</v>
      </c>
      <c r="X5">
        <v>0.3</v>
      </c>
      <c r="Y5">
        <v>-0.1</v>
      </c>
      <c r="Z5">
        <v>0.4</v>
      </c>
      <c r="AA5">
        <v>0.4</v>
      </c>
      <c r="AB5">
        <f t="shared" si="1"/>
        <v>0.73617618712754973</v>
      </c>
      <c r="AC5">
        <v>1914.0580865316247</v>
      </c>
      <c r="AG5" s="2">
        <v>9197</v>
      </c>
      <c r="AH5" s="2">
        <v>288</v>
      </c>
      <c r="AI5">
        <v>721.2</v>
      </c>
      <c r="AJ5">
        <v>2395.1999999999998</v>
      </c>
      <c r="AK5">
        <v>0.2</v>
      </c>
      <c r="AL5">
        <v>0.2</v>
      </c>
      <c r="AM5">
        <v>0.3</v>
      </c>
      <c r="AN5">
        <v>0.3</v>
      </c>
      <c r="AO5">
        <v>3319.6537421100038</v>
      </c>
      <c r="AP5">
        <v>2831.92</v>
      </c>
      <c r="AR5">
        <v>204388</v>
      </c>
      <c r="AS5">
        <v>24542.9</v>
      </c>
      <c r="AT5">
        <v>1897</v>
      </c>
      <c r="AU5">
        <v>0.3</v>
      </c>
      <c r="AV5">
        <v>0.4</v>
      </c>
      <c r="AW5">
        <v>0.3</v>
      </c>
      <c r="AX5">
        <f t="shared" si="2"/>
        <v>71702.66</v>
      </c>
      <c r="AY5">
        <v>1940.8957231499603</v>
      </c>
      <c r="BB5">
        <v>901</v>
      </c>
      <c r="BC5">
        <v>2441.7999999999997</v>
      </c>
      <c r="BD5" s="2">
        <v>1234</v>
      </c>
      <c r="BE5" s="4">
        <v>0.4</v>
      </c>
      <c r="BF5" s="4">
        <v>0.3</v>
      </c>
      <c r="BG5" s="4">
        <v>0.3</v>
      </c>
      <c r="BH5">
        <f t="shared" si="3"/>
        <v>1463.1399999999999</v>
      </c>
      <c r="BI5">
        <v>2972.0031249999997</v>
      </c>
      <c r="BN5">
        <v>99.502559523060796</v>
      </c>
      <c r="BO5">
        <v>78.810446999267597</v>
      </c>
      <c r="BW5" s="2">
        <v>56825</v>
      </c>
      <c r="BX5" s="2">
        <v>24234</v>
      </c>
      <c r="BY5" s="2">
        <v>979</v>
      </c>
      <c r="BZ5" s="2">
        <v>147</v>
      </c>
      <c r="CA5" s="3">
        <v>0.3</v>
      </c>
      <c r="CB5" s="3">
        <v>0.3</v>
      </c>
      <c r="CC5" s="3">
        <v>0.2</v>
      </c>
      <c r="CD5" s="3">
        <v>0.2</v>
      </c>
      <c r="CE5">
        <f t="shared" si="4"/>
        <v>24542.9</v>
      </c>
      <c r="CJ5">
        <v>15017</v>
      </c>
      <c r="CM5">
        <v>12178</v>
      </c>
      <c r="CN5" s="2">
        <v>348204</v>
      </c>
      <c r="CS5">
        <v>443</v>
      </c>
      <c r="CT5">
        <v>983</v>
      </c>
      <c r="CU5">
        <v>4192</v>
      </c>
      <c r="CV5">
        <v>4820</v>
      </c>
      <c r="CW5">
        <v>80</v>
      </c>
      <c r="CX5">
        <v>0.5</v>
      </c>
      <c r="CY5">
        <v>0.1</v>
      </c>
      <c r="CZ5">
        <v>0.2</v>
      </c>
      <c r="DA5">
        <v>0.25</v>
      </c>
      <c r="DB5">
        <v>0.4</v>
      </c>
      <c r="DC5">
        <f t="shared" si="5"/>
        <v>2395.1999999999998</v>
      </c>
      <c r="DE5" s="2">
        <v>1056</v>
      </c>
      <c r="DF5" s="2">
        <v>390</v>
      </c>
      <c r="DG5" s="4">
        <v>0.6</v>
      </c>
      <c r="DH5" s="4">
        <v>0.4</v>
      </c>
      <c r="DI5" s="4">
        <f t="shared" ref="DI5:DI68" si="6">SUMPRODUCT(DE5:DF5,DG5:DH5)</f>
        <v>789.6</v>
      </c>
      <c r="DK5" s="2">
        <v>849</v>
      </c>
      <c r="DL5" s="2">
        <v>411</v>
      </c>
      <c r="DM5" s="5">
        <v>0.6</v>
      </c>
      <c r="DN5" s="5">
        <v>0.4</v>
      </c>
      <c r="DO5">
        <f t="shared" ref="DO5:DO68" si="7">SUMPRODUCT(DK5:DL5,DM5:DN5)</f>
        <v>673.8</v>
      </c>
      <c r="DR5" s="2">
        <v>1275</v>
      </c>
      <c r="DS5" s="2">
        <v>1550</v>
      </c>
      <c r="DT5">
        <v>0.35</v>
      </c>
      <c r="DU5">
        <v>0.65</v>
      </c>
      <c r="DV5">
        <f t="shared" ref="DV5:DV68" si="8">SUMPRODUCT(DR5:DS5,DT5:DU5)</f>
        <v>1453.75</v>
      </c>
      <c r="EB5">
        <v>2373</v>
      </c>
      <c r="ED5">
        <v>7.7719102564357634</v>
      </c>
      <c r="EE5">
        <v>-13.075359816308699</v>
      </c>
      <c r="EF5">
        <v>5.3034495598729361</v>
      </c>
      <c r="EG5">
        <v>0.49744047693915705</v>
      </c>
      <c r="EJ5">
        <v>0.49744047693915705</v>
      </c>
      <c r="EO5" s="2">
        <v>40893</v>
      </c>
      <c r="EP5" s="2">
        <v>35830</v>
      </c>
      <c r="EQ5" s="2">
        <v>34568</v>
      </c>
      <c r="ER5" s="2">
        <v>32052</v>
      </c>
      <c r="ES5" s="2">
        <v>30173</v>
      </c>
      <c r="ET5" s="2">
        <v>36937</v>
      </c>
      <c r="EU5" s="2">
        <v>38072</v>
      </c>
      <c r="EV5" s="2">
        <v>37876</v>
      </c>
      <c r="EW5" s="2">
        <v>21851</v>
      </c>
      <c r="EX5" s="2">
        <v>37627</v>
      </c>
      <c r="EY5" s="2">
        <v>33596</v>
      </c>
      <c r="EZ5" s="2">
        <v>31993</v>
      </c>
      <c r="FA5" s="2">
        <v>30668</v>
      </c>
      <c r="FB5" s="2">
        <v>28987</v>
      </c>
      <c r="FC5" s="2">
        <v>37734</v>
      </c>
      <c r="FD5" s="2">
        <v>37955</v>
      </c>
      <c r="FE5" s="2">
        <v>37697</v>
      </c>
      <c r="FF5" s="2">
        <v>20794</v>
      </c>
      <c r="FG5">
        <f t="shared" ref="FG5:FG68" si="9">SUM(EO5:FF5)</f>
        <v>605303</v>
      </c>
      <c r="FI5">
        <v>-13.313484438087601</v>
      </c>
      <c r="FJ5" s="2">
        <v>13.075359816308742</v>
      </c>
      <c r="FK5">
        <v>78.810446999267597</v>
      </c>
      <c r="FM5">
        <v>78.810446999267597</v>
      </c>
    </row>
    <row r="6" spans="1:169">
      <c r="A6" s="1" t="s">
        <v>0</v>
      </c>
      <c r="B6" s="1" t="s">
        <v>8</v>
      </c>
      <c r="C6" s="1" t="s">
        <v>2</v>
      </c>
      <c r="D6" s="1" t="s">
        <v>9</v>
      </c>
      <c r="E6" s="2">
        <v>3566</v>
      </c>
      <c r="F6" s="2">
        <v>2987</v>
      </c>
      <c r="G6" s="2">
        <v>2462</v>
      </c>
      <c r="H6" s="2">
        <v>3605</v>
      </c>
      <c r="I6" s="2">
        <v>1679</v>
      </c>
      <c r="J6" s="2">
        <v>3582</v>
      </c>
      <c r="K6" s="4">
        <v>0.05</v>
      </c>
      <c r="L6" s="4">
        <v>0.1</v>
      </c>
      <c r="M6" s="4">
        <v>0.15</v>
      </c>
      <c r="N6" s="4">
        <v>0.2</v>
      </c>
      <c r="O6" s="4">
        <v>0.2</v>
      </c>
      <c r="P6" s="4">
        <v>0.3</v>
      </c>
      <c r="Q6" s="4">
        <f t="shared" si="0"/>
        <v>2977.7</v>
      </c>
      <c r="R6" s="4">
        <v>2977.7</v>
      </c>
      <c r="T6" s="2">
        <v>0.81727272727272726</v>
      </c>
      <c r="U6" s="2">
        <v>0.75</v>
      </c>
      <c r="V6">
        <f>(98.7947046038332)/180</f>
        <v>0.54885947002129554</v>
      </c>
      <c r="W6">
        <f>(351599)/400000</f>
        <v>0.87899749999999999</v>
      </c>
      <c r="X6">
        <v>0.3</v>
      </c>
      <c r="Y6">
        <v>-0.1</v>
      </c>
      <c r="Z6">
        <v>0.4</v>
      </c>
      <c r="AA6">
        <v>0.4</v>
      </c>
      <c r="AB6">
        <f t="shared" si="1"/>
        <v>0.74132460619033635</v>
      </c>
      <c r="AC6">
        <v>1927.4439760948737</v>
      </c>
      <c r="AG6" s="2">
        <v>5727</v>
      </c>
      <c r="AH6" s="2">
        <v>150</v>
      </c>
      <c r="AI6">
        <v>1093.2</v>
      </c>
      <c r="AJ6">
        <v>4231.1499999999996</v>
      </c>
      <c r="AK6">
        <v>0.2</v>
      </c>
      <c r="AL6">
        <v>0.2</v>
      </c>
      <c r="AM6">
        <v>0.3</v>
      </c>
      <c r="AN6">
        <v>0.3</v>
      </c>
      <c r="AO6">
        <v>3250.240306582516</v>
      </c>
      <c r="AP6">
        <v>2772.7049999999999</v>
      </c>
      <c r="AR6">
        <v>363482</v>
      </c>
      <c r="AS6">
        <v>58170.799999999996</v>
      </c>
      <c r="AT6">
        <v>5676</v>
      </c>
      <c r="AU6">
        <v>0.3</v>
      </c>
      <c r="AV6">
        <v>0.4</v>
      </c>
      <c r="AW6">
        <v>0.3</v>
      </c>
      <c r="AX6">
        <f t="shared" si="2"/>
        <v>134015.71999999997</v>
      </c>
      <c r="AY6">
        <v>3627.6274517969459</v>
      </c>
      <c r="BB6">
        <v>3581</v>
      </c>
      <c r="BC6">
        <v>1673.6499999999999</v>
      </c>
      <c r="BD6" s="2">
        <v>509</v>
      </c>
      <c r="BE6" s="4">
        <v>0.4</v>
      </c>
      <c r="BF6" s="4">
        <v>0.3</v>
      </c>
      <c r="BG6" s="4">
        <v>0.3</v>
      </c>
      <c r="BH6">
        <f t="shared" si="3"/>
        <v>2087.1949999999997</v>
      </c>
      <c r="BI6">
        <v>4239.6148437500005</v>
      </c>
      <c r="BN6">
        <v>99.740956450816199</v>
      </c>
      <c r="BO6">
        <v>80.333141077401109</v>
      </c>
      <c r="BW6" s="2">
        <v>122187</v>
      </c>
      <c r="BX6" s="2">
        <v>69337</v>
      </c>
      <c r="BY6" s="2">
        <v>2016</v>
      </c>
      <c r="BZ6" s="2">
        <v>1552</v>
      </c>
      <c r="CA6" s="3">
        <v>0.3</v>
      </c>
      <c r="CB6" s="3">
        <v>0.3</v>
      </c>
      <c r="CC6" s="3">
        <v>0.2</v>
      </c>
      <c r="CD6" s="3">
        <v>0.2</v>
      </c>
      <c r="CE6">
        <f t="shared" si="4"/>
        <v>58170.799999999996</v>
      </c>
      <c r="CJ6">
        <v>21956</v>
      </c>
      <c r="CM6">
        <v>19930</v>
      </c>
      <c r="CN6" s="2">
        <v>546779</v>
      </c>
      <c r="CS6">
        <v>1450</v>
      </c>
      <c r="CT6">
        <v>2559</v>
      </c>
      <c r="CU6">
        <v>5574</v>
      </c>
      <c r="CV6">
        <v>8273</v>
      </c>
      <c r="CW6">
        <v>168</v>
      </c>
      <c r="CX6">
        <v>0.5</v>
      </c>
      <c r="CY6">
        <v>0.1</v>
      </c>
      <c r="CZ6">
        <v>0.2</v>
      </c>
      <c r="DA6">
        <v>0.25</v>
      </c>
      <c r="DB6">
        <v>0.4</v>
      </c>
      <c r="DC6">
        <f t="shared" si="5"/>
        <v>4231.1499999999996</v>
      </c>
      <c r="DE6" s="2">
        <v>1026</v>
      </c>
      <c r="DF6" s="2">
        <v>264</v>
      </c>
      <c r="DG6" s="4">
        <v>0.6</v>
      </c>
      <c r="DH6" s="4">
        <v>0.4</v>
      </c>
      <c r="DI6" s="4">
        <f t="shared" si="6"/>
        <v>721.2</v>
      </c>
      <c r="DK6" s="2">
        <v>769</v>
      </c>
      <c r="DL6" s="2">
        <v>261</v>
      </c>
      <c r="DM6" s="5">
        <v>0.6</v>
      </c>
      <c r="DN6" s="5">
        <v>0.4</v>
      </c>
      <c r="DO6">
        <f t="shared" si="7"/>
        <v>565.79999999999995</v>
      </c>
      <c r="DR6" s="2">
        <v>2590</v>
      </c>
      <c r="DS6" s="2">
        <v>2362</v>
      </c>
      <c r="DT6">
        <v>0.35</v>
      </c>
      <c r="DU6">
        <v>0.65</v>
      </c>
      <c r="DV6">
        <f t="shared" si="8"/>
        <v>2441.7999999999997</v>
      </c>
      <c r="EB6">
        <v>902</v>
      </c>
      <c r="ED6">
        <v>6.804614520062624</v>
      </c>
      <c r="EE6">
        <v>-12.760543793901</v>
      </c>
      <c r="EF6">
        <v>5.9559292738383762</v>
      </c>
      <c r="EG6">
        <v>0.259043549183816</v>
      </c>
      <c r="EJ6">
        <v>0.259043549183816</v>
      </c>
      <c r="EO6" s="2">
        <v>36641</v>
      </c>
      <c r="EP6" s="2">
        <v>33008</v>
      </c>
      <c r="EQ6" s="2">
        <v>31016</v>
      </c>
      <c r="ER6" s="2">
        <v>28662</v>
      </c>
      <c r="ES6" s="2">
        <v>25917</v>
      </c>
      <c r="ET6" s="2">
        <v>20747</v>
      </c>
      <c r="EU6" s="2">
        <v>19552</v>
      </c>
      <c r="EV6" s="2">
        <v>19007</v>
      </c>
      <c r="EW6" s="2">
        <v>15271</v>
      </c>
      <c r="EX6" s="2">
        <v>31317</v>
      </c>
      <c r="EY6" s="2">
        <v>29047</v>
      </c>
      <c r="EZ6" s="2">
        <v>27300</v>
      </c>
      <c r="FA6" s="2">
        <v>25638</v>
      </c>
      <c r="FB6" s="2">
        <v>22933</v>
      </c>
      <c r="FC6" s="2">
        <v>18920</v>
      </c>
      <c r="FD6" s="2">
        <v>18086</v>
      </c>
      <c r="FE6" s="2">
        <v>17254</v>
      </c>
      <c r="FF6" s="2">
        <v>13134</v>
      </c>
      <c r="FG6">
        <f t="shared" si="9"/>
        <v>433450</v>
      </c>
      <c r="FI6">
        <v>-12.9795317282968</v>
      </c>
      <c r="FJ6" s="2">
        <v>12.760543793901018</v>
      </c>
      <c r="FK6">
        <v>80.333141077401109</v>
      </c>
      <c r="FM6">
        <v>80.333141077401109</v>
      </c>
    </row>
    <row r="7" spans="1:169">
      <c r="A7" s="1" t="s">
        <v>0</v>
      </c>
      <c r="B7" s="1" t="s">
        <v>10</v>
      </c>
      <c r="C7" s="1" t="s">
        <v>2</v>
      </c>
      <c r="D7" s="1" t="s">
        <v>11</v>
      </c>
      <c r="E7" s="2">
        <v>3192</v>
      </c>
      <c r="F7" s="2">
        <v>2391</v>
      </c>
      <c r="G7" s="2">
        <v>2640</v>
      </c>
      <c r="H7" s="2">
        <v>3275</v>
      </c>
      <c r="I7" s="2">
        <v>1326</v>
      </c>
      <c r="J7" s="2">
        <v>3253</v>
      </c>
      <c r="K7" s="4">
        <v>0.05</v>
      </c>
      <c r="L7" s="4">
        <v>0.1</v>
      </c>
      <c r="M7" s="4">
        <v>0.15</v>
      </c>
      <c r="N7" s="4">
        <v>0.2</v>
      </c>
      <c r="O7" s="4">
        <v>0.2</v>
      </c>
      <c r="P7" s="4">
        <v>0.3</v>
      </c>
      <c r="Q7" s="4">
        <f t="shared" si="0"/>
        <v>2690.8</v>
      </c>
      <c r="R7" s="4">
        <v>2690.8</v>
      </c>
      <c r="T7" s="2">
        <v>0.91545454545454541</v>
      </c>
      <c r="U7" s="2">
        <v>2.2083333333333335</v>
      </c>
      <c r="V7">
        <f>(124.937531234383)/180</f>
        <v>0.69409739574657225</v>
      </c>
      <c r="W7">
        <f>(363698)/400000</f>
        <v>0.90924499999999997</v>
      </c>
      <c r="X7">
        <v>0.3</v>
      </c>
      <c r="Y7">
        <v>-0.1</v>
      </c>
      <c r="Z7">
        <v>0.4</v>
      </c>
      <c r="AA7">
        <v>0.4</v>
      </c>
      <c r="AB7">
        <f t="shared" si="1"/>
        <v>0.69513998860165915</v>
      </c>
      <c r="AC7">
        <v>1807.3639703643162</v>
      </c>
      <c r="AG7" s="2">
        <v>9647</v>
      </c>
      <c r="AH7" s="2">
        <v>535</v>
      </c>
      <c r="AI7">
        <v>851</v>
      </c>
      <c r="AJ7">
        <v>4192.8999999999996</v>
      </c>
      <c r="AK7">
        <v>0.2</v>
      </c>
      <c r="AL7">
        <v>0.2</v>
      </c>
      <c r="AM7">
        <v>0.3</v>
      </c>
      <c r="AN7">
        <v>0.3</v>
      </c>
      <c r="AO7">
        <v>4160.9026149684496</v>
      </c>
      <c r="AP7">
        <v>3549.57</v>
      </c>
      <c r="AR7">
        <v>315628</v>
      </c>
      <c r="AS7">
        <v>30397.599999999999</v>
      </c>
      <c r="AT7">
        <v>4680</v>
      </c>
      <c r="AU7">
        <v>0.3</v>
      </c>
      <c r="AV7">
        <v>0.4</v>
      </c>
      <c r="AW7">
        <v>0.3</v>
      </c>
      <c r="AX7">
        <f t="shared" si="2"/>
        <v>108251.44</v>
      </c>
      <c r="AY7">
        <v>2930.2226294090624</v>
      </c>
      <c r="BB7">
        <v>233</v>
      </c>
      <c r="BC7">
        <v>1443.9499999999998</v>
      </c>
      <c r="BD7" s="2">
        <v>727</v>
      </c>
      <c r="BE7" s="4">
        <v>0.4</v>
      </c>
      <c r="BF7" s="4">
        <v>0.3</v>
      </c>
      <c r="BG7" s="4">
        <v>0.3</v>
      </c>
      <c r="BH7">
        <f t="shared" si="3"/>
        <v>744.48500000000001</v>
      </c>
      <c r="BI7">
        <v>1512.2351562499998</v>
      </c>
      <c r="BN7">
        <v>99.254909204632895</v>
      </c>
      <c r="BO7">
        <v>76.3340118218984</v>
      </c>
      <c r="BW7" s="2">
        <v>68988</v>
      </c>
      <c r="BX7" s="2">
        <v>32228</v>
      </c>
      <c r="BY7" s="2">
        <v>77</v>
      </c>
      <c r="BZ7" s="2">
        <v>87</v>
      </c>
      <c r="CA7" s="3">
        <v>0.3</v>
      </c>
      <c r="CB7" s="3">
        <v>0.3</v>
      </c>
      <c r="CC7" s="3">
        <v>0.2</v>
      </c>
      <c r="CD7" s="3">
        <v>0.2</v>
      </c>
      <c r="CE7">
        <f t="shared" si="4"/>
        <v>30397.599999999999</v>
      </c>
      <c r="CJ7">
        <v>21234</v>
      </c>
      <c r="CM7">
        <v>19452</v>
      </c>
      <c r="CN7" s="2">
        <v>523430</v>
      </c>
      <c r="CS7">
        <v>208</v>
      </c>
      <c r="CT7">
        <v>1217</v>
      </c>
      <c r="CU7">
        <v>8885</v>
      </c>
      <c r="CV7">
        <v>8540</v>
      </c>
      <c r="CW7">
        <v>138</v>
      </c>
      <c r="CX7">
        <v>0.5</v>
      </c>
      <c r="CY7">
        <v>0.1</v>
      </c>
      <c r="CZ7">
        <v>0.2</v>
      </c>
      <c r="DA7">
        <v>0.25</v>
      </c>
      <c r="DB7">
        <v>0.4</v>
      </c>
      <c r="DC7">
        <f t="shared" si="5"/>
        <v>4192.8999999999996</v>
      </c>
      <c r="DE7" s="2">
        <v>1508</v>
      </c>
      <c r="DF7" s="2">
        <v>471</v>
      </c>
      <c r="DG7" s="4">
        <v>0.6</v>
      </c>
      <c r="DH7" s="4">
        <v>0.4</v>
      </c>
      <c r="DI7" s="4">
        <f t="shared" si="6"/>
        <v>1093.2</v>
      </c>
      <c r="DK7" s="2">
        <v>1341</v>
      </c>
      <c r="DL7" s="2">
        <v>519</v>
      </c>
      <c r="DM7" s="5">
        <v>0.6</v>
      </c>
      <c r="DN7" s="5">
        <v>0.4</v>
      </c>
      <c r="DO7">
        <f t="shared" si="7"/>
        <v>1012.2</v>
      </c>
      <c r="DR7" s="2">
        <v>1751</v>
      </c>
      <c r="DS7" s="2">
        <v>1632</v>
      </c>
      <c r="DT7">
        <v>0.35</v>
      </c>
      <c r="DU7">
        <v>0.65</v>
      </c>
      <c r="DV7">
        <f t="shared" si="8"/>
        <v>1673.6499999999999</v>
      </c>
      <c r="EB7">
        <v>4074</v>
      </c>
      <c r="ED7">
        <v>8.3123805967867508</v>
      </c>
      <c r="EE7">
        <v>-13.2117999778274</v>
      </c>
      <c r="EF7">
        <v>4.8994193810406497</v>
      </c>
      <c r="EG7">
        <v>0.74509079536706602</v>
      </c>
      <c r="EJ7">
        <v>0.74509079536706602</v>
      </c>
      <c r="EO7" s="2">
        <v>42765</v>
      </c>
      <c r="EP7" s="2">
        <v>44028</v>
      </c>
      <c r="EQ7" s="2">
        <v>44872</v>
      </c>
      <c r="ER7" s="2">
        <v>43435</v>
      </c>
      <c r="ES7" s="2">
        <v>40394</v>
      </c>
      <c r="ET7" s="2">
        <v>37878</v>
      </c>
      <c r="EU7" s="2">
        <v>38698</v>
      </c>
      <c r="EV7" s="2">
        <v>38569</v>
      </c>
      <c r="EW7" s="2">
        <v>24778</v>
      </c>
      <c r="EX7" s="2">
        <v>43073</v>
      </c>
      <c r="EY7" s="2">
        <v>42116</v>
      </c>
      <c r="EZ7" s="2">
        <v>43588</v>
      </c>
      <c r="FA7" s="2">
        <v>42238</v>
      </c>
      <c r="FB7" s="2">
        <v>39236</v>
      </c>
      <c r="FC7" s="2">
        <v>41974</v>
      </c>
      <c r="FD7" s="2">
        <v>41589</v>
      </c>
      <c r="FE7" s="2">
        <v>41363</v>
      </c>
      <c r="FF7" s="2">
        <v>25704</v>
      </c>
      <c r="FG7">
        <f t="shared" si="9"/>
        <v>716298</v>
      </c>
      <c r="FI7">
        <v>-13.4818515604724</v>
      </c>
      <c r="FJ7" s="2">
        <v>13.211799977827422</v>
      </c>
      <c r="FK7">
        <v>76.3340118218984</v>
      </c>
      <c r="FM7">
        <v>76.3340118218984</v>
      </c>
    </row>
    <row r="8" spans="1:169">
      <c r="A8" s="1" t="s">
        <v>0</v>
      </c>
      <c r="B8" s="1" t="s">
        <v>12</v>
      </c>
      <c r="C8" s="1" t="s">
        <v>2</v>
      </c>
      <c r="D8" s="1" t="s">
        <v>13</v>
      </c>
      <c r="E8" s="2">
        <v>2876</v>
      </c>
      <c r="F8" s="2">
        <v>2708</v>
      </c>
      <c r="G8" s="2">
        <v>1975</v>
      </c>
      <c r="H8" s="2">
        <v>2920</v>
      </c>
      <c r="I8" s="2">
        <v>1614</v>
      </c>
      <c r="J8" s="2">
        <v>2906</v>
      </c>
      <c r="K8" s="4">
        <v>0.05</v>
      </c>
      <c r="L8" s="4">
        <v>0.1</v>
      </c>
      <c r="M8" s="4">
        <v>0.15</v>
      </c>
      <c r="N8" s="4">
        <v>0.2</v>
      </c>
      <c r="O8" s="4">
        <v>0.2</v>
      </c>
      <c r="P8" s="4">
        <v>0.3</v>
      </c>
      <c r="Q8" s="4">
        <f t="shared" si="0"/>
        <v>2489.4499999999998</v>
      </c>
      <c r="R8" s="4">
        <v>2489.4499999999998</v>
      </c>
      <c r="T8" s="2">
        <v>0.70818181818181813</v>
      </c>
      <c r="U8" s="2">
        <v>1.625</v>
      </c>
      <c r="V8">
        <f>(154.894671623296)/180</f>
        <v>0.86052595346275562</v>
      </c>
      <c r="W8">
        <f>(231084)/400000</f>
        <v>0.57770999999999995</v>
      </c>
      <c r="X8">
        <v>0.3</v>
      </c>
      <c r="Y8">
        <v>-0.1</v>
      </c>
      <c r="Z8">
        <v>0.4</v>
      </c>
      <c r="AA8">
        <v>0.4</v>
      </c>
      <c r="AB8">
        <f t="shared" si="1"/>
        <v>0.62524892683964772</v>
      </c>
      <c r="AC8">
        <v>1625.6472097830847</v>
      </c>
      <c r="AG8" s="2">
        <v>9190</v>
      </c>
      <c r="AH8" s="2">
        <v>177</v>
      </c>
      <c r="AI8">
        <v>1041.5999999999999</v>
      </c>
      <c r="AJ8">
        <v>2033.6</v>
      </c>
      <c r="AK8">
        <v>0.2</v>
      </c>
      <c r="AL8">
        <v>0.2</v>
      </c>
      <c r="AM8">
        <v>0.3</v>
      </c>
      <c r="AN8">
        <v>0.3</v>
      </c>
      <c r="AO8">
        <v>3277.5004508566321</v>
      </c>
      <c r="AP8">
        <v>2795.96</v>
      </c>
      <c r="AR8">
        <v>247165</v>
      </c>
      <c r="AS8">
        <v>24876.199999999997</v>
      </c>
      <c r="AT8">
        <v>2730</v>
      </c>
      <c r="AU8">
        <v>0.3</v>
      </c>
      <c r="AV8">
        <v>0.4</v>
      </c>
      <c r="AW8">
        <v>0.3</v>
      </c>
      <c r="AX8">
        <f t="shared" si="2"/>
        <v>84918.98</v>
      </c>
      <c r="AY8">
        <v>2298.6439428642821</v>
      </c>
      <c r="BB8">
        <v>291</v>
      </c>
      <c r="BC8">
        <v>1347.75</v>
      </c>
      <c r="BD8" s="2">
        <v>891</v>
      </c>
      <c r="BE8" s="4">
        <v>0.4</v>
      </c>
      <c r="BF8" s="4">
        <v>0.3</v>
      </c>
      <c r="BG8" s="4">
        <v>0.3</v>
      </c>
      <c r="BH8">
        <f t="shared" si="3"/>
        <v>788.02500000000009</v>
      </c>
      <c r="BI8">
        <v>1600.67578125</v>
      </c>
      <c r="BN8">
        <v>99.954912786810098</v>
      </c>
      <c r="BO8">
        <v>81.121501700134601</v>
      </c>
      <c r="BW8" s="2">
        <v>58327</v>
      </c>
      <c r="BX8" s="2">
        <v>24535</v>
      </c>
      <c r="BY8" s="2">
        <v>19</v>
      </c>
      <c r="BZ8" s="2">
        <v>69</v>
      </c>
      <c r="CA8" s="3">
        <v>0.3</v>
      </c>
      <c r="CB8" s="3">
        <v>0.3</v>
      </c>
      <c r="CC8" s="3">
        <v>0.2</v>
      </c>
      <c r="CD8" s="3">
        <v>0.2</v>
      </c>
      <c r="CE8">
        <f t="shared" si="4"/>
        <v>24876.199999999997</v>
      </c>
      <c r="CJ8">
        <v>15870</v>
      </c>
      <c r="CM8">
        <v>10181</v>
      </c>
      <c r="CN8" s="2">
        <v>403733</v>
      </c>
      <c r="CS8">
        <v>243</v>
      </c>
      <c r="CT8">
        <v>458</v>
      </c>
      <c r="CU8">
        <v>4980</v>
      </c>
      <c r="CV8">
        <v>3438</v>
      </c>
      <c r="CW8">
        <v>27</v>
      </c>
      <c r="CX8">
        <v>0.5</v>
      </c>
      <c r="CY8">
        <v>0.1</v>
      </c>
      <c r="CZ8">
        <v>0.2</v>
      </c>
      <c r="DA8">
        <v>0.25</v>
      </c>
      <c r="DB8">
        <v>0.4</v>
      </c>
      <c r="DC8">
        <f t="shared" si="5"/>
        <v>2033.6</v>
      </c>
      <c r="DE8" s="2">
        <v>1215</v>
      </c>
      <c r="DF8" s="2">
        <v>305</v>
      </c>
      <c r="DG8" s="4">
        <v>0.6</v>
      </c>
      <c r="DH8" s="4">
        <v>0.4</v>
      </c>
      <c r="DI8" s="4">
        <f t="shared" si="6"/>
        <v>851</v>
      </c>
      <c r="DK8" s="2">
        <v>1044</v>
      </c>
      <c r="DL8" s="2">
        <v>435</v>
      </c>
      <c r="DM8" s="5">
        <v>0.6</v>
      </c>
      <c r="DN8" s="5">
        <v>0.4</v>
      </c>
      <c r="DO8">
        <f t="shared" si="7"/>
        <v>800.4</v>
      </c>
      <c r="DR8" s="2">
        <v>1988</v>
      </c>
      <c r="DS8" s="2">
        <v>1151</v>
      </c>
      <c r="DT8">
        <v>0.35</v>
      </c>
      <c r="DU8">
        <v>0.65</v>
      </c>
      <c r="DV8">
        <f t="shared" si="8"/>
        <v>1443.9499999999998</v>
      </c>
      <c r="EB8">
        <v>236</v>
      </c>
      <c r="ED8">
        <v>5.4638318050256105</v>
      </c>
      <c r="EE8">
        <v>-13.168158584974799</v>
      </c>
      <c r="EF8">
        <v>7.7043267799491888</v>
      </c>
      <c r="EG8">
        <v>4.5087213189918603E-2</v>
      </c>
      <c r="EJ8">
        <v>4.5087213189918603E-2</v>
      </c>
      <c r="EO8" s="2">
        <v>54618</v>
      </c>
      <c r="EP8" s="2">
        <v>44491</v>
      </c>
      <c r="EQ8" s="2">
        <v>42054</v>
      </c>
      <c r="ER8" s="2">
        <v>38600</v>
      </c>
      <c r="ES8" s="2">
        <v>36001</v>
      </c>
      <c r="ET8" s="2">
        <v>31834</v>
      </c>
      <c r="EU8" s="2">
        <v>29890</v>
      </c>
      <c r="EV8" s="2">
        <v>29161</v>
      </c>
      <c r="EW8" s="2">
        <v>25159</v>
      </c>
      <c r="EX8" s="2">
        <v>49090</v>
      </c>
      <c r="EY8" s="2">
        <v>41219</v>
      </c>
      <c r="EZ8" s="2">
        <v>39111</v>
      </c>
      <c r="FA8" s="2">
        <v>37105</v>
      </c>
      <c r="FB8" s="2">
        <v>34680</v>
      </c>
      <c r="FC8" s="2">
        <v>30720</v>
      </c>
      <c r="FD8" s="2">
        <v>29302</v>
      </c>
      <c r="FE8" s="2">
        <v>28719</v>
      </c>
      <c r="FF8" s="2">
        <v>23488</v>
      </c>
      <c r="FG8">
        <f t="shared" si="9"/>
        <v>645242</v>
      </c>
      <c r="FI8">
        <v>-13.3773807192088</v>
      </c>
      <c r="FJ8" s="2">
        <v>13.168158584974762</v>
      </c>
      <c r="FK8">
        <v>81.121501700134601</v>
      </c>
      <c r="FM8">
        <v>81.121501700134601</v>
      </c>
    </row>
    <row r="9" spans="1:169">
      <c r="A9" s="1" t="s">
        <v>0</v>
      </c>
      <c r="B9" s="1" t="s">
        <v>14</v>
      </c>
      <c r="C9" s="1" t="s">
        <v>2</v>
      </c>
      <c r="D9" s="1" t="s">
        <v>15</v>
      </c>
      <c r="E9" s="2">
        <v>2873</v>
      </c>
      <c r="F9" s="2">
        <v>2787</v>
      </c>
      <c r="G9" s="2">
        <v>1773</v>
      </c>
      <c r="H9" s="2">
        <v>2841</v>
      </c>
      <c r="I9" s="2">
        <v>2137</v>
      </c>
      <c r="J9" s="2">
        <v>2850</v>
      </c>
      <c r="K9" s="4">
        <v>0.05</v>
      </c>
      <c r="L9" s="4">
        <v>0.1</v>
      </c>
      <c r="M9" s="4">
        <v>0.15</v>
      </c>
      <c r="N9" s="4">
        <v>0.2</v>
      </c>
      <c r="O9" s="4">
        <v>0.2</v>
      </c>
      <c r="P9" s="4">
        <v>0.3</v>
      </c>
      <c r="Q9" s="4">
        <f t="shared" si="0"/>
        <v>2538.9</v>
      </c>
      <c r="R9" s="4">
        <v>2538.9</v>
      </c>
      <c r="T9" s="2">
        <v>0.63272727272727269</v>
      </c>
      <c r="U9" s="2">
        <v>0.91666666666666663</v>
      </c>
      <c r="V9">
        <f>(181.554103122731)/180</f>
        <v>1.0086339062373944</v>
      </c>
      <c r="W9">
        <f>(165578)/400000</f>
        <v>0.41394500000000001</v>
      </c>
      <c r="X9">
        <v>0.3</v>
      </c>
      <c r="Y9">
        <v>-0.1</v>
      </c>
      <c r="Z9">
        <v>0.4</v>
      </c>
      <c r="AA9">
        <v>0.4</v>
      </c>
      <c r="AB9">
        <f t="shared" si="1"/>
        <v>0.66718307764647289</v>
      </c>
      <c r="AC9">
        <v>1734.6760018808272</v>
      </c>
      <c r="AG9" s="2">
        <v>4439</v>
      </c>
      <c r="AH9" s="2">
        <v>205</v>
      </c>
      <c r="AI9">
        <v>627.4</v>
      </c>
      <c r="AJ9">
        <v>2394.3999999999996</v>
      </c>
      <c r="AK9">
        <v>0.2</v>
      </c>
      <c r="AL9">
        <v>0.2</v>
      </c>
      <c r="AM9">
        <v>0.3</v>
      </c>
      <c r="AN9">
        <v>0.3</v>
      </c>
      <c r="AO9">
        <v>2151.4355275022535</v>
      </c>
      <c r="AP9">
        <v>1835.3399999999997</v>
      </c>
      <c r="AR9">
        <v>207576</v>
      </c>
      <c r="AS9">
        <v>20051.3</v>
      </c>
      <c r="AT9">
        <v>2085</v>
      </c>
      <c r="AU9">
        <v>0.3</v>
      </c>
      <c r="AV9">
        <v>0.4</v>
      </c>
      <c r="AW9">
        <v>0.3</v>
      </c>
      <c r="AX9">
        <f t="shared" si="2"/>
        <v>70918.819999999992</v>
      </c>
      <c r="AY9">
        <v>1919.6782159663524</v>
      </c>
      <c r="BB9">
        <v>328</v>
      </c>
      <c r="BC9">
        <v>1392.9</v>
      </c>
      <c r="BD9" s="2">
        <v>520</v>
      </c>
      <c r="BE9" s="4">
        <v>0.4</v>
      </c>
      <c r="BF9" s="4">
        <v>0.3</v>
      </c>
      <c r="BG9" s="4">
        <v>0.3</v>
      </c>
      <c r="BH9">
        <f t="shared" si="3"/>
        <v>705.07</v>
      </c>
      <c r="BI9">
        <v>1432.1734375000001</v>
      </c>
      <c r="BN9">
        <v>99.910336781982195</v>
      </c>
      <c r="BO9">
        <v>80.200912988027099</v>
      </c>
      <c r="BW9" s="2">
        <v>44950</v>
      </c>
      <c r="BX9" s="2">
        <v>21033</v>
      </c>
      <c r="BY9" s="2">
        <v>999</v>
      </c>
      <c r="BZ9" s="2">
        <v>283</v>
      </c>
      <c r="CA9" s="3">
        <v>0.3</v>
      </c>
      <c r="CB9" s="3">
        <v>0.3</v>
      </c>
      <c r="CC9" s="3">
        <v>0.2</v>
      </c>
      <c r="CD9" s="3">
        <v>0.2</v>
      </c>
      <c r="CE9">
        <f t="shared" si="4"/>
        <v>20051.3</v>
      </c>
      <c r="CJ9">
        <v>14401</v>
      </c>
      <c r="CM9">
        <v>11953</v>
      </c>
      <c r="CN9" s="2">
        <v>321439</v>
      </c>
      <c r="CS9">
        <v>312</v>
      </c>
      <c r="CT9">
        <v>1140</v>
      </c>
      <c r="CU9">
        <v>5591</v>
      </c>
      <c r="CV9">
        <v>3852</v>
      </c>
      <c r="CW9">
        <v>108</v>
      </c>
      <c r="CX9">
        <v>0.5</v>
      </c>
      <c r="CY9">
        <v>0.1</v>
      </c>
      <c r="CZ9">
        <v>0.2</v>
      </c>
      <c r="DA9">
        <v>0.25</v>
      </c>
      <c r="DB9">
        <v>0.4</v>
      </c>
      <c r="DC9">
        <f t="shared" si="5"/>
        <v>2394.3999999999996</v>
      </c>
      <c r="DE9" s="2">
        <v>1472</v>
      </c>
      <c r="DF9" s="2">
        <v>396</v>
      </c>
      <c r="DG9" s="4">
        <v>0.6</v>
      </c>
      <c r="DH9" s="4">
        <v>0.4</v>
      </c>
      <c r="DI9" s="4">
        <f t="shared" si="6"/>
        <v>1041.5999999999999</v>
      </c>
      <c r="DK9" s="2">
        <v>904</v>
      </c>
      <c r="DL9" s="2">
        <v>258</v>
      </c>
      <c r="DM9" s="5">
        <v>0.6</v>
      </c>
      <c r="DN9" s="5">
        <v>0.4</v>
      </c>
      <c r="DO9">
        <f t="shared" si="7"/>
        <v>645.6</v>
      </c>
      <c r="DR9" s="2">
        <v>1572</v>
      </c>
      <c r="DS9" s="2">
        <v>1227</v>
      </c>
      <c r="DT9">
        <v>0.35</v>
      </c>
      <c r="DU9">
        <v>0.65</v>
      </c>
      <c r="DV9">
        <f t="shared" si="8"/>
        <v>1347.75</v>
      </c>
      <c r="EB9">
        <v>362</v>
      </c>
      <c r="ED9">
        <v>5.8916442118257715</v>
      </c>
      <c r="EE9">
        <v>-12.9085090473694</v>
      </c>
      <c r="EF9">
        <v>7.0168648355436281</v>
      </c>
      <c r="EG9">
        <v>8.9663218017847796E-2</v>
      </c>
      <c r="EJ9">
        <v>8.9663218017847796E-2</v>
      </c>
      <c r="EO9" s="2">
        <v>36450</v>
      </c>
      <c r="EP9" s="2">
        <v>35955</v>
      </c>
      <c r="EQ9" s="2">
        <v>35046</v>
      </c>
      <c r="ER9" s="2">
        <v>33160</v>
      </c>
      <c r="ES9" s="2">
        <v>32234</v>
      </c>
      <c r="ET9" s="2">
        <v>22372</v>
      </c>
      <c r="EU9" s="2">
        <v>21982</v>
      </c>
      <c r="EV9" s="2">
        <v>20821</v>
      </c>
      <c r="EW9" s="2">
        <v>19243</v>
      </c>
      <c r="EX9" s="2">
        <v>32835</v>
      </c>
      <c r="EY9" s="2">
        <v>33095</v>
      </c>
      <c r="EZ9" s="2">
        <v>32758</v>
      </c>
      <c r="FA9" s="2">
        <v>31966</v>
      </c>
      <c r="FB9" s="2">
        <v>30633</v>
      </c>
      <c r="FC9" s="2">
        <v>21784</v>
      </c>
      <c r="FD9" s="2">
        <v>22090</v>
      </c>
      <c r="FE9" s="2">
        <v>21263</v>
      </c>
      <c r="FF9" s="2">
        <v>19715</v>
      </c>
      <c r="FG9">
        <f t="shared" si="9"/>
        <v>503402</v>
      </c>
      <c r="FI9">
        <v>-13.1291443346592</v>
      </c>
      <c r="FJ9" s="2">
        <v>12.908509047369394</v>
      </c>
      <c r="FK9">
        <v>80.200912988027099</v>
      </c>
      <c r="FM9">
        <v>80.200912988027099</v>
      </c>
    </row>
    <row r="10" spans="1:169">
      <c r="A10" s="1" t="s">
        <v>0</v>
      </c>
      <c r="B10" s="1" t="s">
        <v>16</v>
      </c>
      <c r="C10" s="1" t="s">
        <v>2</v>
      </c>
      <c r="D10" s="1" t="s">
        <v>17</v>
      </c>
      <c r="E10" s="2">
        <v>1145</v>
      </c>
      <c r="F10" s="2">
        <v>1161</v>
      </c>
      <c r="G10" s="2">
        <v>1112</v>
      </c>
      <c r="H10" s="2">
        <v>1166</v>
      </c>
      <c r="I10" s="2">
        <v>808</v>
      </c>
      <c r="J10" s="2">
        <v>1162</v>
      </c>
      <c r="K10" s="4">
        <v>0.05</v>
      </c>
      <c r="L10" s="4">
        <v>0.1</v>
      </c>
      <c r="M10" s="4">
        <v>0.15</v>
      </c>
      <c r="N10" s="4">
        <v>0.2</v>
      </c>
      <c r="O10" s="4">
        <v>0.2</v>
      </c>
      <c r="P10" s="4">
        <v>0.3</v>
      </c>
      <c r="Q10" s="4">
        <f t="shared" si="0"/>
        <v>1083.55</v>
      </c>
      <c r="R10" s="4">
        <v>1083.55</v>
      </c>
      <c r="T10" s="2">
        <v>0.34136363636363637</v>
      </c>
      <c r="U10" s="2">
        <v>0</v>
      </c>
      <c r="V10">
        <f>(130.039011703511)/180</f>
        <v>0.72243895390839441</v>
      </c>
      <c r="W10">
        <f>(80775)/400000</f>
        <v>0.20193749999999999</v>
      </c>
      <c r="X10">
        <v>0.3</v>
      </c>
      <c r="Y10">
        <v>-0.1</v>
      </c>
      <c r="Z10">
        <v>0.4</v>
      </c>
      <c r="AA10">
        <v>0.4</v>
      </c>
      <c r="AB10">
        <f t="shared" si="1"/>
        <v>0.47215967247244867</v>
      </c>
      <c r="AC10">
        <v>1227.6151484283648</v>
      </c>
      <c r="AG10" s="2">
        <v>4896</v>
      </c>
      <c r="AH10" s="2">
        <v>4</v>
      </c>
      <c r="AI10">
        <v>744.4</v>
      </c>
      <c r="AJ10">
        <v>3267.6</v>
      </c>
      <c r="AK10">
        <v>0.2</v>
      </c>
      <c r="AL10">
        <v>0.2</v>
      </c>
      <c r="AM10">
        <v>0.3</v>
      </c>
      <c r="AN10">
        <v>0.3</v>
      </c>
      <c r="AO10">
        <v>2559.675383228132</v>
      </c>
      <c r="AP10">
        <v>2183.6</v>
      </c>
      <c r="AR10">
        <v>272599</v>
      </c>
      <c r="AS10">
        <v>39852.699999999997</v>
      </c>
      <c r="AT10">
        <v>4206</v>
      </c>
      <c r="AU10">
        <v>0.3</v>
      </c>
      <c r="AV10">
        <v>0.4</v>
      </c>
      <c r="AW10">
        <v>0.3</v>
      </c>
      <c r="AX10">
        <f t="shared" si="2"/>
        <v>98982.58</v>
      </c>
      <c r="AY10">
        <v>2679.3269062591198</v>
      </c>
      <c r="BB10">
        <v>374</v>
      </c>
      <c r="BC10">
        <v>548.9</v>
      </c>
      <c r="BD10" s="2">
        <v>234</v>
      </c>
      <c r="BE10" s="4">
        <v>0.4</v>
      </c>
      <c r="BF10" s="4">
        <v>0.3</v>
      </c>
      <c r="BG10" s="4">
        <v>0.3</v>
      </c>
      <c r="BH10">
        <f t="shared" si="3"/>
        <v>384.46999999999997</v>
      </c>
      <c r="BI10">
        <v>780.95468750000009</v>
      </c>
      <c r="BN10">
        <v>99.878359502113895</v>
      </c>
      <c r="BO10">
        <v>77.377616654152604</v>
      </c>
      <c r="BW10" s="2">
        <v>92774</v>
      </c>
      <c r="BX10" s="2">
        <v>40055</v>
      </c>
      <c r="BY10" s="2">
        <v>12</v>
      </c>
      <c r="BZ10" s="2">
        <v>8</v>
      </c>
      <c r="CA10" s="3">
        <v>0.3</v>
      </c>
      <c r="CB10" s="3">
        <v>0.3</v>
      </c>
      <c r="CC10" s="3">
        <v>0.2</v>
      </c>
      <c r="CD10" s="3">
        <v>0.2</v>
      </c>
      <c r="CE10">
        <f t="shared" si="4"/>
        <v>39852.699999999997</v>
      </c>
      <c r="CJ10">
        <v>16613</v>
      </c>
      <c r="CM10">
        <v>15072</v>
      </c>
      <c r="CN10" s="2">
        <v>473377</v>
      </c>
      <c r="CS10">
        <v>87</v>
      </c>
      <c r="CT10">
        <v>1300</v>
      </c>
      <c r="CU10">
        <v>5492</v>
      </c>
      <c r="CV10">
        <v>7522</v>
      </c>
      <c r="CW10">
        <v>288</v>
      </c>
      <c r="CX10">
        <v>0.5</v>
      </c>
      <c r="CY10">
        <v>0.1</v>
      </c>
      <c r="CZ10">
        <v>0.2</v>
      </c>
      <c r="DA10">
        <v>0.25</v>
      </c>
      <c r="DB10">
        <v>0.4</v>
      </c>
      <c r="DC10">
        <f t="shared" si="5"/>
        <v>3267.6</v>
      </c>
      <c r="DE10" s="2">
        <v>867</v>
      </c>
      <c r="DF10" s="2">
        <v>268</v>
      </c>
      <c r="DG10" s="4">
        <v>0.6</v>
      </c>
      <c r="DH10" s="4">
        <v>0.4</v>
      </c>
      <c r="DI10" s="4">
        <f t="shared" si="6"/>
        <v>627.4</v>
      </c>
      <c r="DK10" s="2">
        <v>710</v>
      </c>
      <c r="DL10" s="2">
        <v>312</v>
      </c>
      <c r="DM10" s="5">
        <v>0.6</v>
      </c>
      <c r="DN10" s="5">
        <v>0.4</v>
      </c>
      <c r="DO10">
        <f t="shared" si="7"/>
        <v>550.79999999999995</v>
      </c>
      <c r="DR10" s="2">
        <v>1389</v>
      </c>
      <c r="DS10" s="2">
        <v>1395</v>
      </c>
      <c r="DT10">
        <v>0.35</v>
      </c>
      <c r="DU10">
        <v>0.65</v>
      </c>
      <c r="DV10">
        <f t="shared" si="8"/>
        <v>1392.9</v>
      </c>
      <c r="EB10">
        <v>391</v>
      </c>
      <c r="ED10">
        <v>5.9687075599853658</v>
      </c>
      <c r="EE10">
        <v>-12.6805630690434</v>
      </c>
      <c r="EF10">
        <v>6.7118555090580339</v>
      </c>
      <c r="EG10">
        <v>0.12164049788607201</v>
      </c>
      <c r="EJ10">
        <v>0.12164049788607201</v>
      </c>
      <c r="EO10" s="2">
        <v>30915</v>
      </c>
      <c r="EP10" s="2">
        <v>27231</v>
      </c>
      <c r="EQ10" s="2">
        <v>26314</v>
      </c>
      <c r="ER10" s="2">
        <v>25320</v>
      </c>
      <c r="ES10" s="2">
        <v>23191</v>
      </c>
      <c r="ET10" s="2">
        <v>20395</v>
      </c>
      <c r="EU10" s="2">
        <v>19741</v>
      </c>
      <c r="EV10" s="2">
        <v>19928</v>
      </c>
      <c r="EW10" s="2">
        <v>15785</v>
      </c>
      <c r="EX10" s="2">
        <v>29608</v>
      </c>
      <c r="EY10" s="2">
        <v>26320</v>
      </c>
      <c r="EZ10" s="2">
        <v>26064</v>
      </c>
      <c r="FA10" s="2">
        <v>25118</v>
      </c>
      <c r="FB10" s="2">
        <v>23224</v>
      </c>
      <c r="FC10" s="2">
        <v>20430</v>
      </c>
      <c r="FD10" s="2">
        <v>20209</v>
      </c>
      <c r="FE10" s="2">
        <v>20026</v>
      </c>
      <c r="FF10" s="2">
        <v>15597</v>
      </c>
      <c r="FG10">
        <f t="shared" si="9"/>
        <v>415416</v>
      </c>
      <c r="FI10">
        <v>-12.937035706774299</v>
      </c>
      <c r="FJ10" s="2">
        <v>12.680563069043425</v>
      </c>
      <c r="FK10">
        <v>77.377616654152604</v>
      </c>
      <c r="FM10">
        <v>77.377616654152604</v>
      </c>
    </row>
    <row r="11" spans="1:169">
      <c r="A11" s="1" t="s">
        <v>0</v>
      </c>
      <c r="B11" s="1" t="s">
        <v>18</v>
      </c>
      <c r="C11" s="1" t="s">
        <v>2</v>
      </c>
      <c r="D11" s="1" t="s">
        <v>19</v>
      </c>
      <c r="E11" s="2">
        <v>1705</v>
      </c>
      <c r="F11" s="2">
        <v>1604</v>
      </c>
      <c r="G11" s="2">
        <v>989</v>
      </c>
      <c r="H11" s="2">
        <v>1720</v>
      </c>
      <c r="I11" s="2">
        <v>1296</v>
      </c>
      <c r="J11" s="2">
        <v>1705</v>
      </c>
      <c r="K11" s="4">
        <v>0.05</v>
      </c>
      <c r="L11" s="4">
        <v>0.1</v>
      </c>
      <c r="M11" s="4">
        <v>0.15</v>
      </c>
      <c r="N11" s="4">
        <v>0.2</v>
      </c>
      <c r="O11" s="4">
        <v>0.2</v>
      </c>
      <c r="P11" s="4">
        <v>0.3</v>
      </c>
      <c r="Q11" s="4">
        <f t="shared" si="0"/>
        <v>1508.7</v>
      </c>
      <c r="R11" s="4">
        <v>1508.7</v>
      </c>
      <c r="T11" s="2">
        <v>0.27500000000000002</v>
      </c>
      <c r="U11" s="2">
        <v>8.3333333333333329E-2</v>
      </c>
      <c r="V11">
        <f>(355.366027007818)/180</f>
        <v>1.9742557055989889</v>
      </c>
      <c r="W11">
        <f>(19670)/400000</f>
        <v>4.9175000000000003E-2</v>
      </c>
      <c r="X11">
        <v>0.3</v>
      </c>
      <c r="Y11">
        <v>-0.1</v>
      </c>
      <c r="Z11">
        <v>0.4</v>
      </c>
      <c r="AA11">
        <v>0.4</v>
      </c>
      <c r="AB11">
        <f t="shared" si="1"/>
        <v>0.88353894890626228</v>
      </c>
      <c r="AC11">
        <v>2297.2012671562757</v>
      </c>
      <c r="AG11" s="2">
        <v>8688</v>
      </c>
      <c r="AH11" s="2">
        <v>24</v>
      </c>
      <c r="AI11">
        <v>358</v>
      </c>
      <c r="AJ11">
        <v>1268.6500000000001</v>
      </c>
      <c r="AK11">
        <v>0.2</v>
      </c>
      <c r="AL11">
        <v>0.2</v>
      </c>
      <c r="AM11">
        <v>0.3</v>
      </c>
      <c r="AN11">
        <v>0.3</v>
      </c>
      <c r="AO11">
        <v>2614.5297565374262</v>
      </c>
      <c r="AP11">
        <v>2230.3950000000004</v>
      </c>
      <c r="AR11">
        <v>113409</v>
      </c>
      <c r="AS11">
        <v>18671.999999999996</v>
      </c>
      <c r="AT11">
        <v>968</v>
      </c>
      <c r="AU11">
        <v>0.3</v>
      </c>
      <c r="AV11">
        <v>0.4</v>
      </c>
      <c r="AW11">
        <v>0.3</v>
      </c>
      <c r="AX11">
        <f t="shared" si="2"/>
        <v>41781.9</v>
      </c>
      <c r="AY11">
        <v>1130.9805105567825</v>
      </c>
      <c r="BB11">
        <v>128</v>
      </c>
      <c r="BC11">
        <v>920.25</v>
      </c>
      <c r="BD11" s="2">
        <v>193</v>
      </c>
      <c r="BE11" s="4">
        <v>0.4</v>
      </c>
      <c r="BF11" s="4">
        <v>0.3</v>
      </c>
      <c r="BG11" s="4">
        <v>0.3</v>
      </c>
      <c r="BH11">
        <f t="shared" si="3"/>
        <v>385.17499999999995</v>
      </c>
      <c r="BI11">
        <v>782.38671875</v>
      </c>
      <c r="BN11">
        <v>99.920993204148104</v>
      </c>
      <c r="BO11">
        <v>82.897925875077405</v>
      </c>
      <c r="BW11" s="2">
        <v>46003</v>
      </c>
      <c r="BX11" s="2">
        <v>16223</v>
      </c>
      <c r="BY11" s="2">
        <v>13</v>
      </c>
      <c r="BZ11" s="2">
        <v>8</v>
      </c>
      <c r="CA11" s="3">
        <v>0.3</v>
      </c>
      <c r="CB11" s="3">
        <v>0.3</v>
      </c>
      <c r="CC11" s="3">
        <v>0.2</v>
      </c>
      <c r="CD11" s="3">
        <v>0.2</v>
      </c>
      <c r="CE11">
        <f t="shared" si="4"/>
        <v>18671.999999999996</v>
      </c>
      <c r="CJ11">
        <v>6047</v>
      </c>
      <c r="CM11">
        <v>4941</v>
      </c>
      <c r="CN11" s="2">
        <v>131479</v>
      </c>
      <c r="CS11">
        <v>797</v>
      </c>
      <c r="CT11">
        <v>669</v>
      </c>
      <c r="CU11">
        <v>615</v>
      </c>
      <c r="CV11">
        <v>2665</v>
      </c>
      <c r="CW11">
        <v>35</v>
      </c>
      <c r="CX11">
        <v>0.5</v>
      </c>
      <c r="CY11">
        <v>0.1</v>
      </c>
      <c r="CZ11">
        <v>0.2</v>
      </c>
      <c r="DA11">
        <v>0.25</v>
      </c>
      <c r="DB11">
        <v>0.4</v>
      </c>
      <c r="DC11">
        <f t="shared" si="5"/>
        <v>1268.6500000000001</v>
      </c>
      <c r="DE11" s="2">
        <v>1062</v>
      </c>
      <c r="DF11" s="2">
        <v>268</v>
      </c>
      <c r="DG11" s="4">
        <v>0.6</v>
      </c>
      <c r="DH11" s="4">
        <v>0.4</v>
      </c>
      <c r="DI11" s="4">
        <f t="shared" si="6"/>
        <v>744.4</v>
      </c>
      <c r="DK11" s="2">
        <v>1011</v>
      </c>
      <c r="DL11" s="2">
        <v>406</v>
      </c>
      <c r="DM11" s="5">
        <v>0.6</v>
      </c>
      <c r="DN11" s="5">
        <v>0.4</v>
      </c>
      <c r="DO11">
        <f t="shared" si="7"/>
        <v>769</v>
      </c>
      <c r="DR11" s="2">
        <v>688</v>
      </c>
      <c r="DS11" s="2">
        <v>474</v>
      </c>
      <c r="DT11">
        <v>0.35</v>
      </c>
      <c r="DU11">
        <v>0.65</v>
      </c>
      <c r="DV11">
        <f t="shared" si="8"/>
        <v>548.9</v>
      </c>
      <c r="EB11">
        <v>374</v>
      </c>
      <c r="ED11">
        <v>5.9242557974145322</v>
      </c>
      <c r="EE11">
        <v>-13.0676473901754</v>
      </c>
      <c r="EF11">
        <v>7.1433915927608682</v>
      </c>
      <c r="EG11">
        <v>7.9006795851929101E-2</v>
      </c>
      <c r="EJ11">
        <v>7.9006795851929101E-2</v>
      </c>
      <c r="EO11" s="2">
        <v>44139</v>
      </c>
      <c r="EP11" s="2">
        <v>38420</v>
      </c>
      <c r="EQ11" s="2">
        <v>37956</v>
      </c>
      <c r="ER11" s="2">
        <v>35404</v>
      </c>
      <c r="ES11" s="2">
        <v>33646</v>
      </c>
      <c r="ET11" s="2">
        <v>26822</v>
      </c>
      <c r="EU11" s="2">
        <v>26785</v>
      </c>
      <c r="EV11" s="2">
        <v>27297</v>
      </c>
      <c r="EW11" s="2">
        <v>29913</v>
      </c>
      <c r="EX11" s="2">
        <v>39387</v>
      </c>
      <c r="EY11" s="2">
        <v>35308</v>
      </c>
      <c r="EZ11" s="2">
        <v>34032</v>
      </c>
      <c r="FA11" s="2">
        <v>32281</v>
      </c>
      <c r="FB11" s="2">
        <v>30699</v>
      </c>
      <c r="FC11" s="2">
        <v>24955</v>
      </c>
      <c r="FD11" s="2">
        <v>24805</v>
      </c>
      <c r="FE11" s="2">
        <v>24876</v>
      </c>
      <c r="FF11" s="2">
        <v>24311</v>
      </c>
      <c r="FG11">
        <f t="shared" si="9"/>
        <v>571036</v>
      </c>
      <c r="FI11">
        <v>-13.255207533936201</v>
      </c>
      <c r="FJ11" s="2">
        <v>13.067647390175367</v>
      </c>
      <c r="FK11">
        <v>82.897925875077405</v>
      </c>
      <c r="FM11">
        <v>82.897925875077405</v>
      </c>
    </row>
    <row r="12" spans="1:169">
      <c r="A12" s="1" t="s">
        <v>0</v>
      </c>
      <c r="B12" s="1" t="s">
        <v>20</v>
      </c>
      <c r="C12" s="1" t="s">
        <v>2</v>
      </c>
      <c r="D12" s="1" t="s">
        <v>21</v>
      </c>
      <c r="E12" s="2">
        <v>1465</v>
      </c>
      <c r="F12" s="2">
        <v>1458</v>
      </c>
      <c r="G12" s="2">
        <v>1287</v>
      </c>
      <c r="H12" s="2">
        <v>1509</v>
      </c>
      <c r="I12" s="2">
        <v>1232</v>
      </c>
      <c r="J12" s="2">
        <v>1510</v>
      </c>
      <c r="K12" s="4">
        <v>0.05</v>
      </c>
      <c r="L12" s="4">
        <v>0.1</v>
      </c>
      <c r="M12" s="4">
        <v>0.15</v>
      </c>
      <c r="N12" s="4">
        <v>0.2</v>
      </c>
      <c r="O12" s="4">
        <v>0.2</v>
      </c>
      <c r="P12" s="4">
        <v>0.3</v>
      </c>
      <c r="Q12" s="4">
        <f t="shared" si="0"/>
        <v>1413.3000000000002</v>
      </c>
      <c r="R12" s="4">
        <v>1413.3</v>
      </c>
      <c r="T12" s="2">
        <v>0.32818181818181819</v>
      </c>
      <c r="U12" s="2">
        <v>0.33333333333333331</v>
      </c>
      <c r="V12">
        <f>(173.190162798753)/180</f>
        <v>0.96216757110418327</v>
      </c>
      <c r="W12">
        <f>(151638)/400000</f>
        <v>0.37909500000000002</v>
      </c>
      <c r="X12">
        <v>0.3</v>
      </c>
      <c r="Y12">
        <v>-0.1</v>
      </c>
      <c r="Z12">
        <v>0.4</v>
      </c>
      <c r="AA12">
        <v>0.4</v>
      </c>
      <c r="AB12">
        <f t="shared" si="1"/>
        <v>0.60162624056288549</v>
      </c>
      <c r="AC12">
        <v>1564.2282254634986</v>
      </c>
      <c r="AG12" s="2">
        <v>1055</v>
      </c>
      <c r="AH12" s="2">
        <v>37</v>
      </c>
      <c r="AI12">
        <v>588.59999999999991</v>
      </c>
      <c r="AJ12">
        <v>1992.5000000000002</v>
      </c>
      <c r="AK12">
        <v>0.2</v>
      </c>
      <c r="AL12">
        <v>0.2</v>
      </c>
      <c r="AM12">
        <v>0.3</v>
      </c>
      <c r="AN12">
        <v>0.3</v>
      </c>
      <c r="AO12">
        <v>1163.7051397655555</v>
      </c>
      <c r="AP12">
        <v>992.73</v>
      </c>
      <c r="AR12">
        <v>255872</v>
      </c>
      <c r="AS12">
        <v>36089.299999999996</v>
      </c>
      <c r="AT12">
        <v>2009</v>
      </c>
      <c r="AU12">
        <v>0.3</v>
      </c>
      <c r="AV12">
        <v>0.4</v>
      </c>
      <c r="AW12">
        <v>0.3</v>
      </c>
      <c r="AX12">
        <f t="shared" si="2"/>
        <v>91800.01999999999</v>
      </c>
      <c r="AY12">
        <v>2484.9045517011614</v>
      </c>
      <c r="BB12">
        <v>55</v>
      </c>
      <c r="BC12">
        <v>777.59999999999991</v>
      </c>
      <c r="BD12" s="2">
        <v>312</v>
      </c>
      <c r="BE12" s="4">
        <v>0.4</v>
      </c>
      <c r="BF12" s="4">
        <v>0.3</v>
      </c>
      <c r="BG12" s="4">
        <v>0.3</v>
      </c>
      <c r="BH12">
        <f t="shared" si="3"/>
        <v>348.88</v>
      </c>
      <c r="BI12">
        <v>708.66249999999991</v>
      </c>
      <c r="BN12">
        <v>99.895040272591103</v>
      </c>
      <c r="BO12">
        <v>53.389235173489503</v>
      </c>
      <c r="BW12" s="2">
        <v>83312</v>
      </c>
      <c r="BX12" s="2">
        <v>36901</v>
      </c>
      <c r="BY12" s="2">
        <v>0</v>
      </c>
      <c r="BZ12" s="2">
        <v>127</v>
      </c>
      <c r="CA12" s="3">
        <v>0.3</v>
      </c>
      <c r="CB12" s="3">
        <v>0.3</v>
      </c>
      <c r="CC12" s="3">
        <v>0.2</v>
      </c>
      <c r="CD12" s="3">
        <v>0.2</v>
      </c>
      <c r="CE12">
        <f t="shared" si="4"/>
        <v>36089.299999999996</v>
      </c>
      <c r="CJ12">
        <v>12109</v>
      </c>
      <c r="CM12">
        <v>9344</v>
      </c>
      <c r="CN12" s="2">
        <v>320707</v>
      </c>
      <c r="CS12">
        <v>282</v>
      </c>
      <c r="CT12">
        <v>685</v>
      </c>
      <c r="CU12">
        <v>4454</v>
      </c>
      <c r="CV12">
        <v>3452</v>
      </c>
      <c r="CW12">
        <v>73</v>
      </c>
      <c r="CX12">
        <v>0.5</v>
      </c>
      <c r="CY12">
        <v>0.1</v>
      </c>
      <c r="CZ12">
        <v>0.2</v>
      </c>
      <c r="DA12">
        <v>0.25</v>
      </c>
      <c r="DB12">
        <v>0.4</v>
      </c>
      <c r="DC12">
        <f t="shared" si="5"/>
        <v>1992.5000000000002</v>
      </c>
      <c r="DE12" s="2">
        <v>494</v>
      </c>
      <c r="DF12" s="2">
        <v>154</v>
      </c>
      <c r="DG12" s="4">
        <v>0.6</v>
      </c>
      <c r="DH12" s="4">
        <v>0.4</v>
      </c>
      <c r="DI12" s="4">
        <f t="shared" si="6"/>
        <v>358</v>
      </c>
      <c r="DK12" s="2">
        <v>375</v>
      </c>
      <c r="DL12" s="2">
        <v>141</v>
      </c>
      <c r="DM12" s="5">
        <v>0.6</v>
      </c>
      <c r="DN12" s="5">
        <v>0.4</v>
      </c>
      <c r="DO12">
        <f t="shared" si="7"/>
        <v>281.39999999999998</v>
      </c>
      <c r="DR12" s="2">
        <v>644</v>
      </c>
      <c r="DS12" s="2">
        <v>1069</v>
      </c>
      <c r="DT12">
        <v>0.35</v>
      </c>
      <c r="DU12">
        <v>0.65</v>
      </c>
      <c r="DV12">
        <f t="shared" si="8"/>
        <v>920.25</v>
      </c>
      <c r="EB12">
        <v>138</v>
      </c>
      <c r="ED12">
        <v>4.9272536851572051</v>
      </c>
      <c r="EE12">
        <v>-11.7866024220297</v>
      </c>
      <c r="EF12">
        <v>6.8593487368724952</v>
      </c>
      <c r="EG12">
        <v>0.10495972740894299</v>
      </c>
      <c r="EJ12">
        <v>0.10495972740894299</v>
      </c>
      <c r="EO12" s="2">
        <v>17672</v>
      </c>
      <c r="EP12" s="2">
        <v>16586</v>
      </c>
      <c r="EQ12" s="2">
        <v>15659</v>
      </c>
      <c r="ER12" s="2">
        <v>15534</v>
      </c>
      <c r="ES12" s="2">
        <v>15042</v>
      </c>
      <c r="ET12" s="2">
        <v>13816</v>
      </c>
      <c r="EU12" s="2">
        <v>13880</v>
      </c>
      <c r="EV12" s="2">
        <v>13883</v>
      </c>
      <c r="EW12" s="2">
        <v>11240</v>
      </c>
      <c r="EX12" s="2">
        <v>14807</v>
      </c>
      <c r="EY12" s="2">
        <v>14140</v>
      </c>
      <c r="EZ12" s="2">
        <v>13357</v>
      </c>
      <c r="FA12" s="2">
        <v>13223</v>
      </c>
      <c r="FB12" s="2">
        <v>12932</v>
      </c>
      <c r="FC12" s="2">
        <v>11930</v>
      </c>
      <c r="FD12" s="2">
        <v>11649</v>
      </c>
      <c r="FE12" s="2">
        <v>11833</v>
      </c>
      <c r="FF12" s="2">
        <v>9082</v>
      </c>
      <c r="FG12">
        <f t="shared" si="9"/>
        <v>246265</v>
      </c>
      <c r="FI12">
        <v>-12.4141634708848</v>
      </c>
      <c r="FJ12" s="2">
        <v>11.786602422029731</v>
      </c>
      <c r="FK12">
        <v>53.389235173489503</v>
      </c>
      <c r="FM12">
        <v>53.389235173489503</v>
      </c>
    </row>
    <row r="13" spans="1:169">
      <c r="A13" s="1" t="s">
        <v>0</v>
      </c>
      <c r="B13" s="1" t="s">
        <v>22</v>
      </c>
      <c r="C13" s="1" t="s">
        <v>2</v>
      </c>
      <c r="D13" s="1" t="s">
        <v>23</v>
      </c>
      <c r="E13" s="2">
        <v>3865</v>
      </c>
      <c r="F13" s="2">
        <v>3097</v>
      </c>
      <c r="G13" s="2">
        <v>2649</v>
      </c>
      <c r="H13" s="2">
        <v>4037</v>
      </c>
      <c r="I13" s="2">
        <v>2170</v>
      </c>
      <c r="J13" s="2">
        <v>4022</v>
      </c>
      <c r="K13" s="4">
        <v>0.05</v>
      </c>
      <c r="L13" s="4">
        <v>0.1</v>
      </c>
      <c r="M13" s="4">
        <v>0.15</v>
      </c>
      <c r="N13" s="4">
        <v>0.2</v>
      </c>
      <c r="O13" s="4">
        <v>0.2</v>
      </c>
      <c r="P13" s="4">
        <v>0.3</v>
      </c>
      <c r="Q13" s="4">
        <f t="shared" si="0"/>
        <v>3348.2999999999997</v>
      </c>
      <c r="R13" s="4">
        <v>3348.3</v>
      </c>
      <c r="T13" s="2">
        <v>1.1086363636363636</v>
      </c>
      <c r="U13" s="2">
        <v>0.375</v>
      </c>
      <c r="V13">
        <f>(249.376558603491)/180</f>
        <v>1.38542532557495</v>
      </c>
      <c r="W13">
        <f>(146190)/400000</f>
        <v>0.36547499999999999</v>
      </c>
      <c r="X13">
        <v>0.3</v>
      </c>
      <c r="Y13">
        <v>-0.1</v>
      </c>
      <c r="Z13">
        <v>0.4</v>
      </c>
      <c r="AA13">
        <v>0.4</v>
      </c>
      <c r="AB13">
        <f t="shared" si="1"/>
        <v>0.99545103932088919</v>
      </c>
      <c r="AC13">
        <v>2588.1727022343089</v>
      </c>
      <c r="AG13" s="2">
        <v>6368</v>
      </c>
      <c r="AH13" s="2">
        <v>196</v>
      </c>
      <c r="AI13">
        <v>414.4</v>
      </c>
      <c r="AJ13">
        <v>1952.2</v>
      </c>
      <c r="AK13">
        <v>0.2</v>
      </c>
      <c r="AL13">
        <v>0.2</v>
      </c>
      <c r="AM13">
        <v>0.3</v>
      </c>
      <c r="AN13">
        <v>0.3</v>
      </c>
      <c r="AO13">
        <v>2371.1577998196581</v>
      </c>
      <c r="AP13">
        <v>2022.7800000000002</v>
      </c>
      <c r="AR13">
        <v>177262</v>
      </c>
      <c r="AS13">
        <v>20365</v>
      </c>
      <c r="AT13">
        <v>1865</v>
      </c>
      <c r="AU13">
        <v>0.3</v>
      </c>
      <c r="AV13">
        <v>0.4</v>
      </c>
      <c r="AW13">
        <v>0.3</v>
      </c>
      <c r="AX13">
        <f t="shared" si="2"/>
        <v>61884.1</v>
      </c>
      <c r="AY13">
        <v>1675.1203514762833</v>
      </c>
      <c r="BB13">
        <v>4610</v>
      </c>
      <c r="BC13">
        <v>1889.75</v>
      </c>
      <c r="BD13" s="2">
        <v>998</v>
      </c>
      <c r="BE13" s="4">
        <v>0.4</v>
      </c>
      <c r="BF13" s="4">
        <v>0.3</v>
      </c>
      <c r="BG13" s="4">
        <v>0.3</v>
      </c>
      <c r="BH13">
        <f t="shared" si="3"/>
        <v>2710.3250000000003</v>
      </c>
      <c r="BI13">
        <v>5505.3476562500009</v>
      </c>
      <c r="BN13">
        <v>99.97630235698</v>
      </c>
      <c r="BO13">
        <v>61.325809437123503</v>
      </c>
      <c r="BW13" s="2">
        <v>49342</v>
      </c>
      <c r="BX13" s="2">
        <v>17382</v>
      </c>
      <c r="BY13" s="2">
        <v>1252</v>
      </c>
      <c r="BZ13" s="2">
        <v>487</v>
      </c>
      <c r="CA13" s="3">
        <v>0.3</v>
      </c>
      <c r="CB13" s="3">
        <v>0.3</v>
      </c>
      <c r="CC13" s="3">
        <v>0.2</v>
      </c>
      <c r="CD13" s="3">
        <v>0.2</v>
      </c>
      <c r="CE13">
        <f t="shared" si="4"/>
        <v>20365</v>
      </c>
      <c r="CJ13">
        <v>11226</v>
      </c>
      <c r="CM13">
        <v>9148</v>
      </c>
      <c r="CN13" s="2">
        <v>275001</v>
      </c>
      <c r="CS13">
        <v>311</v>
      </c>
      <c r="CT13">
        <v>697</v>
      </c>
      <c r="CU13">
        <v>3237</v>
      </c>
      <c r="CV13">
        <v>3864</v>
      </c>
      <c r="CW13">
        <v>284</v>
      </c>
      <c r="CX13">
        <v>0.5</v>
      </c>
      <c r="CY13">
        <v>0.1</v>
      </c>
      <c r="CZ13">
        <v>0.2</v>
      </c>
      <c r="DA13">
        <v>0.25</v>
      </c>
      <c r="DB13">
        <v>0.4</v>
      </c>
      <c r="DC13">
        <f t="shared" si="5"/>
        <v>1952.2</v>
      </c>
      <c r="DE13" s="2">
        <v>823</v>
      </c>
      <c r="DF13" s="2">
        <v>237</v>
      </c>
      <c r="DG13" s="4">
        <v>0.6</v>
      </c>
      <c r="DH13" s="4">
        <v>0.4</v>
      </c>
      <c r="DI13" s="4">
        <f t="shared" si="6"/>
        <v>588.59999999999991</v>
      </c>
      <c r="DK13" s="2">
        <v>719</v>
      </c>
      <c r="DL13" s="2">
        <v>365</v>
      </c>
      <c r="DM13" s="5">
        <v>0.6</v>
      </c>
      <c r="DN13" s="5">
        <v>0.4</v>
      </c>
      <c r="DO13">
        <f t="shared" si="7"/>
        <v>577.4</v>
      </c>
      <c r="DR13" s="2">
        <v>697</v>
      </c>
      <c r="DS13" s="2">
        <v>821</v>
      </c>
      <c r="DT13">
        <v>0.35</v>
      </c>
      <c r="DU13">
        <v>0.65</v>
      </c>
      <c r="DV13">
        <f t="shared" si="8"/>
        <v>777.59999999999991</v>
      </c>
      <c r="EB13">
        <v>76</v>
      </c>
      <c r="ED13">
        <v>4.3307333402863311</v>
      </c>
      <c r="EE13">
        <v>-12.6782832126959</v>
      </c>
      <c r="EF13">
        <v>8.3475498724095694</v>
      </c>
      <c r="EG13">
        <v>2.36976430199532E-2</v>
      </c>
      <c r="EJ13">
        <v>2.36976430199532E-2</v>
      </c>
      <c r="EO13" s="2">
        <v>38112</v>
      </c>
      <c r="EP13" s="2">
        <v>35997</v>
      </c>
      <c r="EQ13" s="2">
        <v>36188</v>
      </c>
      <c r="ER13" s="2">
        <v>34276</v>
      </c>
      <c r="ES13" s="2">
        <v>32885</v>
      </c>
      <c r="ET13" s="2">
        <v>24347</v>
      </c>
      <c r="EU13" s="2">
        <v>23030</v>
      </c>
      <c r="EV13" s="2">
        <v>22816</v>
      </c>
      <c r="EW13" s="2">
        <v>20342</v>
      </c>
      <c r="EX13" s="2">
        <v>35780</v>
      </c>
      <c r="EY13" s="2">
        <v>34374</v>
      </c>
      <c r="EZ13" s="2">
        <v>34062</v>
      </c>
      <c r="FA13" s="2">
        <v>32219</v>
      </c>
      <c r="FB13" s="2">
        <v>30627</v>
      </c>
      <c r="FC13" s="2">
        <v>23946</v>
      </c>
      <c r="FD13" s="2">
        <v>22726</v>
      </c>
      <c r="FE13" s="2">
        <v>23329</v>
      </c>
      <c r="FF13" s="2">
        <v>17900</v>
      </c>
      <c r="FG13">
        <f t="shared" si="9"/>
        <v>522956</v>
      </c>
      <c r="FI13">
        <v>-13.1672526094888</v>
      </c>
      <c r="FJ13" s="2">
        <v>12.67828321269592</v>
      </c>
      <c r="FK13">
        <v>61.325809437123503</v>
      </c>
      <c r="FM13">
        <v>61.325809437123503</v>
      </c>
    </row>
    <row r="14" spans="1:169">
      <c r="A14" s="1" t="s">
        <v>0</v>
      </c>
      <c r="B14" s="1" t="s">
        <v>24</v>
      </c>
      <c r="C14" s="1" t="s">
        <v>2</v>
      </c>
      <c r="D14" s="1" t="s">
        <v>25</v>
      </c>
      <c r="E14" s="2">
        <v>4119</v>
      </c>
      <c r="F14" s="2">
        <v>3341</v>
      </c>
      <c r="G14" s="2">
        <v>3030</v>
      </c>
      <c r="H14" s="2">
        <v>4169</v>
      </c>
      <c r="I14" s="2">
        <v>1973</v>
      </c>
      <c r="J14" s="2">
        <v>4183</v>
      </c>
      <c r="K14" s="4">
        <v>0.05</v>
      </c>
      <c r="L14" s="4">
        <v>0.1</v>
      </c>
      <c r="M14" s="4">
        <v>0.15</v>
      </c>
      <c r="N14" s="4">
        <v>0.2</v>
      </c>
      <c r="O14" s="4">
        <v>0.2</v>
      </c>
      <c r="P14" s="4">
        <v>0.3</v>
      </c>
      <c r="Q14" s="4">
        <f t="shared" si="0"/>
        <v>3477.8500000000004</v>
      </c>
      <c r="R14" s="4">
        <v>3477.85</v>
      </c>
      <c r="T14" s="2">
        <v>1.1745454545454546</v>
      </c>
      <c r="U14" s="2">
        <v>1.2083333333333333</v>
      </c>
      <c r="V14">
        <f>(130.787339785509)/180</f>
        <v>0.72659633214171671</v>
      </c>
      <c r="W14">
        <f>(310931)/400000</f>
        <v>0.77732749999999995</v>
      </c>
      <c r="X14">
        <v>0.3</v>
      </c>
      <c r="Y14">
        <v>-0.1</v>
      </c>
      <c r="Z14">
        <v>0.4</v>
      </c>
      <c r="AA14">
        <v>0.4</v>
      </c>
      <c r="AB14">
        <f t="shared" si="1"/>
        <v>0.83309983588698966</v>
      </c>
      <c r="AC14">
        <v>2166.0595733061687</v>
      </c>
      <c r="AG14" s="2">
        <v>5299</v>
      </c>
      <c r="AH14" s="2">
        <v>446</v>
      </c>
      <c r="AI14">
        <v>934.6</v>
      </c>
      <c r="AJ14">
        <v>3473.7000000000003</v>
      </c>
      <c r="AK14">
        <v>0.2</v>
      </c>
      <c r="AL14">
        <v>0.2</v>
      </c>
      <c r="AM14">
        <v>0.3</v>
      </c>
      <c r="AN14">
        <v>0.3</v>
      </c>
      <c r="AO14">
        <v>2897.1478809738401</v>
      </c>
      <c r="AP14">
        <v>2471.4900000000002</v>
      </c>
      <c r="AR14">
        <v>303614</v>
      </c>
      <c r="AS14">
        <v>48416.999999999993</v>
      </c>
      <c r="AT14">
        <v>2631</v>
      </c>
      <c r="AU14">
        <v>0.3</v>
      </c>
      <c r="AV14">
        <v>0.4</v>
      </c>
      <c r="AW14">
        <v>0.3</v>
      </c>
      <c r="AX14">
        <f t="shared" si="2"/>
        <v>111240.3</v>
      </c>
      <c r="AY14">
        <v>3011.1270978220123</v>
      </c>
      <c r="BB14">
        <v>1054</v>
      </c>
      <c r="BC14">
        <v>1941.25</v>
      </c>
      <c r="BD14" s="2">
        <v>896</v>
      </c>
      <c r="BE14" s="4">
        <v>0.4</v>
      </c>
      <c r="BF14" s="4">
        <v>0.3</v>
      </c>
      <c r="BG14" s="4">
        <v>0.3</v>
      </c>
      <c r="BH14">
        <f t="shared" si="3"/>
        <v>1272.7750000000001</v>
      </c>
      <c r="BI14">
        <v>2585.32421875</v>
      </c>
      <c r="BN14">
        <v>98.181097523281693</v>
      </c>
      <c r="BO14">
        <v>71.958897227371693</v>
      </c>
      <c r="BW14" s="2">
        <v>111914</v>
      </c>
      <c r="BX14" s="2">
        <v>49022</v>
      </c>
      <c r="BY14" s="2">
        <v>388</v>
      </c>
      <c r="BZ14" s="2">
        <v>293</v>
      </c>
      <c r="CA14" s="3">
        <v>0.3</v>
      </c>
      <c r="CB14" s="3">
        <v>0.3</v>
      </c>
      <c r="CC14" s="3">
        <v>0.2</v>
      </c>
      <c r="CD14" s="3">
        <v>0.2</v>
      </c>
      <c r="CE14">
        <f t="shared" si="4"/>
        <v>48416.999999999993</v>
      </c>
      <c r="CJ14">
        <v>19427</v>
      </c>
      <c r="CM14">
        <v>17011</v>
      </c>
      <c r="CN14" s="2">
        <v>485087</v>
      </c>
      <c r="CS14">
        <v>558</v>
      </c>
      <c r="CT14">
        <v>1507</v>
      </c>
      <c r="CU14">
        <v>6091</v>
      </c>
      <c r="CV14">
        <v>7084</v>
      </c>
      <c r="CW14">
        <v>137</v>
      </c>
      <c r="CX14">
        <v>0.5</v>
      </c>
      <c r="CY14">
        <v>0.1</v>
      </c>
      <c r="CZ14">
        <v>0.2</v>
      </c>
      <c r="DA14">
        <v>0.25</v>
      </c>
      <c r="DB14">
        <v>0.4</v>
      </c>
      <c r="DC14">
        <f t="shared" si="5"/>
        <v>3473.7000000000003</v>
      </c>
      <c r="DE14" s="2">
        <v>612</v>
      </c>
      <c r="DF14" s="2">
        <v>118</v>
      </c>
      <c r="DG14" s="4">
        <v>0.6</v>
      </c>
      <c r="DH14" s="4">
        <v>0.4</v>
      </c>
      <c r="DI14" s="4">
        <f t="shared" si="6"/>
        <v>414.4</v>
      </c>
      <c r="DK14" s="2">
        <v>525</v>
      </c>
      <c r="DL14" s="2">
        <v>215</v>
      </c>
      <c r="DM14" s="5">
        <v>0.6</v>
      </c>
      <c r="DN14" s="5">
        <v>0.4</v>
      </c>
      <c r="DO14">
        <f t="shared" si="7"/>
        <v>401</v>
      </c>
      <c r="DR14" s="2">
        <v>2465</v>
      </c>
      <c r="DS14" s="2">
        <v>1580</v>
      </c>
      <c r="DT14">
        <v>0.35</v>
      </c>
      <c r="DU14">
        <v>0.65</v>
      </c>
      <c r="DV14">
        <f t="shared" si="8"/>
        <v>1889.75</v>
      </c>
      <c r="EB14">
        <v>5002</v>
      </c>
      <c r="ED14">
        <v>8.5175931114375647</v>
      </c>
      <c r="EE14">
        <v>-12.5245300130057</v>
      </c>
      <c r="EF14">
        <v>4.0069369015681353</v>
      </c>
      <c r="EG14">
        <v>1.8189024767183199</v>
      </c>
      <c r="EJ14">
        <v>1.8189024767183199</v>
      </c>
      <c r="EO14" s="2">
        <v>33054</v>
      </c>
      <c r="EP14" s="2">
        <v>28683</v>
      </c>
      <c r="EQ14" s="2">
        <v>27201</v>
      </c>
      <c r="ER14" s="2">
        <v>25554</v>
      </c>
      <c r="ES14" s="2">
        <v>24122</v>
      </c>
      <c r="ET14" s="2">
        <v>17954</v>
      </c>
      <c r="EU14" s="2">
        <v>17302</v>
      </c>
      <c r="EV14" s="2">
        <v>16967</v>
      </c>
      <c r="EW14" s="2">
        <v>14848</v>
      </c>
      <c r="EX14" s="2">
        <v>29073</v>
      </c>
      <c r="EY14" s="2">
        <v>24939</v>
      </c>
      <c r="EZ14" s="2">
        <v>23733</v>
      </c>
      <c r="FA14" s="2">
        <v>22261</v>
      </c>
      <c r="FB14" s="2">
        <v>20684</v>
      </c>
      <c r="FC14" s="2">
        <v>15273</v>
      </c>
      <c r="FD14" s="2">
        <v>14238</v>
      </c>
      <c r="FE14" s="2">
        <v>14234</v>
      </c>
      <c r="FF14" s="2">
        <v>12044</v>
      </c>
      <c r="FG14">
        <f t="shared" si="9"/>
        <v>382164</v>
      </c>
      <c r="FI14">
        <v>-12.8536051148292</v>
      </c>
      <c r="FJ14" s="2">
        <v>12.524530013005734</v>
      </c>
      <c r="FK14">
        <v>71.958897227371693</v>
      </c>
      <c r="FM14">
        <v>71.958897227371693</v>
      </c>
    </row>
    <row r="15" spans="1:169">
      <c r="A15" s="1" t="s">
        <v>0</v>
      </c>
      <c r="B15" s="1" t="s">
        <v>26</v>
      </c>
      <c r="C15" s="1" t="s">
        <v>2</v>
      </c>
      <c r="D15" s="1" t="s">
        <v>27</v>
      </c>
      <c r="E15" s="2">
        <v>2231</v>
      </c>
      <c r="F15" s="2">
        <v>1918</v>
      </c>
      <c r="G15" s="2">
        <v>1738</v>
      </c>
      <c r="H15" s="2">
        <v>2352</v>
      </c>
      <c r="I15" s="2">
        <v>1143</v>
      </c>
      <c r="J15" s="2">
        <v>2348</v>
      </c>
      <c r="K15" s="4">
        <v>0.05</v>
      </c>
      <c r="L15" s="4">
        <v>0.1</v>
      </c>
      <c r="M15" s="4">
        <v>0.15</v>
      </c>
      <c r="N15" s="4">
        <v>0.2</v>
      </c>
      <c r="O15" s="4">
        <v>0.2</v>
      </c>
      <c r="P15" s="4">
        <v>0.3</v>
      </c>
      <c r="Q15" s="4">
        <f t="shared" si="0"/>
        <v>1967.4500000000003</v>
      </c>
      <c r="R15" s="4">
        <v>1967.45</v>
      </c>
      <c r="T15" s="2">
        <v>0.72454545454545449</v>
      </c>
      <c r="U15" s="2">
        <v>1.0833333333333333</v>
      </c>
      <c r="V15">
        <f>(136.276914690651)/180</f>
        <v>0.75709397050361671</v>
      </c>
      <c r="W15">
        <f>(415869)/400000</f>
        <v>1.0396725</v>
      </c>
      <c r="X15">
        <v>0.3</v>
      </c>
      <c r="Y15">
        <v>-0.1</v>
      </c>
      <c r="Z15">
        <v>0.4</v>
      </c>
      <c r="AA15">
        <v>0.4</v>
      </c>
      <c r="AB15">
        <f t="shared" si="1"/>
        <v>0.82773689123174976</v>
      </c>
      <c r="AC15">
        <v>2152.1159172025446</v>
      </c>
      <c r="AG15" s="2">
        <v>6966</v>
      </c>
      <c r="AH15" s="2">
        <v>173</v>
      </c>
      <c r="AI15">
        <v>978.8</v>
      </c>
      <c r="AJ15">
        <v>3699.8500000000004</v>
      </c>
      <c r="AK15">
        <v>0.2</v>
      </c>
      <c r="AL15">
        <v>0.2</v>
      </c>
      <c r="AM15">
        <v>0.3</v>
      </c>
      <c r="AN15">
        <v>0.3</v>
      </c>
      <c r="AO15">
        <v>3319.038322813356</v>
      </c>
      <c r="AP15">
        <v>2831.3950000000004</v>
      </c>
      <c r="AR15">
        <v>296802</v>
      </c>
      <c r="AS15">
        <v>45241.2</v>
      </c>
      <c r="AT15">
        <v>2548</v>
      </c>
      <c r="AU15">
        <v>0.3</v>
      </c>
      <c r="AV15">
        <v>0.4</v>
      </c>
      <c r="AW15">
        <v>0.3</v>
      </c>
      <c r="AX15">
        <f t="shared" si="2"/>
        <v>107901.47999999998</v>
      </c>
      <c r="AY15">
        <v>2920.7496772581399</v>
      </c>
      <c r="BB15">
        <v>4189</v>
      </c>
      <c r="BC15">
        <v>1060.75</v>
      </c>
      <c r="BD15" s="2">
        <v>530</v>
      </c>
      <c r="BE15" s="4">
        <v>0.4</v>
      </c>
      <c r="BF15" s="4">
        <v>0.3</v>
      </c>
      <c r="BG15" s="4">
        <v>0.3</v>
      </c>
      <c r="BH15">
        <f t="shared" si="3"/>
        <v>2152.8249999999998</v>
      </c>
      <c r="BI15">
        <v>4372.92578125</v>
      </c>
      <c r="BN15">
        <v>99.749117168672797</v>
      </c>
      <c r="BO15">
        <v>79.380225268492495</v>
      </c>
      <c r="BW15" s="2">
        <v>101372</v>
      </c>
      <c r="BX15" s="2">
        <v>47482</v>
      </c>
      <c r="BY15" s="2">
        <v>2120</v>
      </c>
      <c r="BZ15" s="2">
        <v>805</v>
      </c>
      <c r="CA15" s="3">
        <v>0.3</v>
      </c>
      <c r="CB15" s="3">
        <v>0.3</v>
      </c>
      <c r="CC15" s="3">
        <v>0.2</v>
      </c>
      <c r="CD15" s="3">
        <v>0.2</v>
      </c>
      <c r="CE15">
        <f t="shared" si="4"/>
        <v>45241.2</v>
      </c>
      <c r="CJ15">
        <v>20303</v>
      </c>
      <c r="CM15">
        <v>19256</v>
      </c>
      <c r="CN15" s="2">
        <v>472030</v>
      </c>
      <c r="CS15">
        <v>166</v>
      </c>
      <c r="CT15">
        <v>1394</v>
      </c>
      <c r="CU15">
        <v>7929</v>
      </c>
      <c r="CV15">
        <v>7189</v>
      </c>
      <c r="CW15">
        <v>236</v>
      </c>
      <c r="CX15">
        <v>0.5</v>
      </c>
      <c r="CY15">
        <v>0.1</v>
      </c>
      <c r="CZ15">
        <v>0.2</v>
      </c>
      <c r="DA15">
        <v>0.25</v>
      </c>
      <c r="DB15">
        <v>0.4</v>
      </c>
      <c r="DC15">
        <f t="shared" si="5"/>
        <v>3699.8500000000004</v>
      </c>
      <c r="DE15" s="2">
        <v>1365</v>
      </c>
      <c r="DF15" s="2">
        <v>289</v>
      </c>
      <c r="DG15" s="4">
        <v>0.6</v>
      </c>
      <c r="DH15" s="4">
        <v>0.4</v>
      </c>
      <c r="DI15" s="4">
        <f t="shared" si="6"/>
        <v>934.6</v>
      </c>
      <c r="DK15" s="2">
        <v>1005</v>
      </c>
      <c r="DL15" s="2">
        <v>404</v>
      </c>
      <c r="DM15" s="5">
        <v>0.6</v>
      </c>
      <c r="DN15" s="5">
        <v>0.4</v>
      </c>
      <c r="DO15">
        <f t="shared" si="7"/>
        <v>764.6</v>
      </c>
      <c r="DR15" s="2">
        <v>2523</v>
      </c>
      <c r="DS15" s="2">
        <v>1628</v>
      </c>
      <c r="DT15">
        <v>0.35</v>
      </c>
      <c r="DU15">
        <v>0.65</v>
      </c>
      <c r="DV15">
        <f t="shared" si="8"/>
        <v>1941.25</v>
      </c>
      <c r="EB15">
        <v>1217</v>
      </c>
      <c r="ED15">
        <v>7.1041440929875268</v>
      </c>
      <c r="EE15">
        <v>-13.092083535276</v>
      </c>
      <c r="EF15">
        <v>5.9879394422884733</v>
      </c>
      <c r="EG15">
        <v>0.25088283132716299</v>
      </c>
      <c r="EJ15">
        <v>0.25088283132716299</v>
      </c>
      <c r="EO15" s="2">
        <v>43378</v>
      </c>
      <c r="EP15" s="2">
        <v>40608</v>
      </c>
      <c r="EQ15" s="2">
        <v>39927</v>
      </c>
      <c r="ER15" s="2">
        <v>37682</v>
      </c>
      <c r="ES15" s="2">
        <v>35173</v>
      </c>
      <c r="ET15" s="2">
        <v>29234</v>
      </c>
      <c r="EU15" s="2">
        <v>29474</v>
      </c>
      <c r="EV15" s="2">
        <v>29239</v>
      </c>
      <c r="EW15" s="2">
        <v>23881</v>
      </c>
      <c r="EX15" s="2">
        <v>41933</v>
      </c>
      <c r="EY15" s="2">
        <v>39374</v>
      </c>
      <c r="EZ15" s="2">
        <v>39188</v>
      </c>
      <c r="FA15" s="2">
        <v>37605</v>
      </c>
      <c r="FB15" s="2">
        <v>35062</v>
      </c>
      <c r="FC15" s="2">
        <v>29633</v>
      </c>
      <c r="FD15" s="2">
        <v>29169</v>
      </c>
      <c r="FE15" s="2">
        <v>29368</v>
      </c>
      <c r="FF15" s="2">
        <v>21165</v>
      </c>
      <c r="FG15">
        <f t="shared" si="9"/>
        <v>611093</v>
      </c>
      <c r="FI15">
        <v>-13.3230044360637</v>
      </c>
      <c r="FJ15" s="2">
        <v>13.092083535275991</v>
      </c>
      <c r="FK15">
        <v>79.380225268492495</v>
      </c>
      <c r="FM15">
        <v>79.380225268492495</v>
      </c>
    </row>
    <row r="16" spans="1:169">
      <c r="A16" s="1" t="s">
        <v>0</v>
      </c>
      <c r="B16" s="1" t="s">
        <v>28</v>
      </c>
      <c r="C16" s="1" t="s">
        <v>2</v>
      </c>
      <c r="D16" s="1" t="s">
        <v>29</v>
      </c>
      <c r="E16" s="2">
        <v>3022</v>
      </c>
      <c r="F16" s="2">
        <v>2861</v>
      </c>
      <c r="G16" s="2">
        <v>2431</v>
      </c>
      <c r="H16" s="2">
        <v>3107</v>
      </c>
      <c r="I16" s="2">
        <v>1788</v>
      </c>
      <c r="J16" s="2">
        <v>3239</v>
      </c>
      <c r="K16" s="4">
        <v>0.05</v>
      </c>
      <c r="L16" s="4">
        <v>0.1</v>
      </c>
      <c r="M16" s="4">
        <v>0.15</v>
      </c>
      <c r="N16" s="4">
        <v>0.2</v>
      </c>
      <c r="O16" s="4">
        <v>0.2</v>
      </c>
      <c r="P16" s="4">
        <v>0.3</v>
      </c>
      <c r="Q16" s="4">
        <f t="shared" si="0"/>
        <v>2752.5499999999997</v>
      </c>
      <c r="R16" s="4">
        <v>2752.55</v>
      </c>
      <c r="T16" s="2">
        <v>0.91909090909090907</v>
      </c>
      <c r="U16" s="2">
        <v>2.5416666666666665</v>
      </c>
      <c r="V16">
        <f>(237.642585551331)/180</f>
        <v>1.3202365863962833</v>
      </c>
      <c r="W16">
        <f>(212135)/400000</f>
        <v>0.53033750000000002</v>
      </c>
      <c r="X16">
        <v>0.3</v>
      </c>
      <c r="Y16">
        <v>-0.1</v>
      </c>
      <c r="Z16">
        <v>0.4</v>
      </c>
      <c r="AA16">
        <v>0.4</v>
      </c>
      <c r="AB16">
        <f t="shared" si="1"/>
        <v>0.76179024061911949</v>
      </c>
      <c r="AC16">
        <v>1980.6546256097122</v>
      </c>
      <c r="AG16" s="2">
        <v>7969</v>
      </c>
      <c r="AH16" s="2">
        <v>168</v>
      </c>
      <c r="AI16">
        <v>527.59999999999991</v>
      </c>
      <c r="AJ16">
        <v>1855.85</v>
      </c>
      <c r="AK16">
        <v>0.2</v>
      </c>
      <c r="AL16">
        <v>0.2</v>
      </c>
      <c r="AM16">
        <v>0.3</v>
      </c>
      <c r="AN16">
        <v>0.3</v>
      </c>
      <c r="AO16">
        <v>2745.8660955815958</v>
      </c>
      <c r="AP16">
        <v>2342.4349999999999</v>
      </c>
      <c r="AR16">
        <v>158944</v>
      </c>
      <c r="AS16">
        <v>27016.799999999999</v>
      </c>
      <c r="AT16">
        <v>1397</v>
      </c>
      <c r="AU16">
        <v>0.3</v>
      </c>
      <c r="AV16">
        <v>0.4</v>
      </c>
      <c r="AW16">
        <v>0.3</v>
      </c>
      <c r="AX16">
        <f t="shared" si="2"/>
        <v>58909.02</v>
      </c>
      <c r="AY16">
        <v>1594.588889351601</v>
      </c>
      <c r="BB16">
        <v>807</v>
      </c>
      <c r="BC16">
        <v>1517.85</v>
      </c>
      <c r="BD16" s="2">
        <v>875</v>
      </c>
      <c r="BE16" s="4">
        <v>0.4</v>
      </c>
      <c r="BF16" s="4">
        <v>0.3</v>
      </c>
      <c r="BG16" s="4">
        <v>0.3</v>
      </c>
      <c r="BH16">
        <f t="shared" si="3"/>
        <v>1040.655</v>
      </c>
      <c r="BI16">
        <v>2113.8304687499999</v>
      </c>
      <c r="BN16">
        <v>98.986293244073494</v>
      </c>
      <c r="BO16">
        <v>72.804812215626498</v>
      </c>
      <c r="BW16" s="2">
        <v>61237</v>
      </c>
      <c r="BX16" s="2">
        <v>27155</v>
      </c>
      <c r="BY16" s="2">
        <v>1510</v>
      </c>
      <c r="BZ16" s="2">
        <v>986</v>
      </c>
      <c r="CA16" s="3">
        <v>0.3</v>
      </c>
      <c r="CB16" s="3">
        <v>0.3</v>
      </c>
      <c r="CC16" s="3">
        <v>0.2</v>
      </c>
      <c r="CD16" s="3">
        <v>0.2</v>
      </c>
      <c r="CE16">
        <f t="shared" si="4"/>
        <v>27016.799999999999</v>
      </c>
      <c r="CJ16">
        <v>10812</v>
      </c>
      <c r="CM16">
        <v>9646</v>
      </c>
      <c r="CN16" s="2">
        <v>222506</v>
      </c>
      <c r="CS16">
        <v>144</v>
      </c>
      <c r="CT16">
        <v>409</v>
      </c>
      <c r="CU16">
        <v>3686</v>
      </c>
      <c r="CV16">
        <v>3927</v>
      </c>
      <c r="CW16">
        <v>60</v>
      </c>
      <c r="CX16">
        <v>0.5</v>
      </c>
      <c r="CY16">
        <v>0.1</v>
      </c>
      <c r="CZ16">
        <v>0.2</v>
      </c>
      <c r="DA16">
        <v>0.25</v>
      </c>
      <c r="DB16">
        <v>0.4</v>
      </c>
      <c r="DC16">
        <f t="shared" si="5"/>
        <v>1855.85</v>
      </c>
      <c r="DE16" s="2">
        <v>1388</v>
      </c>
      <c r="DF16" s="2">
        <v>365</v>
      </c>
      <c r="DG16" s="4">
        <v>0.6</v>
      </c>
      <c r="DH16" s="4">
        <v>0.4</v>
      </c>
      <c r="DI16" s="4">
        <f t="shared" si="6"/>
        <v>978.8</v>
      </c>
      <c r="DK16" s="2">
        <v>951</v>
      </c>
      <c r="DL16" s="2">
        <v>408</v>
      </c>
      <c r="DM16" s="5">
        <v>0.6</v>
      </c>
      <c r="DN16" s="5">
        <v>0.4</v>
      </c>
      <c r="DO16">
        <f t="shared" si="7"/>
        <v>733.80000000000007</v>
      </c>
      <c r="DR16" s="2">
        <v>1558</v>
      </c>
      <c r="DS16" s="2">
        <v>793</v>
      </c>
      <c r="DT16">
        <v>0.35</v>
      </c>
      <c r="DU16">
        <v>0.65</v>
      </c>
      <c r="DV16">
        <f t="shared" si="8"/>
        <v>1060.75</v>
      </c>
      <c r="EB16">
        <v>4785</v>
      </c>
      <c r="ED16">
        <v>8.473241303887054</v>
      </c>
      <c r="EE16">
        <v>-13.064797821869901</v>
      </c>
      <c r="EF16">
        <v>4.5915565179828466</v>
      </c>
      <c r="EG16">
        <v>1.01370675592654</v>
      </c>
      <c r="EJ16">
        <v>1.01370675592654</v>
      </c>
      <c r="EO16" s="2">
        <v>48736</v>
      </c>
      <c r="EP16" s="2">
        <v>39686</v>
      </c>
      <c r="EQ16" s="2">
        <v>39371</v>
      </c>
      <c r="ER16" s="2">
        <v>36094</v>
      </c>
      <c r="ES16" s="2">
        <v>33334</v>
      </c>
      <c r="ET16" s="2">
        <v>33205</v>
      </c>
      <c r="EU16" s="2">
        <v>32738</v>
      </c>
      <c r="EV16" s="2">
        <v>33695</v>
      </c>
      <c r="EW16" s="2">
        <v>55721</v>
      </c>
      <c r="EX16" s="2">
        <v>42297</v>
      </c>
      <c r="EY16" s="2">
        <v>36918</v>
      </c>
      <c r="EZ16" s="2">
        <v>36792</v>
      </c>
      <c r="FA16" s="2">
        <v>33718</v>
      </c>
      <c r="FB16" s="2">
        <v>31659</v>
      </c>
      <c r="FC16" s="2">
        <v>28739</v>
      </c>
      <c r="FD16" s="2">
        <v>27967</v>
      </c>
      <c r="FE16" s="2">
        <v>28853</v>
      </c>
      <c r="FF16" s="2">
        <v>28827</v>
      </c>
      <c r="FG16">
        <f t="shared" si="9"/>
        <v>648350</v>
      </c>
      <c r="FI16">
        <v>-13.382185952977</v>
      </c>
      <c r="FJ16" s="2">
        <v>13.064797821869918</v>
      </c>
      <c r="FK16">
        <v>72.804812215626498</v>
      </c>
      <c r="FM16">
        <v>72.804812215626498</v>
      </c>
    </row>
    <row r="17" spans="1:169">
      <c r="A17" s="1" t="s">
        <v>0</v>
      </c>
      <c r="B17" s="1" t="s">
        <v>30</v>
      </c>
      <c r="C17" s="1" t="s">
        <v>2</v>
      </c>
      <c r="D17" s="1" t="s">
        <v>31</v>
      </c>
      <c r="E17" s="2">
        <v>4789</v>
      </c>
      <c r="F17" s="2">
        <v>4060</v>
      </c>
      <c r="G17" s="2">
        <v>3813</v>
      </c>
      <c r="H17" s="2">
        <v>4842</v>
      </c>
      <c r="I17" s="2">
        <v>2933</v>
      </c>
      <c r="J17" s="2">
        <v>4878</v>
      </c>
      <c r="K17" s="4">
        <v>0.05</v>
      </c>
      <c r="L17" s="4">
        <v>0.1</v>
      </c>
      <c r="M17" s="4">
        <v>0.15</v>
      </c>
      <c r="N17" s="4">
        <v>0.2</v>
      </c>
      <c r="O17" s="4">
        <v>0.2</v>
      </c>
      <c r="P17" s="4">
        <v>0.3</v>
      </c>
      <c r="Q17" s="4">
        <f t="shared" si="0"/>
        <v>4235.8</v>
      </c>
      <c r="R17" s="4">
        <v>4235.8</v>
      </c>
      <c r="T17" s="2">
        <v>1.3618181818181818</v>
      </c>
      <c r="U17" s="2">
        <v>5.333333333333333</v>
      </c>
      <c r="V17">
        <f>(132.661183337755)/180</f>
        <v>0.7370065740986389</v>
      </c>
      <c r="W17">
        <f>(172353)/400000</f>
        <v>0.4308825</v>
      </c>
      <c r="X17">
        <v>0.3</v>
      </c>
      <c r="Y17">
        <v>-0.1</v>
      </c>
      <c r="Z17">
        <v>0.4</v>
      </c>
      <c r="AA17">
        <v>0.4</v>
      </c>
      <c r="AB17">
        <f t="shared" si="1"/>
        <v>0.34236775085157678</v>
      </c>
      <c r="AC17">
        <v>890.15615221410019</v>
      </c>
      <c r="AG17" s="2">
        <v>3727</v>
      </c>
      <c r="AH17" s="2">
        <v>323</v>
      </c>
      <c r="AI17">
        <v>665.4</v>
      </c>
      <c r="AJ17">
        <v>3007.35</v>
      </c>
      <c r="AK17">
        <v>0.2</v>
      </c>
      <c r="AL17">
        <v>0.2</v>
      </c>
      <c r="AM17">
        <v>0.3</v>
      </c>
      <c r="AN17">
        <v>0.3</v>
      </c>
      <c r="AO17">
        <v>2241.0933273219111</v>
      </c>
      <c r="AP17">
        <v>1911.825</v>
      </c>
      <c r="AR17">
        <v>291601</v>
      </c>
      <c r="AS17">
        <v>41531.199999999997</v>
      </c>
      <c r="AT17">
        <v>2582</v>
      </c>
      <c r="AU17">
        <v>0.3</v>
      </c>
      <c r="AV17">
        <v>0.4</v>
      </c>
      <c r="AW17">
        <v>0.3</v>
      </c>
      <c r="AX17">
        <f t="shared" si="2"/>
        <v>104867.38</v>
      </c>
      <c r="AY17">
        <v>2838.6206221629882</v>
      </c>
      <c r="BB17">
        <v>4137</v>
      </c>
      <c r="BC17">
        <v>2273.35</v>
      </c>
      <c r="BD17" s="2">
        <v>986</v>
      </c>
      <c r="BE17" s="4">
        <v>0.4</v>
      </c>
      <c r="BF17" s="4">
        <v>0.3</v>
      </c>
      <c r="BG17" s="4">
        <v>0.3</v>
      </c>
      <c r="BH17">
        <f t="shared" si="3"/>
        <v>2632.6050000000005</v>
      </c>
      <c r="BI17">
        <v>5347.4789062499995</v>
      </c>
      <c r="BN17">
        <v>99.581584316827403</v>
      </c>
      <c r="BO17">
        <v>68.223238814754609</v>
      </c>
      <c r="BW17" s="2">
        <v>104275</v>
      </c>
      <c r="BX17" s="2">
        <v>33159</v>
      </c>
      <c r="BY17" s="2">
        <v>1096</v>
      </c>
      <c r="BZ17" s="2">
        <v>409</v>
      </c>
      <c r="CA17" s="3">
        <v>0.3</v>
      </c>
      <c r="CB17" s="3">
        <v>0.3</v>
      </c>
      <c r="CC17" s="3">
        <v>0.2</v>
      </c>
      <c r="CD17" s="3">
        <v>0.2</v>
      </c>
      <c r="CE17">
        <f t="shared" si="4"/>
        <v>41531.199999999997</v>
      </c>
      <c r="CJ17">
        <v>14783</v>
      </c>
      <c r="CM17">
        <v>14707</v>
      </c>
      <c r="CN17" s="2">
        <v>446432</v>
      </c>
      <c r="CS17">
        <v>2</v>
      </c>
      <c r="CT17">
        <v>8</v>
      </c>
      <c r="CU17">
        <v>19</v>
      </c>
      <c r="CV17">
        <v>11999</v>
      </c>
      <c r="CW17">
        <v>5</v>
      </c>
      <c r="CX17">
        <v>0.5</v>
      </c>
      <c r="CY17">
        <v>0.1</v>
      </c>
      <c r="CZ17">
        <v>0.2</v>
      </c>
      <c r="DA17">
        <v>0.25</v>
      </c>
      <c r="DB17">
        <v>0.4</v>
      </c>
      <c r="DC17">
        <f t="shared" si="5"/>
        <v>3007.35</v>
      </c>
      <c r="DE17" s="2">
        <v>736</v>
      </c>
      <c r="DF17" s="2">
        <v>215</v>
      </c>
      <c r="DG17" s="4">
        <v>0.6</v>
      </c>
      <c r="DH17" s="4">
        <v>0.4</v>
      </c>
      <c r="DI17" s="4">
        <f t="shared" si="6"/>
        <v>527.59999999999991</v>
      </c>
      <c r="DK17" s="2">
        <v>558</v>
      </c>
      <c r="DL17" s="2">
        <v>215</v>
      </c>
      <c r="DM17" s="5">
        <v>0.6</v>
      </c>
      <c r="DN17" s="5">
        <v>0.4</v>
      </c>
      <c r="DO17">
        <f t="shared" si="7"/>
        <v>420.8</v>
      </c>
      <c r="DR17" s="2">
        <v>1980</v>
      </c>
      <c r="DS17" s="2">
        <v>1269</v>
      </c>
      <c r="DT17">
        <v>0.35</v>
      </c>
      <c r="DU17">
        <v>0.65</v>
      </c>
      <c r="DV17">
        <f t="shared" si="8"/>
        <v>1517.85</v>
      </c>
      <c r="EB17">
        <v>931</v>
      </c>
      <c r="ED17">
        <v>6.8362592772770672</v>
      </c>
      <c r="EE17">
        <v>-12.312709346517</v>
      </c>
      <c r="EF17">
        <v>5.4764500692399327</v>
      </c>
      <c r="EG17">
        <v>0.41841568317258304</v>
      </c>
      <c r="EJ17">
        <v>0.41841568317258304</v>
      </c>
      <c r="EO17" s="2">
        <v>20882</v>
      </c>
      <c r="EP17" s="2">
        <v>20692</v>
      </c>
      <c r="EQ17" s="2">
        <v>21011</v>
      </c>
      <c r="ER17" s="2">
        <v>20736</v>
      </c>
      <c r="ES17" s="2">
        <v>18963</v>
      </c>
      <c r="ET17" s="2">
        <v>15135</v>
      </c>
      <c r="EU17" s="2">
        <v>15237</v>
      </c>
      <c r="EV17" s="2">
        <v>15583</v>
      </c>
      <c r="EW17" s="2">
        <v>19485</v>
      </c>
      <c r="EX17" s="2">
        <v>20016</v>
      </c>
      <c r="EY17" s="2">
        <v>20047</v>
      </c>
      <c r="EZ17" s="2">
        <v>20321</v>
      </c>
      <c r="FA17" s="2">
        <v>20385</v>
      </c>
      <c r="FB17" s="2">
        <v>18982</v>
      </c>
      <c r="FC17" s="2">
        <v>15271</v>
      </c>
      <c r="FD17" s="2">
        <v>15054</v>
      </c>
      <c r="FE17" s="2">
        <v>15144</v>
      </c>
      <c r="FF17" s="2">
        <v>13200</v>
      </c>
      <c r="FG17">
        <f t="shared" si="9"/>
        <v>326144</v>
      </c>
      <c r="FI17">
        <v>-12.6950942806117</v>
      </c>
      <c r="FJ17" s="2">
        <v>12.312709346516982</v>
      </c>
      <c r="FK17">
        <v>68.223238814754609</v>
      </c>
      <c r="FM17">
        <v>68.223238814754609</v>
      </c>
    </row>
    <row r="18" spans="1:169">
      <c r="A18" s="1" t="s">
        <v>0</v>
      </c>
      <c r="B18" s="1" t="s">
        <v>32</v>
      </c>
      <c r="C18" s="1" t="s">
        <v>2</v>
      </c>
      <c r="D18" s="1" t="s">
        <v>33</v>
      </c>
      <c r="E18" s="2">
        <v>3214</v>
      </c>
      <c r="F18" s="2">
        <v>2623</v>
      </c>
      <c r="G18" s="2">
        <v>2499</v>
      </c>
      <c r="H18" s="2">
        <v>3223</v>
      </c>
      <c r="I18" s="2">
        <v>1655</v>
      </c>
      <c r="J18" s="2">
        <v>3239</v>
      </c>
      <c r="K18" s="4">
        <v>0.05</v>
      </c>
      <c r="L18" s="4">
        <v>0.1</v>
      </c>
      <c r="M18" s="4">
        <v>0.15</v>
      </c>
      <c r="N18" s="4">
        <v>0.2</v>
      </c>
      <c r="O18" s="4">
        <v>0.2</v>
      </c>
      <c r="P18" s="4">
        <v>0.3</v>
      </c>
      <c r="Q18" s="4">
        <f t="shared" si="0"/>
        <v>2745.1499999999996</v>
      </c>
      <c r="R18" s="4">
        <v>2745.15</v>
      </c>
      <c r="T18" s="2">
        <v>1.0063636363636363</v>
      </c>
      <c r="U18" s="2">
        <v>0.375</v>
      </c>
      <c r="V18">
        <f>(86.2068965517241)/180</f>
        <v>0.47892720306513387</v>
      </c>
      <c r="W18">
        <f>(440727)/400000</f>
        <v>1.1018174999999999</v>
      </c>
      <c r="X18">
        <v>0.3</v>
      </c>
      <c r="Y18">
        <v>-0.1</v>
      </c>
      <c r="Z18">
        <v>0.4</v>
      </c>
      <c r="AA18">
        <v>0.4</v>
      </c>
      <c r="AB18">
        <f t="shared" si="1"/>
        <v>0.8967069721351445</v>
      </c>
      <c r="AC18">
        <v>2331.4381275513747</v>
      </c>
      <c r="AG18" s="2">
        <v>5399</v>
      </c>
      <c r="AH18" s="2">
        <v>214</v>
      </c>
      <c r="AI18">
        <v>1226.8000000000002</v>
      </c>
      <c r="AJ18">
        <v>3701.6</v>
      </c>
      <c r="AK18">
        <v>0.2</v>
      </c>
      <c r="AL18">
        <v>0.2</v>
      </c>
      <c r="AM18">
        <v>0.3</v>
      </c>
      <c r="AN18">
        <v>0.3</v>
      </c>
      <c r="AO18">
        <v>3049.1036970243463</v>
      </c>
      <c r="AP18">
        <v>2601.12</v>
      </c>
      <c r="AR18">
        <v>385333</v>
      </c>
      <c r="AS18">
        <v>69553.3</v>
      </c>
      <c r="AT18">
        <v>3518</v>
      </c>
      <c r="AU18">
        <v>0.3</v>
      </c>
      <c r="AV18">
        <v>0.4</v>
      </c>
      <c r="AW18">
        <v>0.3</v>
      </c>
      <c r="AX18">
        <f t="shared" si="2"/>
        <v>144476.62</v>
      </c>
      <c r="AY18">
        <v>3910.7901136884061</v>
      </c>
      <c r="BB18">
        <v>336</v>
      </c>
      <c r="BC18">
        <v>1455</v>
      </c>
      <c r="BD18" s="2">
        <v>922</v>
      </c>
      <c r="BE18" s="4">
        <v>0.4</v>
      </c>
      <c r="BF18" s="4">
        <v>0.3</v>
      </c>
      <c r="BG18" s="4">
        <v>0.3</v>
      </c>
      <c r="BH18">
        <f t="shared" si="3"/>
        <v>847.5</v>
      </c>
      <c r="BI18">
        <v>1721.484375</v>
      </c>
      <c r="BN18">
        <v>98.943624112966802</v>
      </c>
      <c r="BO18">
        <v>75.564492650596307</v>
      </c>
      <c r="BW18" s="2">
        <v>169541</v>
      </c>
      <c r="BX18" s="2">
        <v>61574</v>
      </c>
      <c r="BY18" s="2">
        <v>638</v>
      </c>
      <c r="BZ18" s="2">
        <v>456</v>
      </c>
      <c r="CA18" s="3">
        <v>0.3</v>
      </c>
      <c r="CB18" s="3">
        <v>0.3</v>
      </c>
      <c r="CC18" s="3">
        <v>0.2</v>
      </c>
      <c r="CD18" s="3">
        <v>0.2</v>
      </c>
      <c r="CE18">
        <f t="shared" si="4"/>
        <v>69553.3</v>
      </c>
      <c r="CJ18">
        <v>22453</v>
      </c>
      <c r="CM18">
        <v>19528</v>
      </c>
      <c r="CN18" s="2">
        <v>635949</v>
      </c>
      <c r="CS18">
        <v>506</v>
      </c>
      <c r="CT18">
        <v>1534</v>
      </c>
      <c r="CU18">
        <v>8561</v>
      </c>
      <c r="CV18">
        <v>5932</v>
      </c>
      <c r="CW18">
        <v>250</v>
      </c>
      <c r="CX18">
        <v>0.5</v>
      </c>
      <c r="CY18">
        <v>0.1</v>
      </c>
      <c r="CZ18">
        <v>0.2</v>
      </c>
      <c r="DA18">
        <v>0.25</v>
      </c>
      <c r="DB18">
        <v>0.4</v>
      </c>
      <c r="DC18">
        <f t="shared" si="5"/>
        <v>3701.6</v>
      </c>
      <c r="DE18" s="2">
        <v>947</v>
      </c>
      <c r="DF18" s="2">
        <v>243</v>
      </c>
      <c r="DG18" s="4">
        <v>0.6</v>
      </c>
      <c r="DH18" s="4">
        <v>0.4</v>
      </c>
      <c r="DI18" s="4">
        <f t="shared" si="6"/>
        <v>665.4</v>
      </c>
      <c r="DK18" s="2">
        <v>1009</v>
      </c>
      <c r="DL18" s="2">
        <v>371</v>
      </c>
      <c r="DM18" s="5">
        <v>0.6</v>
      </c>
      <c r="DN18" s="5">
        <v>0.4</v>
      </c>
      <c r="DO18">
        <f t="shared" si="7"/>
        <v>753.8</v>
      </c>
      <c r="DR18" s="2">
        <v>2989</v>
      </c>
      <c r="DS18" s="2">
        <v>1888</v>
      </c>
      <c r="DT18">
        <v>0.35</v>
      </c>
      <c r="DU18">
        <v>0.65</v>
      </c>
      <c r="DV18">
        <f t="shared" si="8"/>
        <v>2273.35</v>
      </c>
      <c r="EB18">
        <v>4716</v>
      </c>
      <c r="ED18">
        <v>8.458716261657262</v>
      </c>
      <c r="EE18">
        <v>-13.0090423720678</v>
      </c>
      <c r="EF18">
        <v>4.5503261104105377</v>
      </c>
      <c r="EG18">
        <v>1.0563758870332201</v>
      </c>
      <c r="EJ18">
        <v>1.0563758870332201</v>
      </c>
      <c r="EO18" s="2">
        <v>43197</v>
      </c>
      <c r="EP18" s="2">
        <v>40831</v>
      </c>
      <c r="EQ18" s="2">
        <v>41615</v>
      </c>
      <c r="ER18" s="2">
        <v>37995</v>
      </c>
      <c r="ES18" s="2">
        <v>36637</v>
      </c>
      <c r="ET18" s="2">
        <v>21325</v>
      </c>
      <c r="EU18" s="2">
        <v>20958</v>
      </c>
      <c r="EV18" s="2">
        <v>20815</v>
      </c>
      <c r="EW18" s="2">
        <v>36935</v>
      </c>
      <c r="EX18" s="2">
        <v>42572</v>
      </c>
      <c r="EY18" s="2">
        <v>41004</v>
      </c>
      <c r="EZ18" s="2">
        <v>40597</v>
      </c>
      <c r="FA18" s="2">
        <v>38684</v>
      </c>
      <c r="FB18" s="2">
        <v>36545</v>
      </c>
      <c r="FC18" s="2">
        <v>21750</v>
      </c>
      <c r="FD18" s="2">
        <v>21170</v>
      </c>
      <c r="FE18" s="2">
        <v>20937</v>
      </c>
      <c r="FF18" s="2">
        <v>27229</v>
      </c>
      <c r="FG18">
        <f t="shared" si="9"/>
        <v>590796</v>
      </c>
      <c r="FI18">
        <v>-13.2892260591357</v>
      </c>
      <c r="FJ18" s="2">
        <v>13.009042372067835</v>
      </c>
      <c r="FK18">
        <v>75.564492650596307</v>
      </c>
      <c r="FM18">
        <v>75.564492650596307</v>
      </c>
    </row>
    <row r="19" spans="1:169">
      <c r="A19" s="1" t="s">
        <v>0</v>
      </c>
      <c r="B19" s="1" t="s">
        <v>34</v>
      </c>
      <c r="C19" s="1" t="s">
        <v>2</v>
      </c>
      <c r="D19" s="1" t="s">
        <v>35</v>
      </c>
      <c r="E19" s="2">
        <v>3017</v>
      </c>
      <c r="F19" s="2">
        <v>2515</v>
      </c>
      <c r="G19" s="2">
        <v>2340</v>
      </c>
      <c r="H19" s="2">
        <v>3108</v>
      </c>
      <c r="I19" s="2">
        <v>1009</v>
      </c>
      <c r="J19" s="2">
        <v>3120</v>
      </c>
      <c r="K19" s="4">
        <v>0.05</v>
      </c>
      <c r="L19" s="4">
        <v>0.1</v>
      </c>
      <c r="M19" s="4">
        <v>0.15</v>
      </c>
      <c r="N19" s="4">
        <v>0.2</v>
      </c>
      <c r="O19" s="4">
        <v>0.2</v>
      </c>
      <c r="P19" s="4">
        <v>0.3</v>
      </c>
      <c r="Q19" s="4">
        <f t="shared" si="0"/>
        <v>2512.75</v>
      </c>
      <c r="R19" s="4">
        <v>2512.75</v>
      </c>
      <c r="T19" s="2">
        <v>0.92409090909090907</v>
      </c>
      <c r="U19" s="2">
        <v>0.70833333333333337</v>
      </c>
      <c r="V19">
        <f>(194.250194250194)/180</f>
        <v>1.0791677458344111</v>
      </c>
      <c r="W19">
        <f>(326325)/400000</f>
        <v>0.81581250000000005</v>
      </c>
      <c r="X19">
        <v>0.3</v>
      </c>
      <c r="Y19">
        <v>-0.1</v>
      </c>
      <c r="Z19">
        <v>0.4</v>
      </c>
      <c r="AA19">
        <v>0.4</v>
      </c>
      <c r="AB19">
        <f t="shared" si="1"/>
        <v>0.96438603772770382</v>
      </c>
      <c r="AC19">
        <v>2507.4036980920305</v>
      </c>
      <c r="AG19" s="2">
        <v>9417</v>
      </c>
      <c r="AH19" s="2">
        <v>105</v>
      </c>
      <c r="AI19">
        <v>750.19999999999993</v>
      </c>
      <c r="AJ19">
        <v>2557.8500000000004</v>
      </c>
      <c r="AK19">
        <v>0.2</v>
      </c>
      <c r="AL19">
        <v>0.2</v>
      </c>
      <c r="AM19">
        <v>0.3</v>
      </c>
      <c r="AN19">
        <v>0.3</v>
      </c>
      <c r="AO19">
        <v>3395.72542831379</v>
      </c>
      <c r="AP19">
        <v>2896.8150000000001</v>
      </c>
      <c r="AR19">
        <v>216129</v>
      </c>
      <c r="AS19">
        <v>31283.1</v>
      </c>
      <c r="AT19">
        <v>3430</v>
      </c>
      <c r="AU19">
        <v>0.3</v>
      </c>
      <c r="AV19">
        <v>0.4</v>
      </c>
      <c r="AW19">
        <v>0.3</v>
      </c>
      <c r="AX19">
        <f t="shared" si="2"/>
        <v>78380.94</v>
      </c>
      <c r="AY19">
        <v>2121.6678882272095</v>
      </c>
      <c r="BB19">
        <v>157</v>
      </c>
      <c r="BC19">
        <v>1441.9</v>
      </c>
      <c r="BD19" s="2">
        <v>706</v>
      </c>
      <c r="BE19" s="4">
        <v>0.4</v>
      </c>
      <c r="BF19" s="4">
        <v>0.3</v>
      </c>
      <c r="BG19" s="4">
        <v>0.3</v>
      </c>
      <c r="BH19">
        <f t="shared" si="3"/>
        <v>707.17</v>
      </c>
      <c r="BI19">
        <v>1436.4390624999999</v>
      </c>
      <c r="BN19">
        <v>99.933327986992694</v>
      </c>
      <c r="BO19">
        <v>82.043220635269805</v>
      </c>
      <c r="BW19" s="2">
        <v>74225</v>
      </c>
      <c r="BX19" s="2">
        <v>30052</v>
      </c>
      <c r="BY19" s="2">
        <v>0</v>
      </c>
      <c r="BZ19" s="2">
        <v>0</v>
      </c>
      <c r="CA19" s="3">
        <v>0.3</v>
      </c>
      <c r="CB19" s="3">
        <v>0.3</v>
      </c>
      <c r="CC19" s="3">
        <v>0.2</v>
      </c>
      <c r="CD19" s="3">
        <v>0.2</v>
      </c>
      <c r="CE19">
        <f t="shared" si="4"/>
        <v>31283.1</v>
      </c>
      <c r="CJ19">
        <v>15887</v>
      </c>
      <c r="CM19">
        <v>12655</v>
      </c>
      <c r="CN19" s="2">
        <v>366786</v>
      </c>
      <c r="CS19">
        <v>85</v>
      </c>
      <c r="CT19">
        <v>569</v>
      </c>
      <c r="CU19">
        <v>5581</v>
      </c>
      <c r="CV19">
        <v>5265</v>
      </c>
      <c r="CW19">
        <v>65</v>
      </c>
      <c r="CX19">
        <v>0.5</v>
      </c>
      <c r="CY19">
        <v>0.1</v>
      </c>
      <c r="CZ19">
        <v>0.2</v>
      </c>
      <c r="DA19">
        <v>0.25</v>
      </c>
      <c r="DB19">
        <v>0.4</v>
      </c>
      <c r="DC19">
        <f t="shared" si="5"/>
        <v>2557.8500000000004</v>
      </c>
      <c r="DE19" s="2">
        <v>1732</v>
      </c>
      <c r="DF19" s="2">
        <v>469</v>
      </c>
      <c r="DG19" s="4">
        <v>0.6</v>
      </c>
      <c r="DH19" s="4">
        <v>0.4</v>
      </c>
      <c r="DI19" s="4">
        <f t="shared" si="6"/>
        <v>1226.8000000000002</v>
      </c>
      <c r="DK19" s="2">
        <v>1566</v>
      </c>
      <c r="DL19" s="2">
        <v>551</v>
      </c>
      <c r="DM19" s="5">
        <v>0.6</v>
      </c>
      <c r="DN19" s="5">
        <v>0.4</v>
      </c>
      <c r="DO19">
        <f t="shared" si="7"/>
        <v>1160</v>
      </c>
      <c r="DR19" s="2">
        <v>2170</v>
      </c>
      <c r="DS19" s="2">
        <v>1070</v>
      </c>
      <c r="DT19">
        <v>0.35</v>
      </c>
      <c r="DU19">
        <v>0.65</v>
      </c>
      <c r="DV19">
        <f t="shared" si="8"/>
        <v>1455</v>
      </c>
      <c r="EB19">
        <v>424</v>
      </c>
      <c r="ED19">
        <v>6.0497334552319577</v>
      </c>
      <c r="EE19">
        <v>-13.3628736504277</v>
      </c>
      <c r="EF19">
        <v>7.313140195195742</v>
      </c>
      <c r="EG19">
        <v>6.6672013007334496E-2</v>
      </c>
      <c r="EJ19">
        <v>6.6672013007334496E-2</v>
      </c>
      <c r="EO19" s="2">
        <v>56752</v>
      </c>
      <c r="EP19" s="2">
        <v>52967</v>
      </c>
      <c r="EQ19" s="2">
        <v>52810</v>
      </c>
      <c r="ER19" s="2">
        <v>49296</v>
      </c>
      <c r="ES19" s="2">
        <v>45464</v>
      </c>
      <c r="ET19" s="2">
        <v>32299</v>
      </c>
      <c r="EU19" s="2">
        <v>32164</v>
      </c>
      <c r="EV19" s="2">
        <v>32371</v>
      </c>
      <c r="EW19" s="2">
        <v>37131</v>
      </c>
      <c r="EX19" s="2">
        <v>53069</v>
      </c>
      <c r="EY19" s="2">
        <v>50442</v>
      </c>
      <c r="EZ19" s="2">
        <v>51445</v>
      </c>
      <c r="FA19" s="2">
        <v>49381</v>
      </c>
      <c r="FB19" s="2">
        <v>44557</v>
      </c>
      <c r="FC19" s="2">
        <v>34448</v>
      </c>
      <c r="FD19" s="2">
        <v>33841</v>
      </c>
      <c r="FE19" s="2">
        <v>33960</v>
      </c>
      <c r="FF19" s="2">
        <v>32742</v>
      </c>
      <c r="FG19">
        <f t="shared" si="9"/>
        <v>775139</v>
      </c>
      <c r="FI19">
        <v>-13.560797647092</v>
      </c>
      <c r="FJ19" s="2">
        <v>13.36287365042773</v>
      </c>
      <c r="FK19">
        <v>82.043220635269805</v>
      </c>
      <c r="FM19">
        <v>82.043220635269805</v>
      </c>
    </row>
    <row r="20" spans="1:169">
      <c r="A20" s="1" t="s">
        <v>0</v>
      </c>
      <c r="B20" s="1" t="s">
        <v>36</v>
      </c>
      <c r="C20" s="1" t="s">
        <v>2</v>
      </c>
      <c r="D20" s="1" t="s">
        <v>37</v>
      </c>
      <c r="E20" s="2">
        <v>3351</v>
      </c>
      <c r="F20" s="2">
        <v>2382</v>
      </c>
      <c r="G20" s="2">
        <v>2997</v>
      </c>
      <c r="H20" s="2">
        <v>3462</v>
      </c>
      <c r="I20" s="2">
        <v>1237</v>
      </c>
      <c r="J20" s="2">
        <v>3509</v>
      </c>
      <c r="K20" s="4">
        <v>0.05</v>
      </c>
      <c r="L20" s="4">
        <v>0.1</v>
      </c>
      <c r="M20" s="4">
        <v>0.15</v>
      </c>
      <c r="N20" s="4">
        <v>0.2</v>
      </c>
      <c r="O20" s="4">
        <v>0.2</v>
      </c>
      <c r="P20" s="4">
        <v>0.3</v>
      </c>
      <c r="Q20" s="4">
        <f t="shared" si="0"/>
        <v>2847.8</v>
      </c>
      <c r="R20" s="4">
        <v>2847.8</v>
      </c>
      <c r="T20" s="2">
        <v>1.0013636363636365</v>
      </c>
      <c r="U20" s="2">
        <v>0.91666666666666663</v>
      </c>
      <c r="V20">
        <f>(166.389351081531)/180</f>
        <v>0.92438528378628337</v>
      </c>
      <c r="W20">
        <f>(297277)/400000</f>
        <v>0.74319250000000003</v>
      </c>
      <c r="X20">
        <v>0.3</v>
      </c>
      <c r="Y20">
        <v>-0.1</v>
      </c>
      <c r="Z20">
        <v>0.4</v>
      </c>
      <c r="AA20">
        <v>0.4</v>
      </c>
      <c r="AB20">
        <f t="shared" si="1"/>
        <v>0.87577353775693756</v>
      </c>
      <c r="AC20">
        <v>2277.0111981680334</v>
      </c>
      <c r="AG20" s="2">
        <v>4900</v>
      </c>
      <c r="AH20" s="2">
        <v>120</v>
      </c>
      <c r="AI20">
        <v>523.20000000000005</v>
      </c>
      <c r="AJ20">
        <v>2820.55</v>
      </c>
      <c r="AK20">
        <v>0.2</v>
      </c>
      <c r="AL20">
        <v>0.2</v>
      </c>
      <c r="AM20">
        <v>0.3</v>
      </c>
      <c r="AN20">
        <v>0.3</v>
      </c>
      <c r="AO20">
        <v>2352.8065825067624</v>
      </c>
      <c r="AP20">
        <v>2007.125</v>
      </c>
      <c r="AR20">
        <v>193752</v>
      </c>
      <c r="AS20">
        <v>21594.3</v>
      </c>
      <c r="AT20">
        <v>1618</v>
      </c>
      <c r="AU20">
        <v>0.3</v>
      </c>
      <c r="AV20">
        <v>0.4</v>
      </c>
      <c r="AW20">
        <v>0.3</v>
      </c>
      <c r="AX20">
        <f t="shared" si="2"/>
        <v>67248.719999999987</v>
      </c>
      <c r="AY20">
        <v>1820.3334860284003</v>
      </c>
      <c r="BB20">
        <v>587</v>
      </c>
      <c r="BC20">
        <v>1640.85</v>
      </c>
      <c r="BD20" s="2">
        <v>1066</v>
      </c>
      <c r="BE20" s="4">
        <v>0.4</v>
      </c>
      <c r="BF20" s="4">
        <v>0.3</v>
      </c>
      <c r="BG20" s="4">
        <v>0.3</v>
      </c>
      <c r="BH20">
        <f t="shared" si="3"/>
        <v>1046.855</v>
      </c>
      <c r="BI20">
        <v>2126.4242187499999</v>
      </c>
      <c r="BN20">
        <v>99.956923110478598</v>
      </c>
      <c r="BO20">
        <v>82.181339105068602</v>
      </c>
      <c r="BW20" s="2">
        <v>50382</v>
      </c>
      <c r="BX20" s="2">
        <v>21599</v>
      </c>
      <c r="BY20" s="2">
        <v>0</v>
      </c>
      <c r="BZ20" s="2">
        <v>0</v>
      </c>
      <c r="CA20" s="3">
        <v>0.3</v>
      </c>
      <c r="CB20" s="3">
        <v>0.3</v>
      </c>
      <c r="CC20" s="3">
        <v>0.2</v>
      </c>
      <c r="CD20" s="3">
        <v>0.2</v>
      </c>
      <c r="CE20">
        <f t="shared" si="4"/>
        <v>21594.3</v>
      </c>
      <c r="CJ20">
        <v>13748</v>
      </c>
      <c r="CM20">
        <v>14422</v>
      </c>
      <c r="CN20" s="2">
        <v>319299</v>
      </c>
      <c r="CS20">
        <v>147</v>
      </c>
      <c r="CT20">
        <v>646</v>
      </c>
      <c r="CU20">
        <v>5763</v>
      </c>
      <c r="CV20">
        <v>5097</v>
      </c>
      <c r="CW20">
        <v>639</v>
      </c>
      <c r="CX20">
        <v>0.5</v>
      </c>
      <c r="CY20">
        <v>0.1</v>
      </c>
      <c r="CZ20">
        <v>0.2</v>
      </c>
      <c r="DA20">
        <v>0.25</v>
      </c>
      <c r="DB20">
        <v>0.4</v>
      </c>
      <c r="DC20">
        <f t="shared" si="5"/>
        <v>2820.55</v>
      </c>
      <c r="DE20" s="2">
        <v>1073</v>
      </c>
      <c r="DF20" s="2">
        <v>266</v>
      </c>
      <c r="DG20" s="4">
        <v>0.6</v>
      </c>
      <c r="DH20" s="4">
        <v>0.4</v>
      </c>
      <c r="DI20" s="4">
        <f t="shared" si="6"/>
        <v>750.19999999999993</v>
      </c>
      <c r="DK20" s="2">
        <v>648</v>
      </c>
      <c r="DL20" s="2">
        <v>315</v>
      </c>
      <c r="DM20" s="5">
        <v>0.6</v>
      </c>
      <c r="DN20" s="5">
        <v>0.4</v>
      </c>
      <c r="DO20">
        <f t="shared" si="7"/>
        <v>514.79999999999995</v>
      </c>
      <c r="DR20" s="2">
        <v>1945</v>
      </c>
      <c r="DS20" s="2">
        <v>1171</v>
      </c>
      <c r="DT20">
        <v>0.35</v>
      </c>
      <c r="DU20">
        <v>0.65</v>
      </c>
      <c r="DV20">
        <f t="shared" si="8"/>
        <v>1441.9</v>
      </c>
      <c r="EB20">
        <v>158</v>
      </c>
      <c r="ED20">
        <v>5.0625950330269669</v>
      </c>
      <c r="EE20">
        <v>-12.8125338506971</v>
      </c>
      <c r="EF20">
        <v>7.7499388176701336</v>
      </c>
      <c r="EG20">
        <v>4.3076889521410498E-2</v>
      </c>
      <c r="EJ20">
        <v>4.3076889521410498E-2</v>
      </c>
      <c r="EO20" s="2">
        <v>34588</v>
      </c>
      <c r="EP20" s="2">
        <v>29640</v>
      </c>
      <c r="EQ20" s="2">
        <v>29148</v>
      </c>
      <c r="ER20" s="2">
        <v>26406</v>
      </c>
      <c r="ES20" s="2">
        <v>25158</v>
      </c>
      <c r="ET20" s="2">
        <v>20956</v>
      </c>
      <c r="EU20" s="2">
        <v>20686</v>
      </c>
      <c r="EV20" s="2">
        <v>20923</v>
      </c>
      <c r="EW20" s="2">
        <v>24227</v>
      </c>
      <c r="EX20" s="2">
        <v>30922</v>
      </c>
      <c r="EY20" s="2">
        <v>27405</v>
      </c>
      <c r="EZ20" s="2">
        <v>27934</v>
      </c>
      <c r="FA20" s="2">
        <v>25597</v>
      </c>
      <c r="FB20" s="2">
        <v>24546</v>
      </c>
      <c r="FC20" s="2">
        <v>19956</v>
      </c>
      <c r="FD20" s="2">
        <v>19423</v>
      </c>
      <c r="FE20" s="2">
        <v>19686</v>
      </c>
      <c r="FF20" s="2">
        <v>19112</v>
      </c>
      <c r="FG20">
        <f t="shared" si="9"/>
        <v>446313</v>
      </c>
      <c r="FI20">
        <v>-13.0087757785821</v>
      </c>
      <c r="FJ20" s="2">
        <v>12.8125338506971</v>
      </c>
      <c r="FK20">
        <v>82.181339105068602</v>
      </c>
      <c r="FM20">
        <v>82.181339105068602</v>
      </c>
    </row>
    <row r="21" spans="1:169">
      <c r="A21" s="1" t="s">
        <v>0</v>
      </c>
      <c r="B21" s="1" t="s">
        <v>38</v>
      </c>
      <c r="C21" s="1" t="s">
        <v>2</v>
      </c>
      <c r="D21" s="1" t="s">
        <v>39</v>
      </c>
      <c r="E21" s="2">
        <v>3316</v>
      </c>
      <c r="F21" s="2">
        <v>2327</v>
      </c>
      <c r="G21" s="2">
        <v>2227</v>
      </c>
      <c r="H21" s="2">
        <v>3380</v>
      </c>
      <c r="I21" s="2">
        <v>1092</v>
      </c>
      <c r="J21" s="2">
        <v>3386</v>
      </c>
      <c r="K21" s="4">
        <v>0.05</v>
      </c>
      <c r="L21" s="4">
        <v>0.1</v>
      </c>
      <c r="M21" s="4">
        <v>0.15</v>
      </c>
      <c r="N21" s="4">
        <v>0.2</v>
      </c>
      <c r="O21" s="4">
        <v>0.2</v>
      </c>
      <c r="P21" s="4">
        <v>0.3</v>
      </c>
      <c r="Q21" s="4">
        <f t="shared" si="0"/>
        <v>2642.75</v>
      </c>
      <c r="R21" s="4">
        <v>2642.75</v>
      </c>
      <c r="T21" s="2">
        <v>1.1363636363636365</v>
      </c>
      <c r="U21" s="2">
        <v>0.75</v>
      </c>
      <c r="V21">
        <f>(190.548780487805)/180</f>
        <v>1.0586043360433612</v>
      </c>
      <c r="W21">
        <f>(273779)/400000</f>
        <v>0.68444749999999999</v>
      </c>
      <c r="X21">
        <v>0.3</v>
      </c>
      <c r="Y21">
        <v>-0.1</v>
      </c>
      <c r="Z21">
        <v>0.4</v>
      </c>
      <c r="AA21">
        <v>0.4</v>
      </c>
      <c r="AB21">
        <f t="shared" si="1"/>
        <v>0.96312982532643543</v>
      </c>
      <c r="AC21">
        <v>2504.1375458487337</v>
      </c>
      <c r="AG21" s="2">
        <v>5057</v>
      </c>
      <c r="AH21" s="2">
        <v>225</v>
      </c>
      <c r="AI21">
        <v>503.6</v>
      </c>
      <c r="AJ21">
        <v>2911.65</v>
      </c>
      <c r="AK21">
        <v>0.2</v>
      </c>
      <c r="AL21">
        <v>0.2</v>
      </c>
      <c r="AM21">
        <v>0.3</v>
      </c>
      <c r="AN21">
        <v>0.3</v>
      </c>
      <c r="AO21">
        <v>2439.3755635707848</v>
      </c>
      <c r="AP21">
        <v>2080.9749999999999</v>
      </c>
      <c r="AR21">
        <v>200729</v>
      </c>
      <c r="AS21">
        <v>28083.899999999998</v>
      </c>
      <c r="AT21">
        <v>2040</v>
      </c>
      <c r="AU21">
        <v>0.3</v>
      </c>
      <c r="AV21">
        <v>0.4</v>
      </c>
      <c r="AW21">
        <v>0.3</v>
      </c>
      <c r="AX21">
        <f t="shared" si="2"/>
        <v>72064.259999999995</v>
      </c>
      <c r="AY21">
        <v>1950.6837546329068</v>
      </c>
      <c r="BB21">
        <v>1343</v>
      </c>
      <c r="BC21">
        <v>1411.55</v>
      </c>
      <c r="BD21" s="2">
        <v>176</v>
      </c>
      <c r="BE21" s="4">
        <v>0.4</v>
      </c>
      <c r="BF21" s="4">
        <v>0.3</v>
      </c>
      <c r="BG21" s="4">
        <v>0.3</v>
      </c>
      <c r="BH21">
        <f t="shared" si="3"/>
        <v>1013.4649999999999</v>
      </c>
      <c r="BI21">
        <v>2058.6007812500002</v>
      </c>
      <c r="BN21">
        <v>99.792670819514001</v>
      </c>
      <c r="BO21">
        <v>77.376555775273204</v>
      </c>
      <c r="BW21" s="2">
        <v>65300</v>
      </c>
      <c r="BX21" s="2">
        <v>28207</v>
      </c>
      <c r="BY21" s="2">
        <v>133</v>
      </c>
      <c r="BZ21" s="2">
        <v>26</v>
      </c>
      <c r="CA21" s="3">
        <v>0.3</v>
      </c>
      <c r="CB21" s="3">
        <v>0.3</v>
      </c>
      <c r="CC21" s="3">
        <v>0.2</v>
      </c>
      <c r="CD21" s="3">
        <v>0.2</v>
      </c>
      <c r="CE21">
        <f t="shared" si="4"/>
        <v>28083.899999999998</v>
      </c>
      <c r="CJ21">
        <v>15331</v>
      </c>
      <c r="CM21">
        <v>16611</v>
      </c>
      <c r="CN21" s="2">
        <v>312862</v>
      </c>
      <c r="CS21">
        <v>354</v>
      </c>
      <c r="CT21">
        <v>1138</v>
      </c>
      <c r="CU21">
        <v>6651</v>
      </c>
      <c r="CV21">
        <v>5017</v>
      </c>
      <c r="CW21">
        <v>91</v>
      </c>
      <c r="CX21">
        <v>0.5</v>
      </c>
      <c r="CY21">
        <v>0.1</v>
      </c>
      <c r="CZ21">
        <v>0.2</v>
      </c>
      <c r="DA21">
        <v>0.25</v>
      </c>
      <c r="DB21">
        <v>0.4</v>
      </c>
      <c r="DC21">
        <f t="shared" si="5"/>
        <v>2911.65</v>
      </c>
      <c r="DE21" s="2">
        <v>760</v>
      </c>
      <c r="DF21" s="2">
        <v>168</v>
      </c>
      <c r="DG21" s="4">
        <v>0.6</v>
      </c>
      <c r="DH21" s="4">
        <v>0.4</v>
      </c>
      <c r="DI21" s="4">
        <f t="shared" si="6"/>
        <v>523.20000000000005</v>
      </c>
      <c r="DK21" s="2">
        <v>793</v>
      </c>
      <c r="DL21" s="2">
        <v>313</v>
      </c>
      <c r="DM21" s="5">
        <v>0.6</v>
      </c>
      <c r="DN21" s="5">
        <v>0.4</v>
      </c>
      <c r="DO21">
        <f t="shared" si="7"/>
        <v>601</v>
      </c>
      <c r="DR21" s="2">
        <v>2168</v>
      </c>
      <c r="DS21" s="2">
        <v>1357</v>
      </c>
      <c r="DT21">
        <v>0.35</v>
      </c>
      <c r="DU21">
        <v>0.65</v>
      </c>
      <c r="DV21">
        <f t="shared" si="8"/>
        <v>1640.85</v>
      </c>
      <c r="EB21">
        <v>662</v>
      </c>
      <c r="ED21">
        <v>6.4952655559370083</v>
      </c>
      <c r="EE21">
        <v>-12.673883246847</v>
      </c>
      <c r="EF21">
        <v>6.1786176909099915</v>
      </c>
      <c r="EG21">
        <v>0.20732918048601201</v>
      </c>
      <c r="EJ21">
        <v>0.20732918048601201</v>
      </c>
      <c r="EO21" s="2">
        <v>31036</v>
      </c>
      <c r="EP21" s="2">
        <v>27349</v>
      </c>
      <c r="EQ21" s="2">
        <v>26511</v>
      </c>
      <c r="ER21" s="2">
        <v>24168</v>
      </c>
      <c r="ES21" s="2">
        <v>22573</v>
      </c>
      <c r="ET21" s="2">
        <v>20950</v>
      </c>
      <c r="EU21" s="2">
        <v>21203</v>
      </c>
      <c r="EV21" s="2">
        <v>21453</v>
      </c>
      <c r="EW21" s="2">
        <v>24373</v>
      </c>
      <c r="EX21" s="2">
        <v>26874</v>
      </c>
      <c r="EY21" s="2">
        <v>25323</v>
      </c>
      <c r="EZ21" s="2">
        <v>24324</v>
      </c>
      <c r="FA21" s="2">
        <v>22538</v>
      </c>
      <c r="FB21" s="2">
        <v>21022</v>
      </c>
      <c r="FC21" s="2">
        <v>18454</v>
      </c>
      <c r="FD21" s="2">
        <v>18637</v>
      </c>
      <c r="FE21" s="2">
        <v>18656</v>
      </c>
      <c r="FF21" s="2">
        <v>17212</v>
      </c>
      <c r="FG21">
        <f t="shared" si="9"/>
        <v>412656</v>
      </c>
      <c r="FI21">
        <v>-12.930369595082301</v>
      </c>
      <c r="FJ21" s="2">
        <v>12.673883246847046</v>
      </c>
      <c r="FK21">
        <v>77.376555775273204</v>
      </c>
      <c r="FM21">
        <v>77.376555775273204</v>
      </c>
    </row>
    <row r="22" spans="1:169">
      <c r="A22" s="1" t="s">
        <v>0</v>
      </c>
      <c r="B22" s="1" t="s">
        <v>40</v>
      </c>
      <c r="C22" s="1" t="s">
        <v>2</v>
      </c>
      <c r="D22" s="1" t="s">
        <v>41</v>
      </c>
      <c r="E22" s="2">
        <v>4330</v>
      </c>
      <c r="F22" s="2">
        <v>2898</v>
      </c>
      <c r="G22" s="2">
        <v>3607</v>
      </c>
      <c r="H22" s="2">
        <v>4301</v>
      </c>
      <c r="I22" s="2">
        <v>1454</v>
      </c>
      <c r="J22" s="2">
        <v>4323</v>
      </c>
      <c r="K22" s="4">
        <v>0.05</v>
      </c>
      <c r="L22" s="4">
        <v>0.1</v>
      </c>
      <c r="M22" s="4">
        <v>0.15</v>
      </c>
      <c r="N22" s="4">
        <v>0.2</v>
      </c>
      <c r="O22" s="4">
        <v>0.2</v>
      </c>
      <c r="P22" s="4">
        <v>0.3</v>
      </c>
      <c r="Q22" s="4">
        <f t="shared" si="0"/>
        <v>3495.25</v>
      </c>
      <c r="R22" s="4">
        <v>3495.25</v>
      </c>
      <c r="T22" s="2">
        <v>1.3581818181818182</v>
      </c>
      <c r="U22" s="2">
        <v>0.91666666666666663</v>
      </c>
      <c r="V22">
        <f>(120.019203072492)/180</f>
        <v>0.66677335040273333</v>
      </c>
      <c r="W22">
        <f>(562091)/400000</f>
        <v>1.4052275000000001</v>
      </c>
      <c r="X22">
        <v>0.3</v>
      </c>
      <c r="Y22">
        <v>-0.1</v>
      </c>
      <c r="Z22">
        <v>0.4</v>
      </c>
      <c r="AA22">
        <v>0.4</v>
      </c>
      <c r="AB22">
        <f t="shared" si="1"/>
        <v>1.144588218948972</v>
      </c>
      <c r="AC22">
        <v>2975.9293692673218</v>
      </c>
      <c r="AG22" s="2">
        <v>6187</v>
      </c>
      <c r="AH22" s="2">
        <v>296</v>
      </c>
      <c r="AI22">
        <v>1309.8000000000002</v>
      </c>
      <c r="AJ22">
        <v>2345.25</v>
      </c>
      <c r="AK22">
        <v>0.2</v>
      </c>
      <c r="AL22">
        <v>0.2</v>
      </c>
      <c r="AM22">
        <v>0.3</v>
      </c>
      <c r="AN22">
        <v>0.3</v>
      </c>
      <c r="AO22">
        <v>2805.2745716862105</v>
      </c>
      <c r="AP22">
        <v>2393.1150000000002</v>
      </c>
      <c r="AR22">
        <v>267132</v>
      </c>
      <c r="AS22">
        <v>33923.699999999997</v>
      </c>
      <c r="AT22">
        <v>4301</v>
      </c>
      <c r="AU22">
        <v>0.3</v>
      </c>
      <c r="AV22">
        <v>0.4</v>
      </c>
      <c r="AW22">
        <v>0.3</v>
      </c>
      <c r="AX22">
        <f t="shared" si="2"/>
        <v>94999.37999999999</v>
      </c>
      <c r="AY22">
        <v>2571.5069753883304</v>
      </c>
      <c r="BB22">
        <v>1013</v>
      </c>
      <c r="BC22">
        <v>1938.5</v>
      </c>
      <c r="BD22" s="2">
        <v>597</v>
      </c>
      <c r="BE22" s="4">
        <v>0.4</v>
      </c>
      <c r="BF22" s="4">
        <v>0.3</v>
      </c>
      <c r="BG22" s="4">
        <v>0.3</v>
      </c>
      <c r="BH22">
        <f t="shared" si="3"/>
        <v>1165.8499999999999</v>
      </c>
      <c r="BI22">
        <v>2368.1328125</v>
      </c>
      <c r="BN22">
        <v>99.469734259833402</v>
      </c>
      <c r="BO22">
        <v>72.254670334114408</v>
      </c>
      <c r="BW22" s="2">
        <v>84341</v>
      </c>
      <c r="BX22" s="2">
        <v>28738</v>
      </c>
      <c r="BY22" s="2">
        <v>0</v>
      </c>
      <c r="BZ22" s="2">
        <v>0</v>
      </c>
      <c r="CA22" s="3">
        <v>0.3</v>
      </c>
      <c r="CB22" s="3">
        <v>0.3</v>
      </c>
      <c r="CC22" s="3">
        <v>0.2</v>
      </c>
      <c r="CD22" s="3">
        <v>0.2</v>
      </c>
      <c r="CE22">
        <f t="shared" si="4"/>
        <v>33923.699999999997</v>
      </c>
      <c r="CJ22">
        <v>17283</v>
      </c>
      <c r="CM22">
        <v>13099</v>
      </c>
      <c r="CN22" s="2">
        <v>480342</v>
      </c>
      <c r="CS22">
        <v>290</v>
      </c>
      <c r="CT22">
        <v>1293</v>
      </c>
      <c r="CU22">
        <v>5181</v>
      </c>
      <c r="CV22">
        <v>3931</v>
      </c>
      <c r="CW22">
        <v>130</v>
      </c>
      <c r="CX22">
        <v>0.5</v>
      </c>
      <c r="CY22">
        <v>0.1</v>
      </c>
      <c r="CZ22">
        <v>0.2</v>
      </c>
      <c r="DA22">
        <v>0.25</v>
      </c>
      <c r="DB22">
        <v>0.4</v>
      </c>
      <c r="DC22">
        <f t="shared" si="5"/>
        <v>2345.25</v>
      </c>
      <c r="DE22" s="2">
        <v>700</v>
      </c>
      <c r="DF22" s="2">
        <v>209</v>
      </c>
      <c r="DG22" s="4">
        <v>0.6</v>
      </c>
      <c r="DH22" s="4">
        <v>0.4</v>
      </c>
      <c r="DI22" s="4">
        <f t="shared" si="6"/>
        <v>503.6</v>
      </c>
      <c r="DK22" s="2">
        <v>718</v>
      </c>
      <c r="DL22" s="2">
        <v>235</v>
      </c>
      <c r="DM22" s="5">
        <v>0.6</v>
      </c>
      <c r="DN22" s="5">
        <v>0.4</v>
      </c>
      <c r="DO22">
        <f t="shared" si="7"/>
        <v>524.79999999999995</v>
      </c>
      <c r="DR22" s="2">
        <v>2486</v>
      </c>
      <c r="DS22" s="2">
        <v>833</v>
      </c>
      <c r="DT22">
        <v>0.35</v>
      </c>
      <c r="DU22">
        <v>0.65</v>
      </c>
      <c r="DV22">
        <f t="shared" si="8"/>
        <v>1411.55</v>
      </c>
      <c r="EB22">
        <v>1659</v>
      </c>
      <c r="ED22">
        <v>7.4139702901904441</v>
      </c>
      <c r="EE22">
        <v>-12.653517477731</v>
      </c>
      <c r="EF22">
        <v>5.2395471875405564</v>
      </c>
      <c r="EG22">
        <v>0.530265740166595</v>
      </c>
      <c r="EJ22">
        <v>0.530265740166595</v>
      </c>
      <c r="EO22" s="2">
        <v>30294</v>
      </c>
      <c r="EP22" s="2">
        <v>28129</v>
      </c>
      <c r="EQ22" s="2">
        <v>28349</v>
      </c>
      <c r="ER22" s="2">
        <v>26647</v>
      </c>
      <c r="ES22" s="2">
        <v>24411</v>
      </c>
      <c r="ET22" s="2">
        <v>20257</v>
      </c>
      <c r="EU22" s="2">
        <v>20709</v>
      </c>
      <c r="EV22" s="2">
        <v>21741</v>
      </c>
      <c r="EW22" s="2">
        <v>32585</v>
      </c>
      <c r="EX22" s="2">
        <v>25826</v>
      </c>
      <c r="EY22" s="2">
        <v>24898</v>
      </c>
      <c r="EZ22" s="2">
        <v>25265</v>
      </c>
      <c r="FA22" s="2">
        <v>24093</v>
      </c>
      <c r="FB22" s="2">
        <v>21684</v>
      </c>
      <c r="FC22" s="2">
        <v>18015</v>
      </c>
      <c r="FD22" s="2">
        <v>18561</v>
      </c>
      <c r="FE22" s="2">
        <v>19523</v>
      </c>
      <c r="FF22" s="2">
        <v>22012</v>
      </c>
      <c r="FG22">
        <f t="shared" si="9"/>
        <v>432999</v>
      </c>
      <c r="FI22">
        <v>-12.9784906975131</v>
      </c>
      <c r="FJ22" s="2">
        <v>12.653517477731013</v>
      </c>
      <c r="FK22">
        <v>72.254670334114408</v>
      </c>
      <c r="FM22">
        <v>72.254670334114408</v>
      </c>
    </row>
    <row r="23" spans="1:169">
      <c r="A23" s="1" t="s">
        <v>0</v>
      </c>
      <c r="B23" s="1" t="s">
        <v>42</v>
      </c>
      <c r="C23" s="1" t="s">
        <v>2</v>
      </c>
      <c r="D23" s="1" t="s">
        <v>43</v>
      </c>
      <c r="E23" s="2">
        <v>2536</v>
      </c>
      <c r="F23" s="2">
        <v>1624</v>
      </c>
      <c r="G23" s="2">
        <v>1893</v>
      </c>
      <c r="H23" s="2">
        <v>2551</v>
      </c>
      <c r="I23" s="2">
        <v>1086</v>
      </c>
      <c r="J23" s="2">
        <v>2544</v>
      </c>
      <c r="K23" s="4">
        <v>0.05</v>
      </c>
      <c r="L23" s="4">
        <v>0.1</v>
      </c>
      <c r="M23" s="4">
        <v>0.15</v>
      </c>
      <c r="N23" s="4">
        <v>0.2</v>
      </c>
      <c r="O23" s="4">
        <v>0.2</v>
      </c>
      <c r="P23" s="4">
        <v>0.3</v>
      </c>
      <c r="Q23" s="4">
        <f>SUMPRODUCT(E23:J23,K23:P23)</f>
        <v>2063.75</v>
      </c>
      <c r="R23" s="4">
        <v>2063.75</v>
      </c>
      <c r="T23" s="2">
        <v>0.83181818181818179</v>
      </c>
      <c r="U23" s="2">
        <v>0.70833333333333337</v>
      </c>
      <c r="V23">
        <f>(89.4134477825465)/180</f>
        <v>0.49674137656970274</v>
      </c>
      <c r="W23">
        <f>(616461)/400000</f>
        <v>1.5411524999999999</v>
      </c>
      <c r="X23">
        <v>0.3</v>
      </c>
      <c r="Y23">
        <v>-0.1</v>
      </c>
      <c r="Z23">
        <v>0.4</v>
      </c>
      <c r="AA23">
        <v>0.4</v>
      </c>
      <c r="AB23">
        <f t="shared" si="1"/>
        <v>0.9938696718400023</v>
      </c>
      <c r="AC23">
        <v>2584.0611467840104</v>
      </c>
      <c r="AG23" s="2">
        <v>5073</v>
      </c>
      <c r="AH23" s="2">
        <v>439</v>
      </c>
      <c r="AI23">
        <v>1504.6</v>
      </c>
      <c r="AJ23">
        <v>3931.2000000000003</v>
      </c>
      <c r="AK23">
        <v>0.2</v>
      </c>
      <c r="AL23">
        <v>0.2</v>
      </c>
      <c r="AM23">
        <v>0.3</v>
      </c>
      <c r="AN23">
        <v>0.3</v>
      </c>
      <c r="AO23">
        <v>3203.8611361586959</v>
      </c>
      <c r="AP23">
        <v>2733.1400000000003</v>
      </c>
      <c r="AR23">
        <v>400473</v>
      </c>
      <c r="AS23">
        <v>33150.5</v>
      </c>
      <c r="AT23">
        <v>2544</v>
      </c>
      <c r="AU23">
        <v>0.3</v>
      </c>
      <c r="AV23">
        <v>0.4</v>
      </c>
      <c r="AW23">
        <v>0.3</v>
      </c>
      <c r="AX23">
        <f t="shared" si="2"/>
        <v>134165.30000000002</v>
      </c>
      <c r="AY23">
        <v>3631.6763836255236</v>
      </c>
      <c r="BB23">
        <v>2836</v>
      </c>
      <c r="BC23">
        <v>1073.5</v>
      </c>
      <c r="BD23" s="2">
        <v>349</v>
      </c>
      <c r="BE23" s="4">
        <v>0.4</v>
      </c>
      <c r="BF23" s="4">
        <v>0.3</v>
      </c>
      <c r="BG23" s="4">
        <v>0.3</v>
      </c>
      <c r="BH23">
        <f t="shared" si="3"/>
        <v>1561.15</v>
      </c>
      <c r="BI23">
        <v>3171.0859375</v>
      </c>
      <c r="BN23">
        <v>99.7622527282645</v>
      </c>
      <c r="BO23">
        <v>84.0149440124259</v>
      </c>
      <c r="BW23" s="2">
        <v>77249</v>
      </c>
      <c r="BX23" s="2">
        <v>32668</v>
      </c>
      <c r="BY23" s="2">
        <v>593</v>
      </c>
      <c r="BZ23" s="2">
        <v>284</v>
      </c>
      <c r="CA23" s="3">
        <v>0.3</v>
      </c>
      <c r="CB23" s="3">
        <v>0.3</v>
      </c>
      <c r="CC23" s="3">
        <v>0.2</v>
      </c>
      <c r="CD23" s="3">
        <v>0.2</v>
      </c>
      <c r="CE23">
        <f t="shared" si="4"/>
        <v>33150.5</v>
      </c>
      <c r="CJ23">
        <v>22918</v>
      </c>
      <c r="CM23">
        <v>19436</v>
      </c>
      <c r="CN23" s="2">
        <v>679317</v>
      </c>
      <c r="CS23">
        <v>229</v>
      </c>
      <c r="CT23">
        <v>2131</v>
      </c>
      <c r="CU23">
        <v>7401</v>
      </c>
      <c r="CV23">
        <v>8108</v>
      </c>
      <c r="CW23">
        <v>241</v>
      </c>
      <c r="CX23">
        <v>0.5</v>
      </c>
      <c r="CY23">
        <v>0.1</v>
      </c>
      <c r="CZ23">
        <v>0.2</v>
      </c>
      <c r="DA23">
        <v>0.25</v>
      </c>
      <c r="DB23">
        <v>0.4</v>
      </c>
      <c r="DC23">
        <f t="shared" si="5"/>
        <v>3931.2000000000003</v>
      </c>
      <c r="DE23" s="2">
        <v>1917</v>
      </c>
      <c r="DF23" s="2">
        <v>399</v>
      </c>
      <c r="DG23" s="4">
        <v>0.6</v>
      </c>
      <c r="DH23" s="4">
        <v>0.4</v>
      </c>
      <c r="DI23" s="4">
        <f t="shared" si="6"/>
        <v>1309.8000000000002</v>
      </c>
      <c r="DK23" s="2">
        <v>1192</v>
      </c>
      <c r="DL23" s="2">
        <v>295</v>
      </c>
      <c r="DM23" s="5">
        <v>0.6</v>
      </c>
      <c r="DN23" s="5">
        <v>0.4</v>
      </c>
      <c r="DO23">
        <f t="shared" si="7"/>
        <v>833.19999999999993</v>
      </c>
      <c r="DR23" s="2">
        <v>2933</v>
      </c>
      <c r="DS23" s="2">
        <v>1403</v>
      </c>
      <c r="DT23">
        <v>0.35</v>
      </c>
      <c r="DU23">
        <v>0.65</v>
      </c>
      <c r="DV23">
        <f t="shared" si="8"/>
        <v>1938.5</v>
      </c>
      <c r="EB23">
        <v>1142</v>
      </c>
      <c r="ED23">
        <v>7.0405363902159559</v>
      </c>
      <c r="EE23">
        <v>-13.082253629176501</v>
      </c>
      <c r="EF23">
        <v>6.0417172389605449</v>
      </c>
      <c r="EG23">
        <v>0.237747271735545</v>
      </c>
      <c r="EJ23">
        <v>0.237747271735545</v>
      </c>
      <c r="EO23" s="2">
        <v>46332</v>
      </c>
      <c r="EP23" s="2">
        <v>42855</v>
      </c>
      <c r="EQ23" s="2">
        <v>42695</v>
      </c>
      <c r="ER23" s="2">
        <v>40214</v>
      </c>
      <c r="ES23" s="2">
        <v>36398</v>
      </c>
      <c r="ET23" s="2">
        <v>27120</v>
      </c>
      <c r="EU23" s="2">
        <v>25519</v>
      </c>
      <c r="EV23" s="2">
        <v>25363</v>
      </c>
      <c r="EW23" s="2">
        <v>19866</v>
      </c>
      <c r="EX23" s="2">
        <v>40121</v>
      </c>
      <c r="EY23" s="2">
        <v>37759</v>
      </c>
      <c r="EZ23" s="2">
        <v>37754</v>
      </c>
      <c r="FA23" s="2">
        <v>37071</v>
      </c>
      <c r="FB23" s="2">
        <v>33638</v>
      </c>
      <c r="FC23" s="2">
        <v>23126</v>
      </c>
      <c r="FD23" s="2">
        <v>21447</v>
      </c>
      <c r="FE23" s="2">
        <v>21418</v>
      </c>
      <c r="FF23" s="2">
        <v>13038</v>
      </c>
      <c r="FG23">
        <f t="shared" si="9"/>
        <v>571734</v>
      </c>
      <c r="FI23">
        <v>-13.2564291272346</v>
      </c>
      <c r="FJ23" s="2">
        <v>13.082253629176453</v>
      </c>
      <c r="FK23">
        <v>84.0149440124259</v>
      </c>
      <c r="FM23">
        <v>84.0149440124259</v>
      </c>
    </row>
    <row r="24" spans="1:169">
      <c r="A24" s="1" t="s">
        <v>0</v>
      </c>
      <c r="B24" s="1" t="s">
        <v>44</v>
      </c>
      <c r="C24" s="1" t="s">
        <v>2</v>
      </c>
      <c r="D24" s="1" t="s">
        <v>45</v>
      </c>
      <c r="E24" s="2">
        <v>4265</v>
      </c>
      <c r="F24" s="2">
        <v>3182</v>
      </c>
      <c r="G24" s="2">
        <v>3338</v>
      </c>
      <c r="H24" s="2">
        <v>4438</v>
      </c>
      <c r="I24" s="2">
        <v>1434</v>
      </c>
      <c r="J24" s="2">
        <v>4438</v>
      </c>
      <c r="K24" s="4">
        <v>0.05</v>
      </c>
      <c r="L24" s="4">
        <v>0.1</v>
      </c>
      <c r="M24" s="4">
        <v>0.15</v>
      </c>
      <c r="N24" s="4">
        <v>0.2</v>
      </c>
      <c r="O24" s="4">
        <v>0.2</v>
      </c>
      <c r="P24" s="4">
        <v>0.3</v>
      </c>
      <c r="Q24" s="4">
        <f t="shared" si="0"/>
        <v>3537.95</v>
      </c>
      <c r="R24" s="4">
        <v>3537.95</v>
      </c>
      <c r="T24" s="2">
        <v>1.4822727272727272</v>
      </c>
      <c r="U24" s="2">
        <v>1.4166666666666667</v>
      </c>
      <c r="V24">
        <f>(205.254515599343)/180</f>
        <v>1.1403028644407944</v>
      </c>
      <c r="W24">
        <f>(361087)/400000</f>
        <v>0.90271749999999995</v>
      </c>
      <c r="X24">
        <v>0.3</v>
      </c>
      <c r="Y24">
        <v>-0.1</v>
      </c>
      <c r="Z24">
        <v>0.4</v>
      </c>
      <c r="AA24">
        <v>0.4</v>
      </c>
      <c r="AB24">
        <f t="shared" si="1"/>
        <v>1.1202232972914692</v>
      </c>
      <c r="AC24">
        <v>2912.5805729578224</v>
      </c>
      <c r="AG24" s="2">
        <v>8847</v>
      </c>
      <c r="AH24" s="2">
        <v>387</v>
      </c>
      <c r="AI24">
        <v>963.6</v>
      </c>
      <c r="AJ24">
        <v>1112.3500000000001</v>
      </c>
      <c r="AK24">
        <v>0.2</v>
      </c>
      <c r="AL24">
        <v>0.2</v>
      </c>
      <c r="AM24">
        <v>0.3</v>
      </c>
      <c r="AN24">
        <v>0.3</v>
      </c>
      <c r="AO24">
        <v>2894.9147880973842</v>
      </c>
      <c r="AP24">
        <v>2469.585</v>
      </c>
      <c r="AR24">
        <v>176302</v>
      </c>
      <c r="AS24">
        <v>20847</v>
      </c>
      <c r="AT24">
        <v>3116</v>
      </c>
      <c r="AU24">
        <v>0.3</v>
      </c>
      <c r="AV24">
        <v>0.4</v>
      </c>
      <c r="AW24">
        <v>0.3</v>
      </c>
      <c r="AX24">
        <f t="shared" si="2"/>
        <v>62164.200000000004</v>
      </c>
      <c r="AY24">
        <v>1682.702286261607</v>
      </c>
      <c r="BB24">
        <v>104</v>
      </c>
      <c r="BC24">
        <v>1858.8</v>
      </c>
      <c r="BD24" s="2">
        <v>392</v>
      </c>
      <c r="BE24" s="4">
        <v>0.4</v>
      </c>
      <c r="BF24" s="4">
        <v>0.3</v>
      </c>
      <c r="BG24" s="4">
        <v>0.3</v>
      </c>
      <c r="BH24">
        <f t="shared" si="3"/>
        <v>716.84</v>
      </c>
      <c r="BI24">
        <v>1456.08125</v>
      </c>
      <c r="BN24">
        <v>99.507004829851198</v>
      </c>
      <c r="BO24">
        <v>81.054698919096708</v>
      </c>
      <c r="BW24" s="2">
        <v>46154</v>
      </c>
      <c r="BX24" s="2">
        <v>21132</v>
      </c>
      <c r="BY24" s="2">
        <v>2385</v>
      </c>
      <c r="BZ24" s="2">
        <v>921</v>
      </c>
      <c r="CA24" s="3">
        <v>0.3</v>
      </c>
      <c r="CB24" s="3">
        <v>0.3</v>
      </c>
      <c r="CC24" s="3">
        <v>0.2</v>
      </c>
      <c r="CD24" s="3">
        <v>0.2</v>
      </c>
      <c r="CE24">
        <f t="shared" si="4"/>
        <v>20847</v>
      </c>
      <c r="CJ24">
        <v>12601</v>
      </c>
      <c r="CM24">
        <v>7544</v>
      </c>
      <c r="CN24" s="2">
        <v>304376</v>
      </c>
      <c r="CS24">
        <v>316</v>
      </c>
      <c r="CT24">
        <v>957</v>
      </c>
      <c r="CU24">
        <v>1850</v>
      </c>
      <c r="CV24">
        <v>1849</v>
      </c>
      <c r="CW24">
        <v>66</v>
      </c>
      <c r="CX24">
        <v>0.5</v>
      </c>
      <c r="CY24">
        <v>0.1</v>
      </c>
      <c r="CZ24">
        <v>0.2</v>
      </c>
      <c r="DA24">
        <v>0.25</v>
      </c>
      <c r="DB24">
        <v>0.4</v>
      </c>
      <c r="DC24">
        <f t="shared" si="5"/>
        <v>1112.3500000000001</v>
      </c>
      <c r="DE24" s="2">
        <v>2261</v>
      </c>
      <c r="DF24" s="2">
        <v>370</v>
      </c>
      <c r="DG24" s="4">
        <v>0.6</v>
      </c>
      <c r="DH24" s="4">
        <v>0.4</v>
      </c>
      <c r="DI24" s="4">
        <f t="shared" si="6"/>
        <v>1504.6</v>
      </c>
      <c r="DK24" s="2">
        <v>1494</v>
      </c>
      <c r="DL24" s="2">
        <v>555</v>
      </c>
      <c r="DM24" s="5">
        <v>0.6</v>
      </c>
      <c r="DN24" s="5">
        <v>0.4</v>
      </c>
      <c r="DO24">
        <f t="shared" si="7"/>
        <v>1118.4000000000001</v>
      </c>
      <c r="DR24" s="2">
        <v>1821</v>
      </c>
      <c r="DS24" s="2">
        <v>671</v>
      </c>
      <c r="DT24">
        <v>0.35</v>
      </c>
      <c r="DU24">
        <v>0.65</v>
      </c>
      <c r="DV24">
        <f t="shared" si="8"/>
        <v>1073.5</v>
      </c>
      <c r="EB24">
        <v>3349</v>
      </c>
      <c r="ED24">
        <v>8.1164170727942047</v>
      </c>
      <c r="EE24">
        <v>-13.4288431606281</v>
      </c>
      <c r="EF24">
        <v>5.3124260878338951</v>
      </c>
      <c r="EG24">
        <v>0.49299517014882294</v>
      </c>
      <c r="EJ24">
        <v>0.49299517014882294</v>
      </c>
      <c r="EO24" s="2">
        <v>117637</v>
      </c>
      <c r="EP24" s="2">
        <v>56639</v>
      </c>
      <c r="EQ24" s="2">
        <v>51021</v>
      </c>
      <c r="ER24" s="2">
        <v>45975</v>
      </c>
      <c r="ES24" s="2">
        <v>41777</v>
      </c>
      <c r="ET24" s="2">
        <v>33776</v>
      </c>
      <c r="EU24" s="2">
        <v>31364</v>
      </c>
      <c r="EV24" s="2">
        <v>30446</v>
      </c>
      <c r="EW24" s="2">
        <v>30053</v>
      </c>
      <c r="EX24" s="2">
        <v>110884</v>
      </c>
      <c r="EY24" s="2">
        <v>50928</v>
      </c>
      <c r="EZ24" s="2">
        <v>45902</v>
      </c>
      <c r="FA24" s="2">
        <v>43190</v>
      </c>
      <c r="FB24" s="2">
        <v>39958</v>
      </c>
      <c r="FC24" s="2">
        <v>30553</v>
      </c>
      <c r="FD24" s="2">
        <v>28144</v>
      </c>
      <c r="FE24" s="2">
        <v>27790</v>
      </c>
      <c r="FF24" s="2">
        <v>22060</v>
      </c>
      <c r="FG24">
        <f t="shared" si="9"/>
        <v>838097</v>
      </c>
      <c r="FI24">
        <v>-13.638889124555501</v>
      </c>
      <c r="FJ24" s="2">
        <v>13.428843160628068</v>
      </c>
      <c r="FK24">
        <v>81.054698919096708</v>
      </c>
      <c r="FM24">
        <v>81.054698919096708</v>
      </c>
    </row>
    <row r="25" spans="1:169">
      <c r="A25" s="1" t="s">
        <v>0</v>
      </c>
      <c r="B25" s="1" t="s">
        <v>46</v>
      </c>
      <c r="C25" s="1" t="s">
        <v>2</v>
      </c>
      <c r="D25" s="1" t="s">
        <v>47</v>
      </c>
      <c r="E25" s="2">
        <v>4727</v>
      </c>
      <c r="F25" s="2">
        <v>2914</v>
      </c>
      <c r="G25" s="2">
        <v>3591</v>
      </c>
      <c r="H25" s="2">
        <v>4823</v>
      </c>
      <c r="I25" s="2">
        <v>1449</v>
      </c>
      <c r="J25" s="2">
        <v>4855</v>
      </c>
      <c r="K25" s="4">
        <v>0.05</v>
      </c>
      <c r="L25" s="4">
        <v>0.1</v>
      </c>
      <c r="M25" s="4">
        <v>0.15</v>
      </c>
      <c r="N25" s="4">
        <v>0.2</v>
      </c>
      <c r="O25" s="4">
        <v>0.2</v>
      </c>
      <c r="P25" s="4">
        <v>0.3</v>
      </c>
      <c r="Q25" s="4">
        <f t="shared" si="0"/>
        <v>3777.3</v>
      </c>
      <c r="R25" s="4">
        <v>3777.3</v>
      </c>
      <c r="T25" s="2">
        <v>1.7990909090909091</v>
      </c>
      <c r="U25" s="2">
        <v>1.5833333333333333</v>
      </c>
      <c r="V25">
        <f>(104.405930256839)/180</f>
        <v>0.58003294587132781</v>
      </c>
      <c r="W25">
        <f>(675191)/400000</f>
        <v>1.6879774999999999</v>
      </c>
      <c r="X25">
        <v>0.3</v>
      </c>
      <c r="Y25">
        <v>-0.1</v>
      </c>
      <c r="Z25">
        <v>0.4</v>
      </c>
      <c r="AA25">
        <v>0.4</v>
      </c>
      <c r="AB25">
        <f t="shared" si="1"/>
        <v>1.2885981177424704</v>
      </c>
      <c r="AC25">
        <v>3350.355106130422</v>
      </c>
      <c r="AG25" s="2">
        <v>2827</v>
      </c>
      <c r="AH25" s="2">
        <v>544</v>
      </c>
      <c r="AI25">
        <v>1464.6</v>
      </c>
      <c r="AJ25">
        <v>3106.45</v>
      </c>
      <c r="AK25">
        <v>0.2</v>
      </c>
      <c r="AL25">
        <v>0.2</v>
      </c>
      <c r="AM25">
        <v>0.3</v>
      </c>
      <c r="AN25">
        <v>0.3</v>
      </c>
      <c r="AO25">
        <v>2397.8083859332719</v>
      </c>
      <c r="AP25">
        <v>2045.5149999999999</v>
      </c>
      <c r="AR25">
        <v>327798</v>
      </c>
      <c r="AS25">
        <v>42612.899999999994</v>
      </c>
      <c r="AT25">
        <v>5324</v>
      </c>
      <c r="AU25">
        <v>0.3</v>
      </c>
      <c r="AV25">
        <v>0.4</v>
      </c>
      <c r="AW25">
        <v>0.3</v>
      </c>
      <c r="AX25">
        <f t="shared" si="2"/>
        <v>116981.75999999999</v>
      </c>
      <c r="AY25">
        <v>3166.5407904051999</v>
      </c>
      <c r="BB25">
        <v>1015</v>
      </c>
      <c r="BC25">
        <v>1963.75</v>
      </c>
      <c r="BD25" s="2">
        <v>345</v>
      </c>
      <c r="BE25" s="4">
        <v>0.4</v>
      </c>
      <c r="BF25" s="4">
        <v>0.3</v>
      </c>
      <c r="BG25" s="4">
        <v>0.3</v>
      </c>
      <c r="BH25">
        <f t="shared" si="3"/>
        <v>1098.625</v>
      </c>
      <c r="BI25">
        <v>2231.58203125</v>
      </c>
      <c r="BN25">
        <v>99.964846111388496</v>
      </c>
      <c r="BO25">
        <v>83.173976843893101</v>
      </c>
      <c r="BW25" s="2">
        <v>101279</v>
      </c>
      <c r="BX25" s="2">
        <v>40764</v>
      </c>
      <c r="BY25" s="2">
        <v>0</v>
      </c>
      <c r="BZ25" s="2">
        <v>0</v>
      </c>
      <c r="CA25" s="3">
        <v>0.3</v>
      </c>
      <c r="CB25" s="3">
        <v>0.3</v>
      </c>
      <c r="CC25" s="3">
        <v>0.2</v>
      </c>
      <c r="CD25" s="3">
        <v>0.2</v>
      </c>
      <c r="CE25">
        <f t="shared" si="4"/>
        <v>42612.899999999994</v>
      </c>
      <c r="CJ25">
        <v>21309</v>
      </c>
      <c r="CM25">
        <v>15985</v>
      </c>
      <c r="CN25" s="2">
        <v>565977</v>
      </c>
      <c r="CS25">
        <v>234</v>
      </c>
      <c r="CT25">
        <v>1263</v>
      </c>
      <c r="CU25">
        <v>7477</v>
      </c>
      <c r="CV25">
        <v>5231</v>
      </c>
      <c r="CW25">
        <v>150</v>
      </c>
      <c r="CX25">
        <v>0.5</v>
      </c>
      <c r="CY25">
        <v>0.1</v>
      </c>
      <c r="CZ25">
        <v>0.2</v>
      </c>
      <c r="DA25">
        <v>0.25</v>
      </c>
      <c r="DB25">
        <v>0.4</v>
      </c>
      <c r="DC25">
        <f t="shared" si="5"/>
        <v>3106.45</v>
      </c>
      <c r="DE25" s="2">
        <v>1330</v>
      </c>
      <c r="DF25" s="2">
        <v>414</v>
      </c>
      <c r="DG25" s="4">
        <v>0.6</v>
      </c>
      <c r="DH25" s="4">
        <v>0.4</v>
      </c>
      <c r="DI25" s="4">
        <f t="shared" si="6"/>
        <v>963.6</v>
      </c>
      <c r="DK25" s="2">
        <v>636</v>
      </c>
      <c r="DL25" s="2">
        <v>264</v>
      </c>
      <c r="DM25" s="5">
        <v>0.6</v>
      </c>
      <c r="DN25" s="5">
        <v>0.4</v>
      </c>
      <c r="DO25">
        <f t="shared" si="7"/>
        <v>487.2</v>
      </c>
      <c r="DR25" s="2">
        <v>3216</v>
      </c>
      <c r="DS25" s="2">
        <v>1128</v>
      </c>
      <c r="DT25">
        <v>0.35</v>
      </c>
      <c r="DU25">
        <v>0.65</v>
      </c>
      <c r="DV25">
        <f t="shared" si="8"/>
        <v>1858.8</v>
      </c>
      <c r="EB25">
        <v>107</v>
      </c>
      <c r="ED25">
        <v>4.6728288344619058</v>
      </c>
      <c r="EE25">
        <v>-12.626019058234499</v>
      </c>
      <c r="EF25">
        <v>7.9531902237725935</v>
      </c>
      <c r="EG25">
        <v>3.5153888611455804E-2</v>
      </c>
      <c r="EJ25">
        <v>3.5153888611455804E-2</v>
      </c>
      <c r="EO25" s="2">
        <v>23535</v>
      </c>
      <c r="EP25" s="2">
        <v>24454</v>
      </c>
      <c r="EQ25" s="2">
        <v>25613</v>
      </c>
      <c r="ER25" s="2">
        <v>24107</v>
      </c>
      <c r="ES25" s="2">
        <v>22973</v>
      </c>
      <c r="ET25" s="2">
        <v>17889</v>
      </c>
      <c r="EU25" s="2">
        <v>18588</v>
      </c>
      <c r="EV25" s="2">
        <v>18431</v>
      </c>
      <c r="EW25" s="2">
        <v>15636</v>
      </c>
      <c r="EX25" s="2">
        <v>21771</v>
      </c>
      <c r="EY25" s="2">
        <v>22333</v>
      </c>
      <c r="EZ25" s="2">
        <v>23120</v>
      </c>
      <c r="FA25" s="2">
        <v>22791</v>
      </c>
      <c r="FB25" s="2">
        <v>21490</v>
      </c>
      <c r="FC25" s="2">
        <v>16751</v>
      </c>
      <c r="FD25" s="2">
        <v>17239</v>
      </c>
      <c r="FE25" s="2">
        <v>16942</v>
      </c>
      <c r="FF25" s="2">
        <v>12288</v>
      </c>
      <c r="FG25">
        <f t="shared" si="9"/>
        <v>365951</v>
      </c>
      <c r="FI25">
        <v>-12.8102547236394</v>
      </c>
      <c r="FJ25" s="2">
        <v>12.626019058234538</v>
      </c>
      <c r="FK25">
        <v>83.173976843893101</v>
      </c>
      <c r="FM25">
        <v>83.173976843893101</v>
      </c>
    </row>
    <row r="26" spans="1:169">
      <c r="A26" s="1" t="s">
        <v>0</v>
      </c>
      <c r="B26" s="1" t="s">
        <v>48</v>
      </c>
      <c r="C26" s="1" t="s">
        <v>2</v>
      </c>
      <c r="D26" s="1" t="s">
        <v>49</v>
      </c>
      <c r="E26" s="2">
        <v>5522</v>
      </c>
      <c r="F26" s="2">
        <v>3057</v>
      </c>
      <c r="G26" s="2">
        <v>5043</v>
      </c>
      <c r="H26" s="2">
        <v>5407</v>
      </c>
      <c r="I26" s="2">
        <v>1534</v>
      </c>
      <c r="J26" s="2">
        <v>5495</v>
      </c>
      <c r="K26" s="4">
        <v>0.05</v>
      </c>
      <c r="L26" s="4">
        <v>0.1</v>
      </c>
      <c r="M26" s="4">
        <v>0.15</v>
      </c>
      <c r="N26" s="4">
        <v>0.2</v>
      </c>
      <c r="O26" s="4">
        <v>0.2</v>
      </c>
      <c r="P26" s="4">
        <v>0.3</v>
      </c>
      <c r="Q26" s="4">
        <f t="shared" si="0"/>
        <v>4374.9500000000007</v>
      </c>
      <c r="R26" s="4">
        <v>4374.95</v>
      </c>
      <c r="T26" s="2">
        <v>1.989090909090909</v>
      </c>
      <c r="U26" s="2">
        <v>0.75</v>
      </c>
      <c r="V26">
        <f>(87.0322019147084)/180</f>
        <v>0.48351223285949108</v>
      </c>
      <c r="W26">
        <f>(1019500)/400000</f>
        <v>2.5487500000000001</v>
      </c>
      <c r="X26">
        <v>0.3</v>
      </c>
      <c r="Y26">
        <v>-0.1</v>
      </c>
      <c r="Z26">
        <v>0.4</v>
      </c>
      <c r="AA26">
        <v>0.4</v>
      </c>
      <c r="AB26">
        <f t="shared" si="1"/>
        <v>1.7346321658710691</v>
      </c>
      <c r="AC26">
        <v>4510.0436312647817</v>
      </c>
      <c r="AG26" s="2">
        <v>6363</v>
      </c>
      <c r="AH26" s="2">
        <v>475</v>
      </c>
      <c r="AI26">
        <v>1827</v>
      </c>
      <c r="AJ26">
        <v>3182.65</v>
      </c>
      <c r="AK26">
        <v>0.2</v>
      </c>
      <c r="AL26">
        <v>0.2</v>
      </c>
      <c r="AM26">
        <v>0.3</v>
      </c>
      <c r="AN26">
        <v>0.3</v>
      </c>
      <c r="AO26">
        <v>3364.8724075743921</v>
      </c>
      <c r="AP26">
        <v>2870.4950000000003</v>
      </c>
      <c r="AR26">
        <v>367445</v>
      </c>
      <c r="AS26">
        <v>70332.3</v>
      </c>
      <c r="AT26">
        <v>8344</v>
      </c>
      <c r="AU26">
        <v>0.3</v>
      </c>
      <c r="AV26">
        <v>0.4</v>
      </c>
      <c r="AW26">
        <v>0.3</v>
      </c>
      <c r="AX26">
        <f t="shared" si="2"/>
        <v>140869.62000000002</v>
      </c>
      <c r="AY26">
        <v>3813.1534168991898</v>
      </c>
      <c r="BB26">
        <v>6460</v>
      </c>
      <c r="BC26">
        <v>2269.6</v>
      </c>
      <c r="BD26" s="2">
        <v>366</v>
      </c>
      <c r="BE26" s="4">
        <v>0.4</v>
      </c>
      <c r="BF26" s="4">
        <v>0.3</v>
      </c>
      <c r="BG26" s="4">
        <v>0.3</v>
      </c>
      <c r="BH26">
        <f t="shared" si="3"/>
        <v>3374.6800000000003</v>
      </c>
      <c r="BI26">
        <v>6854.8187500000004</v>
      </c>
      <c r="BN26">
        <v>99.816423635589402</v>
      </c>
      <c r="BO26">
        <v>81.887274547649199</v>
      </c>
      <c r="BW26" s="2">
        <v>164874</v>
      </c>
      <c r="BX26" s="2">
        <v>61873</v>
      </c>
      <c r="BY26" s="2">
        <v>8608</v>
      </c>
      <c r="BZ26" s="2">
        <v>2933</v>
      </c>
      <c r="CA26" s="3">
        <v>0.3</v>
      </c>
      <c r="CB26" s="3">
        <v>0.3</v>
      </c>
      <c r="CC26" s="3">
        <v>0.2</v>
      </c>
      <c r="CD26" s="3">
        <v>0.2</v>
      </c>
      <c r="CE26">
        <f t="shared" si="4"/>
        <v>70332.3</v>
      </c>
      <c r="CJ26">
        <v>23442</v>
      </c>
      <c r="CM26">
        <v>17561</v>
      </c>
      <c r="CN26" s="2">
        <v>642110</v>
      </c>
      <c r="CS26">
        <v>421</v>
      </c>
      <c r="CT26">
        <v>1080</v>
      </c>
      <c r="CU26">
        <v>6327</v>
      </c>
      <c r="CV26">
        <v>6251</v>
      </c>
      <c r="CW26">
        <v>90</v>
      </c>
      <c r="CX26">
        <v>0.5</v>
      </c>
      <c r="CY26">
        <v>0.1</v>
      </c>
      <c r="CZ26">
        <v>0.2</v>
      </c>
      <c r="DA26">
        <v>0.25</v>
      </c>
      <c r="DB26">
        <v>0.4</v>
      </c>
      <c r="DC26">
        <f t="shared" si="5"/>
        <v>3182.65</v>
      </c>
      <c r="DE26" s="2">
        <v>2063</v>
      </c>
      <c r="DF26" s="2">
        <v>567</v>
      </c>
      <c r="DG26" s="4">
        <v>0.6</v>
      </c>
      <c r="DH26" s="4">
        <v>0.4</v>
      </c>
      <c r="DI26" s="4">
        <f t="shared" si="6"/>
        <v>1464.6</v>
      </c>
      <c r="DK26" s="2">
        <v>1317</v>
      </c>
      <c r="DL26" s="2">
        <v>419</v>
      </c>
      <c r="DM26" s="5">
        <v>0.6</v>
      </c>
      <c r="DN26" s="5">
        <v>0.4</v>
      </c>
      <c r="DO26">
        <f t="shared" si="7"/>
        <v>957.8</v>
      </c>
      <c r="DR26" s="2">
        <v>3904</v>
      </c>
      <c r="DS26" s="2">
        <v>919</v>
      </c>
      <c r="DT26">
        <v>0.35</v>
      </c>
      <c r="DU26">
        <v>0.65</v>
      </c>
      <c r="DV26">
        <f t="shared" si="8"/>
        <v>1963.75</v>
      </c>
      <c r="EB26">
        <v>1039</v>
      </c>
      <c r="ED26">
        <v>6.9460139910992273</v>
      </c>
      <c r="EE26">
        <v>-13.2463087203173</v>
      </c>
      <c r="EF26">
        <v>6.3002947292180727</v>
      </c>
      <c r="EG26">
        <v>0.183576364410559</v>
      </c>
      <c r="EJ26">
        <v>0.183576364410559</v>
      </c>
      <c r="EO26" s="2">
        <v>49547</v>
      </c>
      <c r="EP26" s="2">
        <v>47001</v>
      </c>
      <c r="EQ26" s="2">
        <v>48993</v>
      </c>
      <c r="ER26" s="2">
        <v>47916</v>
      </c>
      <c r="ES26" s="2">
        <v>46437</v>
      </c>
      <c r="ET26" s="2">
        <v>33051</v>
      </c>
      <c r="EU26" s="2">
        <v>33638</v>
      </c>
      <c r="EV26" s="2">
        <v>33112</v>
      </c>
      <c r="EW26" s="2">
        <v>26021</v>
      </c>
      <c r="EX26" s="2">
        <v>42414</v>
      </c>
      <c r="EY26" s="2">
        <v>41642</v>
      </c>
      <c r="EZ26" s="2">
        <v>44165</v>
      </c>
      <c r="FA26" s="2">
        <v>43932</v>
      </c>
      <c r="FB26" s="2">
        <v>41973</v>
      </c>
      <c r="FC26" s="2">
        <v>30401</v>
      </c>
      <c r="FD26" s="2">
        <v>30504</v>
      </c>
      <c r="FE26" s="2">
        <v>29784</v>
      </c>
      <c r="FF26" s="2">
        <v>20635</v>
      </c>
      <c r="FG26">
        <f t="shared" si="9"/>
        <v>691166</v>
      </c>
      <c r="FI26">
        <v>-13.446135305447299</v>
      </c>
      <c r="FJ26" s="2">
        <v>13.24630872031725</v>
      </c>
      <c r="FK26">
        <v>81.887274547649199</v>
      </c>
      <c r="FM26">
        <v>81.887274547649199</v>
      </c>
    </row>
    <row r="27" spans="1:169">
      <c r="A27" s="1" t="s">
        <v>0</v>
      </c>
      <c r="B27" s="1" t="s">
        <v>50</v>
      </c>
      <c r="C27" s="1" t="s">
        <v>2</v>
      </c>
      <c r="D27" s="1" t="s">
        <v>51</v>
      </c>
      <c r="E27" s="2">
        <v>5073</v>
      </c>
      <c r="F27" s="2">
        <v>3695</v>
      </c>
      <c r="G27" s="2">
        <v>3713</v>
      </c>
      <c r="H27" s="2">
        <v>5458</v>
      </c>
      <c r="I27" s="2">
        <v>1250</v>
      </c>
      <c r="J27" s="2">
        <v>5461</v>
      </c>
      <c r="K27" s="4">
        <v>0.05</v>
      </c>
      <c r="L27" s="4">
        <v>0.1</v>
      </c>
      <c r="M27" s="4">
        <v>0.15</v>
      </c>
      <c r="N27" s="4">
        <v>0.2</v>
      </c>
      <c r="O27" s="4">
        <v>0.2</v>
      </c>
      <c r="P27" s="4">
        <v>0.3</v>
      </c>
      <c r="Q27" s="4">
        <f t="shared" si="0"/>
        <v>4160</v>
      </c>
      <c r="R27" s="4">
        <v>4160</v>
      </c>
      <c r="T27" s="2">
        <v>1.8190909090909091</v>
      </c>
      <c r="U27" s="2">
        <v>1.5</v>
      </c>
      <c r="V27">
        <f>(62.4609618988132)/180</f>
        <v>0.34700534388229559</v>
      </c>
      <c r="W27">
        <f>(752664)/400000</f>
        <v>1.8816600000000001</v>
      </c>
      <c r="X27">
        <v>0.3</v>
      </c>
      <c r="Y27">
        <v>-0.1</v>
      </c>
      <c r="Z27">
        <v>0.4</v>
      </c>
      <c r="AA27">
        <v>0.4</v>
      </c>
      <c r="AB27">
        <f t="shared" si="1"/>
        <v>1.287193410280191</v>
      </c>
      <c r="AC27">
        <v>3346.702866728494</v>
      </c>
      <c r="AG27" s="2">
        <v>7172</v>
      </c>
      <c r="AH27" s="2">
        <v>680</v>
      </c>
      <c r="AI27">
        <v>2081.8000000000002</v>
      </c>
      <c r="AJ27">
        <v>4066.3999999999996</v>
      </c>
      <c r="AK27">
        <v>0.2</v>
      </c>
      <c r="AL27">
        <v>0.2</v>
      </c>
      <c r="AM27">
        <v>0.3</v>
      </c>
      <c r="AN27">
        <v>0.3</v>
      </c>
      <c r="AO27">
        <v>4002.9918845807019</v>
      </c>
      <c r="AP27">
        <v>3414.8599999999997</v>
      </c>
      <c r="AR27">
        <v>530210</v>
      </c>
      <c r="AS27">
        <v>133056.70000000001</v>
      </c>
      <c r="AT27">
        <v>9526</v>
      </c>
      <c r="AU27">
        <v>0.3</v>
      </c>
      <c r="AV27">
        <v>0.4</v>
      </c>
      <c r="AW27">
        <v>0.3</v>
      </c>
      <c r="AX27">
        <f t="shared" si="2"/>
        <v>215143.47999999998</v>
      </c>
      <c r="AY27">
        <v>5823.6481072752322</v>
      </c>
      <c r="BB27">
        <v>751</v>
      </c>
      <c r="BC27">
        <v>2372.3999999999996</v>
      </c>
      <c r="BD27" s="2">
        <v>333</v>
      </c>
      <c r="BE27" s="4">
        <v>0.4</v>
      </c>
      <c r="BF27" s="4">
        <v>0.3</v>
      </c>
      <c r="BG27" s="4">
        <v>0.3</v>
      </c>
      <c r="BH27">
        <f t="shared" si="3"/>
        <v>1112.02</v>
      </c>
      <c r="BI27">
        <v>2258.7906250000001</v>
      </c>
      <c r="BN27">
        <v>98.912803102272207</v>
      </c>
      <c r="BO27">
        <v>83.790929163120794</v>
      </c>
      <c r="BW27" s="2">
        <v>315465</v>
      </c>
      <c r="BX27" s="2">
        <v>127212</v>
      </c>
      <c r="BY27" s="2">
        <v>810</v>
      </c>
      <c r="BZ27" s="2">
        <v>458</v>
      </c>
      <c r="CA27" s="3">
        <v>0.3</v>
      </c>
      <c r="CB27" s="3">
        <v>0.3</v>
      </c>
      <c r="CC27" s="3">
        <v>0.2</v>
      </c>
      <c r="CD27" s="3">
        <v>0.2</v>
      </c>
      <c r="CE27">
        <f t="shared" si="4"/>
        <v>133056.70000000001</v>
      </c>
      <c r="CJ27">
        <v>24454</v>
      </c>
      <c r="CM27">
        <v>20486</v>
      </c>
      <c r="CN27" s="2">
        <v>828301</v>
      </c>
      <c r="CS27">
        <v>1</v>
      </c>
      <c r="CT27">
        <v>2</v>
      </c>
      <c r="CU27">
        <v>5170</v>
      </c>
      <c r="CV27">
        <v>11922</v>
      </c>
      <c r="CW27">
        <v>128</v>
      </c>
      <c r="CX27">
        <v>0.5</v>
      </c>
      <c r="CY27">
        <v>0.1</v>
      </c>
      <c r="CZ27">
        <v>0.2</v>
      </c>
      <c r="DA27">
        <v>0.25</v>
      </c>
      <c r="DB27">
        <v>0.4</v>
      </c>
      <c r="DC27">
        <f t="shared" si="5"/>
        <v>4066.3999999999996</v>
      </c>
      <c r="DE27" s="2">
        <v>2589</v>
      </c>
      <c r="DF27" s="2">
        <v>684</v>
      </c>
      <c r="DG27" s="4">
        <v>0.6</v>
      </c>
      <c r="DH27" s="4">
        <v>0.4</v>
      </c>
      <c r="DI27" s="4">
        <f t="shared" si="6"/>
        <v>1827</v>
      </c>
      <c r="DK27" s="2">
        <v>1669</v>
      </c>
      <c r="DL27" s="2">
        <v>369</v>
      </c>
      <c r="DM27" s="5">
        <v>0.6</v>
      </c>
      <c r="DN27" s="5">
        <v>0.4</v>
      </c>
      <c r="DO27">
        <f t="shared" si="7"/>
        <v>1149</v>
      </c>
      <c r="DR27" s="2">
        <v>4269</v>
      </c>
      <c r="DS27" s="2">
        <v>1193</v>
      </c>
      <c r="DT27">
        <v>0.35</v>
      </c>
      <c r="DU27">
        <v>0.65</v>
      </c>
      <c r="DV27">
        <f t="shared" si="8"/>
        <v>2269.6</v>
      </c>
      <c r="EB27">
        <v>6981</v>
      </c>
      <c r="ED27">
        <v>8.8509474519704021</v>
      </c>
      <c r="EE27">
        <v>-13.372514907558999</v>
      </c>
      <c r="EF27">
        <v>4.5215674555885972</v>
      </c>
      <c r="EG27">
        <v>1.0871968977278201</v>
      </c>
      <c r="EJ27">
        <v>1.0871968977278201</v>
      </c>
      <c r="EO27" s="2">
        <v>49983</v>
      </c>
      <c r="EP27" s="2">
        <v>52709</v>
      </c>
      <c r="EQ27" s="2">
        <v>57732</v>
      </c>
      <c r="ER27" s="2">
        <v>58376</v>
      </c>
      <c r="ES27" s="2">
        <v>51585</v>
      </c>
      <c r="ET27" s="2">
        <v>34944</v>
      </c>
      <c r="EU27" s="2">
        <v>34645</v>
      </c>
      <c r="EV27" s="2">
        <v>33951</v>
      </c>
      <c r="EW27" s="2">
        <v>28442</v>
      </c>
      <c r="EX27" s="2">
        <v>43950</v>
      </c>
      <c r="EY27" s="2">
        <v>47470</v>
      </c>
      <c r="EZ27" s="2">
        <v>50731</v>
      </c>
      <c r="FA27" s="2">
        <v>53259</v>
      </c>
      <c r="FB27" s="2">
        <v>47025</v>
      </c>
      <c r="FC27" s="2">
        <v>33113</v>
      </c>
      <c r="FD27" s="2">
        <v>32804</v>
      </c>
      <c r="FE27" s="2">
        <v>32468</v>
      </c>
      <c r="FF27" s="2">
        <v>23137</v>
      </c>
      <c r="FG27">
        <f t="shared" si="9"/>
        <v>766324</v>
      </c>
      <c r="FI27">
        <v>-13.549360335794701</v>
      </c>
      <c r="FJ27" s="2">
        <v>13.372514907559015</v>
      </c>
      <c r="FK27">
        <v>83.790929163120794</v>
      </c>
      <c r="FM27">
        <v>83.790929163120794</v>
      </c>
    </row>
    <row r="28" spans="1:169">
      <c r="A28" s="1" t="s">
        <v>0</v>
      </c>
      <c r="B28" s="1" t="s">
        <v>52</v>
      </c>
      <c r="C28" s="1" t="s">
        <v>2</v>
      </c>
      <c r="D28" s="1" t="s">
        <v>53</v>
      </c>
      <c r="E28" s="2">
        <v>4406</v>
      </c>
      <c r="F28" s="2">
        <v>3379</v>
      </c>
      <c r="G28" s="2">
        <v>3642</v>
      </c>
      <c r="H28" s="2">
        <v>4387</v>
      </c>
      <c r="I28" s="2">
        <v>1747</v>
      </c>
      <c r="J28" s="2">
        <v>4387</v>
      </c>
      <c r="K28" s="4">
        <v>0.05</v>
      </c>
      <c r="L28" s="4">
        <v>0.1</v>
      </c>
      <c r="M28" s="4">
        <v>0.15</v>
      </c>
      <c r="N28" s="4">
        <v>0.2</v>
      </c>
      <c r="O28" s="4">
        <v>0.2</v>
      </c>
      <c r="P28" s="4">
        <v>0.3</v>
      </c>
      <c r="Q28" s="4">
        <f t="shared" si="0"/>
        <v>3647.4</v>
      </c>
      <c r="R28" s="4">
        <v>3647.4</v>
      </c>
      <c r="T28" s="2">
        <v>1.4263636363636363</v>
      </c>
      <c r="U28" s="2">
        <v>3.625</v>
      </c>
      <c r="V28">
        <f>(72.1292556260819)/180</f>
        <v>0.40071808681156612</v>
      </c>
      <c r="W28">
        <f>(902814)/400000</f>
        <v>2.2570350000000001</v>
      </c>
      <c r="X28">
        <v>0.3</v>
      </c>
      <c r="Y28">
        <v>-0.1</v>
      </c>
      <c r="Z28">
        <v>0.4</v>
      </c>
      <c r="AA28">
        <v>0.4</v>
      </c>
      <c r="AB28">
        <f t="shared" si="1"/>
        <v>1.1285103256337174</v>
      </c>
      <c r="AC28">
        <v>2934.1268466476718</v>
      </c>
      <c r="AG28" s="2">
        <v>7725</v>
      </c>
      <c r="AH28" s="2">
        <v>246</v>
      </c>
      <c r="AI28">
        <v>2019</v>
      </c>
      <c r="AJ28">
        <v>3690.8</v>
      </c>
      <c r="AK28">
        <v>0.2</v>
      </c>
      <c r="AL28">
        <v>0.2</v>
      </c>
      <c r="AM28">
        <v>0.3</v>
      </c>
      <c r="AN28">
        <v>0.3</v>
      </c>
      <c r="AO28">
        <v>3876.7195671776262</v>
      </c>
      <c r="AP28">
        <v>3307.1400000000003</v>
      </c>
      <c r="AR28">
        <v>414912</v>
      </c>
      <c r="AS28">
        <v>84637.5</v>
      </c>
      <c r="AT28">
        <v>1853</v>
      </c>
      <c r="AU28">
        <v>0.3</v>
      </c>
      <c r="AV28">
        <v>0.4</v>
      </c>
      <c r="AW28">
        <v>0.3</v>
      </c>
      <c r="AX28">
        <f t="shared" si="2"/>
        <v>158884.49999999997</v>
      </c>
      <c r="AY28">
        <v>4300.7922791821002</v>
      </c>
      <c r="BB28">
        <v>3759</v>
      </c>
      <c r="BC28">
        <v>1845.0500000000002</v>
      </c>
      <c r="BD28" s="2">
        <v>1061</v>
      </c>
      <c r="BE28" s="4">
        <v>0.4</v>
      </c>
      <c r="BF28" s="4">
        <v>0.3</v>
      </c>
      <c r="BG28" s="4">
        <v>0.3</v>
      </c>
      <c r="BH28">
        <f t="shared" si="3"/>
        <v>2375.4150000000004</v>
      </c>
      <c r="BI28">
        <v>4825.0617187500002</v>
      </c>
      <c r="BN28">
        <v>99.883013542178503</v>
      </c>
      <c r="BO28">
        <v>77.4699538903308</v>
      </c>
      <c r="BW28" s="2">
        <v>208339</v>
      </c>
      <c r="BX28" s="2">
        <v>73786</v>
      </c>
      <c r="BY28" s="2">
        <v>0</v>
      </c>
      <c r="BZ28" s="2">
        <v>0</v>
      </c>
      <c r="CA28" s="3">
        <v>0.3</v>
      </c>
      <c r="CB28" s="3">
        <v>0.3</v>
      </c>
      <c r="CC28" s="3">
        <v>0.2</v>
      </c>
      <c r="CD28" s="3">
        <v>0.2</v>
      </c>
      <c r="CE28">
        <f t="shared" si="4"/>
        <v>84637.5</v>
      </c>
      <c r="CJ28">
        <v>25576</v>
      </c>
      <c r="CM28">
        <v>20110</v>
      </c>
      <c r="CN28" s="2">
        <v>732574</v>
      </c>
      <c r="CS28">
        <v>617</v>
      </c>
      <c r="CT28">
        <v>2146</v>
      </c>
      <c r="CU28">
        <v>9108</v>
      </c>
      <c r="CV28">
        <v>5122</v>
      </c>
      <c r="CW28">
        <v>164</v>
      </c>
      <c r="CX28">
        <v>0.5</v>
      </c>
      <c r="CY28">
        <v>0.1</v>
      </c>
      <c r="CZ28">
        <v>0.2</v>
      </c>
      <c r="DA28">
        <v>0.25</v>
      </c>
      <c r="DB28">
        <v>0.4</v>
      </c>
      <c r="DC28">
        <f t="shared" si="5"/>
        <v>3690.8</v>
      </c>
      <c r="DE28" s="2">
        <v>2943</v>
      </c>
      <c r="DF28" s="2">
        <v>790</v>
      </c>
      <c r="DG28" s="4">
        <v>0.6</v>
      </c>
      <c r="DH28" s="4">
        <v>0.4</v>
      </c>
      <c r="DI28" s="4">
        <f t="shared" si="6"/>
        <v>2081.8000000000002</v>
      </c>
      <c r="DK28" s="2">
        <v>2187</v>
      </c>
      <c r="DL28" s="2">
        <v>722</v>
      </c>
      <c r="DM28" s="5">
        <v>0.6</v>
      </c>
      <c r="DN28" s="5">
        <v>0.4</v>
      </c>
      <c r="DO28">
        <f t="shared" si="7"/>
        <v>1601</v>
      </c>
      <c r="DR28" s="2">
        <v>3909</v>
      </c>
      <c r="DS28" s="2">
        <v>1545</v>
      </c>
      <c r="DT28">
        <v>0.35</v>
      </c>
      <c r="DU28">
        <v>0.65</v>
      </c>
      <c r="DV28">
        <f t="shared" si="8"/>
        <v>2372.3999999999996</v>
      </c>
      <c r="EB28">
        <v>969</v>
      </c>
      <c r="ED28">
        <v>6.8762646118907664</v>
      </c>
      <c r="EE28">
        <v>-13.627131893877699</v>
      </c>
      <c r="EF28">
        <v>6.7508672819869329</v>
      </c>
      <c r="EG28">
        <v>0.116986457821489</v>
      </c>
      <c r="EJ28">
        <v>0.116986457821489</v>
      </c>
      <c r="EO28" s="2">
        <v>72619</v>
      </c>
      <c r="EP28" s="2">
        <v>73816</v>
      </c>
      <c r="EQ28" s="2">
        <v>80210</v>
      </c>
      <c r="ER28" s="2">
        <v>76723</v>
      </c>
      <c r="ES28" s="2">
        <v>72342</v>
      </c>
      <c r="ET28" s="2">
        <v>52154</v>
      </c>
      <c r="EU28" s="2">
        <v>49120</v>
      </c>
      <c r="EV28" s="2">
        <v>48968</v>
      </c>
      <c r="EW28" s="2">
        <v>17509</v>
      </c>
      <c r="EX28" s="2">
        <v>68904</v>
      </c>
      <c r="EY28" s="2">
        <v>70711</v>
      </c>
      <c r="EZ28" s="2">
        <v>76247</v>
      </c>
      <c r="FA28" s="2">
        <v>73062</v>
      </c>
      <c r="FB28" s="2">
        <v>69820</v>
      </c>
      <c r="FC28" s="2">
        <v>51876</v>
      </c>
      <c r="FD28" s="2">
        <v>49186</v>
      </c>
      <c r="FE28" s="2">
        <v>49497</v>
      </c>
      <c r="FF28" s="2">
        <v>16426</v>
      </c>
      <c r="FG28">
        <f t="shared" si="9"/>
        <v>1069190</v>
      </c>
      <c r="FI28">
        <v>-13.882411910416</v>
      </c>
      <c r="FJ28" s="2">
        <v>13.627131893877671</v>
      </c>
      <c r="FK28">
        <v>77.4699538903308</v>
      </c>
      <c r="FM28">
        <v>77.4699538903308</v>
      </c>
    </row>
    <row r="29" spans="1:169">
      <c r="A29" s="1" t="s">
        <v>0</v>
      </c>
      <c r="B29" s="1" t="s">
        <v>54</v>
      </c>
      <c r="C29" s="1" t="s">
        <v>2</v>
      </c>
      <c r="D29" s="1" t="s">
        <v>55</v>
      </c>
      <c r="E29" s="2">
        <v>4650</v>
      </c>
      <c r="F29" s="2">
        <v>4257</v>
      </c>
      <c r="G29" s="2">
        <v>3924</v>
      </c>
      <c r="H29" s="2">
        <v>4809</v>
      </c>
      <c r="I29" s="2">
        <v>2901</v>
      </c>
      <c r="J29" s="2">
        <v>4770</v>
      </c>
      <c r="K29" s="4">
        <v>0.05</v>
      </c>
      <c r="L29" s="4">
        <v>0.1</v>
      </c>
      <c r="M29" s="4">
        <v>0.15</v>
      </c>
      <c r="N29" s="4">
        <v>0.2</v>
      </c>
      <c r="O29" s="4">
        <v>0.2</v>
      </c>
      <c r="P29" s="4">
        <v>0.3</v>
      </c>
      <c r="Q29" s="4">
        <f t="shared" si="0"/>
        <v>4219.8</v>
      </c>
      <c r="R29" s="4">
        <v>4219.8</v>
      </c>
      <c r="T29" s="2">
        <v>0.8290909090909091</v>
      </c>
      <c r="U29" s="2">
        <v>1.5</v>
      </c>
      <c r="V29">
        <f>(163.612565445026)/180</f>
        <v>0.90895869691681119</v>
      </c>
      <c r="W29">
        <f>(433342)/400000</f>
        <v>1.0833550000000001</v>
      </c>
      <c r="X29">
        <v>0.3</v>
      </c>
      <c r="Y29">
        <v>-0.1</v>
      </c>
      <c r="Z29">
        <v>0.4</v>
      </c>
      <c r="AA29">
        <v>0.4</v>
      </c>
      <c r="AB29">
        <f t="shared" si="1"/>
        <v>0.89565275149399715</v>
      </c>
      <c r="AC29">
        <v>2328.6971538843895</v>
      </c>
      <c r="AG29" s="2">
        <v>7418</v>
      </c>
      <c r="AH29" s="2">
        <v>857</v>
      </c>
      <c r="AI29">
        <v>843.2</v>
      </c>
      <c r="AJ29">
        <v>3535.75</v>
      </c>
      <c r="AK29">
        <v>0.2</v>
      </c>
      <c r="AL29">
        <v>0.2</v>
      </c>
      <c r="AM29">
        <v>0.3</v>
      </c>
      <c r="AN29">
        <v>0.3</v>
      </c>
      <c r="AO29">
        <v>3479.9733994589719</v>
      </c>
      <c r="AP29">
        <v>2968.6850000000004</v>
      </c>
      <c r="AR29">
        <v>236611</v>
      </c>
      <c r="AS29">
        <v>46864.299999999996</v>
      </c>
      <c r="AT29">
        <v>3525</v>
      </c>
      <c r="AU29">
        <v>0.3</v>
      </c>
      <c r="AV29">
        <v>0.4</v>
      </c>
      <c r="AW29">
        <v>0.3</v>
      </c>
      <c r="AX29">
        <f t="shared" si="2"/>
        <v>90786.52</v>
      </c>
      <c r="AY29">
        <v>2457.470453504352</v>
      </c>
      <c r="BB29">
        <v>372</v>
      </c>
      <c r="BC29">
        <v>2509.1</v>
      </c>
      <c r="BD29" s="2">
        <v>474</v>
      </c>
      <c r="BE29" s="4">
        <v>0.4</v>
      </c>
      <c r="BF29" s="4">
        <v>0.3</v>
      </c>
      <c r="BG29" s="4">
        <v>0.3</v>
      </c>
      <c r="BH29">
        <f t="shared" si="3"/>
        <v>1043.73</v>
      </c>
      <c r="BI29">
        <v>2120.0765624999999</v>
      </c>
      <c r="BN29">
        <v>99.4395105477399</v>
      </c>
      <c r="BO29">
        <v>83.165958644867999</v>
      </c>
      <c r="BW29" s="2">
        <v>111622</v>
      </c>
      <c r="BX29" s="2">
        <v>44265</v>
      </c>
      <c r="BY29" s="2">
        <v>345</v>
      </c>
      <c r="BZ29" s="2">
        <v>146</v>
      </c>
      <c r="CA29" s="3">
        <v>0.3</v>
      </c>
      <c r="CB29" s="3">
        <v>0.3</v>
      </c>
      <c r="CC29" s="3">
        <v>0.2</v>
      </c>
      <c r="CD29" s="3">
        <v>0.2</v>
      </c>
      <c r="CE29">
        <f t="shared" si="4"/>
        <v>46864.299999999996</v>
      </c>
      <c r="CJ29">
        <v>18473</v>
      </c>
      <c r="CM29">
        <v>16720</v>
      </c>
      <c r="CN29" s="2">
        <v>393342</v>
      </c>
      <c r="CS29">
        <v>928</v>
      </c>
      <c r="CT29">
        <v>1112</v>
      </c>
      <c r="CU29">
        <v>7036</v>
      </c>
      <c r="CV29">
        <v>5935</v>
      </c>
      <c r="CW29">
        <v>174</v>
      </c>
      <c r="CX29">
        <v>0.5</v>
      </c>
      <c r="CY29">
        <v>0.1</v>
      </c>
      <c r="CZ29">
        <v>0.2</v>
      </c>
      <c r="DA29">
        <v>0.25</v>
      </c>
      <c r="DB29">
        <v>0.4</v>
      </c>
      <c r="DC29">
        <f>SUMPRODUCT(CS29:CW29,CX29:DB29)</f>
        <v>3535.75</v>
      </c>
      <c r="DE29" s="2">
        <v>2927</v>
      </c>
      <c r="DF29" s="2">
        <v>657</v>
      </c>
      <c r="DG29" s="4">
        <v>0.6</v>
      </c>
      <c r="DH29" s="4">
        <v>0.4</v>
      </c>
      <c r="DI29" s="4">
        <f t="shared" si="6"/>
        <v>2019</v>
      </c>
      <c r="DK29" s="2">
        <v>1968</v>
      </c>
      <c r="DL29" s="2">
        <v>514</v>
      </c>
      <c r="DM29" s="5">
        <v>0.6</v>
      </c>
      <c r="DN29" s="5">
        <v>0.4</v>
      </c>
      <c r="DO29">
        <f>SUMPRODUCT(DK29:DL29,DM29:DN29)</f>
        <v>1386.4</v>
      </c>
      <c r="DR29" s="2">
        <v>3160</v>
      </c>
      <c r="DS29" s="2">
        <v>1137</v>
      </c>
      <c r="DT29">
        <v>0.35</v>
      </c>
      <c r="DU29">
        <v>0.65</v>
      </c>
      <c r="DV29">
        <f t="shared" si="8"/>
        <v>1845.0500000000002</v>
      </c>
      <c r="EB29">
        <v>4106</v>
      </c>
      <c r="ED29">
        <v>8.3202045975788792</v>
      </c>
      <c r="EE29">
        <v>-13.504319638661601</v>
      </c>
      <c r="EF29">
        <v>5.1841150410827215</v>
      </c>
      <c r="EG29">
        <v>0.56048945226009994</v>
      </c>
      <c r="EJ29">
        <v>0.56048945226009994</v>
      </c>
      <c r="EO29" s="2">
        <v>63458</v>
      </c>
      <c r="EP29" s="2">
        <v>60817</v>
      </c>
      <c r="EQ29" s="2">
        <v>64085</v>
      </c>
      <c r="ER29" s="2">
        <v>64776</v>
      </c>
      <c r="ES29" s="2">
        <v>57602</v>
      </c>
      <c r="ET29" s="2">
        <v>38622</v>
      </c>
      <c r="EU29" s="2">
        <v>38699</v>
      </c>
      <c r="EV29" s="2">
        <v>40072</v>
      </c>
      <c r="EW29" s="2">
        <v>38594</v>
      </c>
      <c r="EX29" s="2">
        <v>54876</v>
      </c>
      <c r="EY29" s="2">
        <v>54317</v>
      </c>
      <c r="EZ29" s="2">
        <v>57222</v>
      </c>
      <c r="FA29" s="2">
        <v>58506</v>
      </c>
      <c r="FB29" s="2">
        <v>53367</v>
      </c>
      <c r="FC29" s="2">
        <v>35025</v>
      </c>
      <c r="FD29" s="2">
        <v>35719</v>
      </c>
      <c r="FE29" s="2">
        <v>38040</v>
      </c>
      <c r="FF29" s="2">
        <v>27061</v>
      </c>
      <c r="FG29">
        <f t="shared" si="9"/>
        <v>880858</v>
      </c>
      <c r="FI29">
        <v>-13.6886517114506</v>
      </c>
      <c r="FJ29" s="2">
        <v>13.504319638661574</v>
      </c>
      <c r="FK29">
        <v>83.165958644867999</v>
      </c>
      <c r="FM29">
        <v>83.165958644867999</v>
      </c>
    </row>
    <row r="30" spans="1:169">
      <c r="A30" s="1" t="s">
        <v>0</v>
      </c>
      <c r="B30" s="1" t="s">
        <v>56</v>
      </c>
      <c r="C30" s="1" t="s">
        <v>2</v>
      </c>
      <c r="D30" s="1" t="s">
        <v>57</v>
      </c>
      <c r="E30" s="2">
        <v>3260</v>
      </c>
      <c r="F30" s="2">
        <v>2127</v>
      </c>
      <c r="G30" s="2">
        <v>1835</v>
      </c>
      <c r="H30" s="2">
        <v>3408</v>
      </c>
      <c r="I30" s="2">
        <v>1438</v>
      </c>
      <c r="J30" s="2">
        <v>3467</v>
      </c>
      <c r="K30" s="4">
        <v>0.05</v>
      </c>
      <c r="L30" s="4">
        <v>0.1</v>
      </c>
      <c r="M30" s="4">
        <v>0.15</v>
      </c>
      <c r="N30" s="4">
        <v>0.2</v>
      </c>
      <c r="O30" s="4">
        <v>0.2</v>
      </c>
      <c r="P30" s="4">
        <v>0.3</v>
      </c>
      <c r="Q30" s="4">
        <f t="shared" si="0"/>
        <v>2660.25</v>
      </c>
      <c r="R30" s="4">
        <v>2660.25</v>
      </c>
      <c r="T30" s="2">
        <v>1.209090909090909</v>
      </c>
      <c r="U30" s="2">
        <v>1.4583333333333333</v>
      </c>
      <c r="V30">
        <f>(65.6512605042017)/180</f>
        <v>0.36472922502334276</v>
      </c>
      <c r="W30">
        <f>(316819)/400000</f>
        <v>0.79204750000000002</v>
      </c>
      <c r="X30">
        <v>0.3</v>
      </c>
      <c r="Y30">
        <v>-0.1</v>
      </c>
      <c r="Z30">
        <v>0.4</v>
      </c>
      <c r="AA30">
        <v>0.4</v>
      </c>
      <c r="AB30">
        <f t="shared" si="1"/>
        <v>0.67960462940327648</v>
      </c>
      <c r="AC30">
        <v>1766.9720364485177</v>
      </c>
      <c r="AG30" s="2">
        <v>7541</v>
      </c>
      <c r="AH30" s="2">
        <v>460</v>
      </c>
      <c r="AI30">
        <v>1559</v>
      </c>
      <c r="AJ30">
        <v>4081.05</v>
      </c>
      <c r="AK30">
        <v>0.2</v>
      </c>
      <c r="AL30">
        <v>0.2</v>
      </c>
      <c r="AM30">
        <v>0.3</v>
      </c>
      <c r="AN30">
        <v>0.3</v>
      </c>
      <c r="AO30">
        <v>3859.2240757439199</v>
      </c>
      <c r="AP30">
        <v>3292.2150000000001</v>
      </c>
      <c r="AR30">
        <v>588750</v>
      </c>
      <c r="AS30">
        <v>121444.9</v>
      </c>
      <c r="AT30">
        <v>4309</v>
      </c>
      <c r="AU30">
        <v>0.3</v>
      </c>
      <c r="AV30">
        <v>0.4</v>
      </c>
      <c r="AW30">
        <v>0.3</v>
      </c>
      <c r="AX30">
        <f t="shared" si="2"/>
        <v>226495.66</v>
      </c>
      <c r="AY30">
        <v>6130.9365343771997</v>
      </c>
      <c r="BB30">
        <v>1705</v>
      </c>
      <c r="BC30">
        <v>1468.1999999999998</v>
      </c>
      <c r="BD30" s="2">
        <v>822</v>
      </c>
      <c r="BE30" s="4">
        <v>0.4</v>
      </c>
      <c r="BF30" s="4">
        <v>0.3</v>
      </c>
      <c r="BG30" s="4">
        <v>0.3</v>
      </c>
      <c r="BH30">
        <f t="shared" si="3"/>
        <v>1369.06</v>
      </c>
      <c r="BI30">
        <v>2780.9031250000003</v>
      </c>
      <c r="BN30">
        <v>99.900341178923199</v>
      </c>
      <c r="BO30">
        <v>83.517421491812598</v>
      </c>
      <c r="BW30" s="2">
        <v>298421</v>
      </c>
      <c r="BX30" s="2">
        <v>105344</v>
      </c>
      <c r="BY30" s="2">
        <v>1241</v>
      </c>
      <c r="BZ30" s="2">
        <v>336</v>
      </c>
      <c r="CA30" s="3">
        <v>0.3</v>
      </c>
      <c r="CB30" s="3">
        <v>0.3</v>
      </c>
      <c r="CC30" s="3">
        <v>0.2</v>
      </c>
      <c r="CD30" s="3">
        <v>0.2</v>
      </c>
      <c r="CE30">
        <f t="shared" si="4"/>
        <v>121444.9</v>
      </c>
      <c r="CJ30">
        <v>30863</v>
      </c>
      <c r="CM30">
        <v>19027</v>
      </c>
      <c r="CN30" s="2">
        <v>1043568</v>
      </c>
      <c r="CS30">
        <v>0</v>
      </c>
      <c r="CT30">
        <v>1</v>
      </c>
      <c r="CU30">
        <v>1811</v>
      </c>
      <c r="CV30">
        <v>14763</v>
      </c>
      <c r="CW30">
        <v>70</v>
      </c>
      <c r="CX30">
        <v>0.5</v>
      </c>
      <c r="CY30">
        <v>0.1</v>
      </c>
      <c r="CZ30">
        <v>0.2</v>
      </c>
      <c r="DA30">
        <v>0.25</v>
      </c>
      <c r="DB30">
        <v>0.4</v>
      </c>
      <c r="DC30">
        <f t="shared" si="5"/>
        <v>4081.05</v>
      </c>
      <c r="DE30" s="2">
        <v>1274</v>
      </c>
      <c r="DF30" s="2">
        <v>197</v>
      </c>
      <c r="DG30" s="4">
        <v>0.6</v>
      </c>
      <c r="DH30" s="4">
        <v>0.4</v>
      </c>
      <c r="DI30" s="4">
        <f t="shared" si="6"/>
        <v>843.2</v>
      </c>
      <c r="DK30" s="2">
        <v>810</v>
      </c>
      <c r="DL30" s="2">
        <v>313</v>
      </c>
      <c r="DM30" s="5">
        <v>0.6</v>
      </c>
      <c r="DN30" s="5">
        <v>0.4</v>
      </c>
      <c r="DO30">
        <f t="shared" si="7"/>
        <v>611.20000000000005</v>
      </c>
      <c r="DR30" s="2">
        <v>1876</v>
      </c>
      <c r="DS30" s="2">
        <v>2850</v>
      </c>
      <c r="DT30">
        <v>0.35</v>
      </c>
      <c r="DU30">
        <v>0.65</v>
      </c>
      <c r="DV30">
        <f t="shared" si="8"/>
        <v>2509.1</v>
      </c>
      <c r="EB30">
        <v>392</v>
      </c>
      <c r="ED30">
        <v>5.9712618397904622</v>
      </c>
      <c r="EE30">
        <v>-12.8824347414293</v>
      </c>
      <c r="EF30">
        <v>6.9111729016388379</v>
      </c>
      <c r="EG30">
        <v>9.9658821076823501E-2</v>
      </c>
      <c r="EJ30">
        <v>9.9658821076823501E-2</v>
      </c>
      <c r="EO30" s="2">
        <v>32437</v>
      </c>
      <c r="EP30" s="2">
        <v>32483</v>
      </c>
      <c r="EQ30" s="2">
        <v>32255</v>
      </c>
      <c r="ER30" s="2">
        <v>32322</v>
      </c>
      <c r="ES30" s="2">
        <v>28341</v>
      </c>
      <c r="ET30" s="2">
        <v>21153</v>
      </c>
      <c r="EU30" s="2">
        <v>20434</v>
      </c>
      <c r="EV30" s="2">
        <v>19475</v>
      </c>
      <c r="EW30" s="2">
        <v>17098</v>
      </c>
      <c r="EX30" s="2">
        <v>31706</v>
      </c>
      <c r="EY30" s="2">
        <v>30871</v>
      </c>
      <c r="EZ30" s="2">
        <v>31174</v>
      </c>
      <c r="FA30" s="2">
        <v>31216</v>
      </c>
      <c r="FB30" s="2">
        <v>27890</v>
      </c>
      <c r="FC30" s="2">
        <v>21987</v>
      </c>
      <c r="FD30" s="2">
        <v>21703</v>
      </c>
      <c r="FE30" s="2">
        <v>20591</v>
      </c>
      <c r="FF30" s="2">
        <v>17834</v>
      </c>
      <c r="FG30">
        <f t="shared" si="9"/>
        <v>470970</v>
      </c>
      <c r="FI30">
        <v>-13.062549676702499</v>
      </c>
      <c r="FJ30" s="2">
        <v>12.8824347414293</v>
      </c>
      <c r="FK30">
        <v>83.517421491812598</v>
      </c>
      <c r="FM30">
        <v>83.517421491812598</v>
      </c>
    </row>
    <row r="31" spans="1:169">
      <c r="A31" s="1" t="s">
        <v>0</v>
      </c>
      <c r="B31" s="1" t="s">
        <v>58</v>
      </c>
      <c r="C31" s="1" t="s">
        <v>2</v>
      </c>
      <c r="D31" s="1" t="s">
        <v>59</v>
      </c>
      <c r="E31" s="2">
        <v>2437</v>
      </c>
      <c r="F31" s="2">
        <v>1798</v>
      </c>
      <c r="G31" s="2">
        <v>1466</v>
      </c>
      <c r="H31" s="2">
        <v>2671</v>
      </c>
      <c r="I31" s="2">
        <v>888</v>
      </c>
      <c r="J31" s="2">
        <v>2687</v>
      </c>
      <c r="K31" s="4">
        <v>0.05</v>
      </c>
      <c r="L31" s="4">
        <v>0.1</v>
      </c>
      <c r="M31" s="4">
        <v>0.15</v>
      </c>
      <c r="N31" s="4">
        <v>0.2</v>
      </c>
      <c r="O31" s="4">
        <v>0.2</v>
      </c>
      <c r="P31" s="4">
        <v>0.3</v>
      </c>
      <c r="Q31" s="4">
        <f t="shared" si="0"/>
        <v>2039.4499999999998</v>
      </c>
      <c r="R31" s="4">
        <v>2039.45</v>
      </c>
      <c r="T31" s="2">
        <v>0.88863636363636367</v>
      </c>
      <c r="U31" s="2">
        <v>0.95833333333333337</v>
      </c>
      <c r="V31">
        <f>(152.068126520681)/180</f>
        <v>0.84482292511489443</v>
      </c>
      <c r="W31">
        <f>(442986)/400000</f>
        <v>1.1074649999999999</v>
      </c>
      <c r="X31">
        <v>0.3</v>
      </c>
      <c r="Y31">
        <v>-0.1</v>
      </c>
      <c r="Z31">
        <v>0.4</v>
      </c>
      <c r="AA31">
        <v>0.4</v>
      </c>
      <c r="AB31">
        <f t="shared" si="1"/>
        <v>0.95167274580353356</v>
      </c>
      <c r="AC31">
        <v>2474.3491390891936</v>
      </c>
      <c r="AG31" s="2">
        <v>9987</v>
      </c>
      <c r="AH31" s="2">
        <v>163</v>
      </c>
      <c r="AI31">
        <v>980</v>
      </c>
      <c r="AJ31">
        <v>2241.2000000000003</v>
      </c>
      <c r="AK31">
        <v>0.2</v>
      </c>
      <c r="AL31">
        <v>0.2</v>
      </c>
      <c r="AM31">
        <v>0.3</v>
      </c>
      <c r="AN31">
        <v>0.3</v>
      </c>
      <c r="AO31">
        <v>3512.4147880973842</v>
      </c>
      <c r="AP31">
        <v>2996.36</v>
      </c>
      <c r="AR31">
        <v>274671</v>
      </c>
      <c r="AS31">
        <v>59854.700000000004</v>
      </c>
      <c r="AT31">
        <v>2210</v>
      </c>
      <c r="AU31">
        <v>0.3</v>
      </c>
      <c r="AV31">
        <v>0.4</v>
      </c>
      <c r="AW31">
        <v>0.3</v>
      </c>
      <c r="AX31">
        <f t="shared" si="2"/>
        <v>107006.18000000001</v>
      </c>
      <c r="AY31">
        <v>2896.5150959896841</v>
      </c>
      <c r="BB31">
        <v>14561</v>
      </c>
      <c r="BC31">
        <v>1165.5999999999999</v>
      </c>
      <c r="BD31" s="2">
        <v>456</v>
      </c>
      <c r="BE31" s="4">
        <v>0.4</v>
      </c>
      <c r="BF31" s="4">
        <v>0.3</v>
      </c>
      <c r="BG31" s="4">
        <v>0.3</v>
      </c>
      <c r="BH31">
        <f t="shared" si="3"/>
        <v>6310.880000000001</v>
      </c>
      <c r="BI31">
        <v>12818.974999999999</v>
      </c>
      <c r="BN31">
        <v>99.806529138494099</v>
      </c>
      <c r="BO31">
        <v>89.159096967333795</v>
      </c>
      <c r="BW31" s="2">
        <v>145875</v>
      </c>
      <c r="BX31" s="2">
        <v>53016</v>
      </c>
      <c r="BY31" s="2">
        <v>588</v>
      </c>
      <c r="BZ31" s="2">
        <v>349</v>
      </c>
      <c r="CA31" s="3">
        <v>0.3</v>
      </c>
      <c r="CB31" s="3">
        <v>0.3</v>
      </c>
      <c r="CC31" s="3">
        <v>0.2</v>
      </c>
      <c r="CD31" s="3">
        <v>0.2</v>
      </c>
      <c r="CE31">
        <f t="shared" si="4"/>
        <v>59854.700000000004</v>
      </c>
      <c r="CJ31">
        <v>15015</v>
      </c>
      <c r="CM31">
        <v>12379</v>
      </c>
      <c r="CN31" s="2">
        <v>428882</v>
      </c>
      <c r="CS31">
        <v>21</v>
      </c>
      <c r="CT31">
        <v>1303</v>
      </c>
      <c r="CU31">
        <v>3740</v>
      </c>
      <c r="CV31">
        <v>5160</v>
      </c>
      <c r="CW31">
        <v>156</v>
      </c>
      <c r="CX31">
        <v>0.5</v>
      </c>
      <c r="CY31">
        <v>0.1</v>
      </c>
      <c r="CZ31">
        <v>0.2</v>
      </c>
      <c r="DA31">
        <v>0.25</v>
      </c>
      <c r="DB31">
        <v>0.4</v>
      </c>
      <c r="DC31">
        <f t="shared" si="5"/>
        <v>2241.2000000000003</v>
      </c>
      <c r="DE31" s="2">
        <v>2091</v>
      </c>
      <c r="DF31" s="2">
        <v>761</v>
      </c>
      <c r="DG31" s="4">
        <v>0.6</v>
      </c>
      <c r="DH31" s="4">
        <v>0.4</v>
      </c>
      <c r="DI31" s="4">
        <f t="shared" si="6"/>
        <v>1559</v>
      </c>
      <c r="DK31" s="2">
        <v>1876</v>
      </c>
      <c r="DL31" s="2">
        <v>994</v>
      </c>
      <c r="DM31" s="5">
        <v>0.6</v>
      </c>
      <c r="DN31" s="5">
        <v>0.4</v>
      </c>
      <c r="DO31">
        <f t="shared" si="7"/>
        <v>1523.1999999999998</v>
      </c>
      <c r="DR31" s="2">
        <v>2620</v>
      </c>
      <c r="DS31" s="2">
        <v>848</v>
      </c>
      <c r="DT31">
        <v>0.35</v>
      </c>
      <c r="DU31">
        <v>0.65</v>
      </c>
      <c r="DV31">
        <f t="shared" si="8"/>
        <v>1468.1999999999998</v>
      </c>
      <c r="EB31">
        <v>2019</v>
      </c>
      <c r="ED31">
        <v>7.6103576183128379</v>
      </c>
      <c r="EE31">
        <v>-13.8581561686853</v>
      </c>
      <c r="EF31">
        <v>6.2477985503724618</v>
      </c>
      <c r="EG31">
        <v>0.19347086150590698</v>
      </c>
      <c r="EJ31">
        <v>0.19347086150590698</v>
      </c>
      <c r="EO31" s="2">
        <v>89824</v>
      </c>
      <c r="EP31" s="2">
        <v>83406</v>
      </c>
      <c r="EQ31" s="2">
        <v>78234</v>
      </c>
      <c r="ER31" s="2">
        <v>77165</v>
      </c>
      <c r="ES31" s="2">
        <v>74132</v>
      </c>
      <c r="ET31" s="2">
        <v>49668</v>
      </c>
      <c r="EU31" s="2">
        <v>47532</v>
      </c>
      <c r="EV31" s="2">
        <v>46911</v>
      </c>
      <c r="EW31" s="2">
        <v>36902</v>
      </c>
      <c r="EX31" s="2">
        <v>89131</v>
      </c>
      <c r="EY31" s="2">
        <v>80166</v>
      </c>
      <c r="EZ31" s="2">
        <v>78582</v>
      </c>
      <c r="FA31" s="2">
        <v>76977</v>
      </c>
      <c r="FB31" s="2">
        <v>75113</v>
      </c>
      <c r="FC31" s="2">
        <v>51946</v>
      </c>
      <c r="FD31" s="2">
        <v>50489</v>
      </c>
      <c r="FE31" s="2">
        <v>49994</v>
      </c>
      <c r="FF31" s="2">
        <v>34284</v>
      </c>
      <c r="FG31">
        <f t="shared" si="9"/>
        <v>1170456</v>
      </c>
      <c r="FI31">
        <v>-13.9729039744334</v>
      </c>
      <c r="FJ31" s="2">
        <v>13.858156168685282</v>
      </c>
      <c r="FK31">
        <v>89.159096967333795</v>
      </c>
      <c r="FM31">
        <v>89.159096967333795</v>
      </c>
    </row>
    <row r="32" spans="1:169">
      <c r="A32" s="1" t="s">
        <v>0</v>
      </c>
      <c r="B32" s="1" t="s">
        <v>60</v>
      </c>
      <c r="C32" s="1" t="s">
        <v>2</v>
      </c>
      <c r="D32" s="1" t="s">
        <v>61</v>
      </c>
      <c r="E32" s="2">
        <v>2303</v>
      </c>
      <c r="F32" s="2">
        <v>2002</v>
      </c>
      <c r="G32" s="2">
        <v>1945</v>
      </c>
      <c r="H32" s="2">
        <v>2530</v>
      </c>
      <c r="I32" s="2">
        <v>1035</v>
      </c>
      <c r="J32" s="2">
        <v>2517</v>
      </c>
      <c r="K32" s="4">
        <v>0.05</v>
      </c>
      <c r="L32" s="4">
        <v>0.1</v>
      </c>
      <c r="M32" s="4">
        <v>0.15</v>
      </c>
      <c r="N32" s="4">
        <v>0.2</v>
      </c>
      <c r="O32" s="4">
        <v>0.2</v>
      </c>
      <c r="P32" s="4">
        <v>0.3</v>
      </c>
      <c r="Q32" s="4">
        <f t="shared" si="0"/>
        <v>2075.1999999999998</v>
      </c>
      <c r="R32" s="4">
        <v>2075.1999999999998</v>
      </c>
      <c r="T32" s="2">
        <v>0.79181818181818187</v>
      </c>
      <c r="U32" s="2">
        <v>0.79166666666666663</v>
      </c>
      <c r="V32">
        <f>(199.840127897682)/180</f>
        <v>1.1102229327649</v>
      </c>
      <c r="W32">
        <f>(274036)/400000</f>
        <v>0.68508999999999998</v>
      </c>
      <c r="X32">
        <v>0.3</v>
      </c>
      <c r="Y32">
        <v>-0.1</v>
      </c>
      <c r="Z32">
        <v>0.4</v>
      </c>
      <c r="AA32">
        <v>0.4</v>
      </c>
      <c r="AB32">
        <f t="shared" si="1"/>
        <v>0.87650396098474781</v>
      </c>
      <c r="AC32">
        <v>2278.9102985603449</v>
      </c>
      <c r="AG32" s="2">
        <v>5297</v>
      </c>
      <c r="AH32" s="2">
        <v>130</v>
      </c>
      <c r="AI32">
        <v>650.79999999999995</v>
      </c>
      <c r="AJ32">
        <v>2271.5499999999997</v>
      </c>
      <c r="AK32">
        <v>0.2</v>
      </c>
      <c r="AL32">
        <v>0.2</v>
      </c>
      <c r="AM32">
        <v>0.3</v>
      </c>
      <c r="AN32">
        <v>0.3</v>
      </c>
      <c r="AO32">
        <v>2300.0329125338135</v>
      </c>
      <c r="AP32">
        <v>1962.105</v>
      </c>
      <c r="AR32">
        <v>207112</v>
      </c>
      <c r="AS32">
        <v>24620.399999999998</v>
      </c>
      <c r="AT32">
        <v>3544</v>
      </c>
      <c r="AU32">
        <v>0.3</v>
      </c>
      <c r="AV32">
        <v>0.4</v>
      </c>
      <c r="AW32">
        <v>0.3</v>
      </c>
      <c r="AX32">
        <f t="shared" si="2"/>
        <v>73044.959999999992</v>
      </c>
      <c r="AY32">
        <v>1977.2300004164422</v>
      </c>
      <c r="BB32">
        <v>625</v>
      </c>
      <c r="BC32">
        <v>1124.05</v>
      </c>
      <c r="BD32" s="2">
        <v>501</v>
      </c>
      <c r="BE32" s="4">
        <v>0.4</v>
      </c>
      <c r="BF32" s="4">
        <v>0.3</v>
      </c>
      <c r="BG32" s="4">
        <v>0.3</v>
      </c>
      <c r="BH32">
        <f t="shared" si="3"/>
        <v>737.51499999999987</v>
      </c>
      <c r="BI32">
        <v>1498.07734375</v>
      </c>
      <c r="BN32">
        <v>96.1719074244197</v>
      </c>
      <c r="BO32">
        <v>78.781833678674701</v>
      </c>
      <c r="BW32" s="2">
        <v>55943</v>
      </c>
      <c r="BX32" s="2">
        <v>26125</v>
      </c>
      <c r="BY32" s="2">
        <v>0</v>
      </c>
      <c r="BZ32" s="2">
        <v>0</v>
      </c>
      <c r="CA32" s="3">
        <v>0.3</v>
      </c>
      <c r="CB32" s="3">
        <v>0.3</v>
      </c>
      <c r="CC32" s="3">
        <v>0.2</v>
      </c>
      <c r="CD32" s="3">
        <v>0.2</v>
      </c>
      <c r="CE32">
        <f t="shared" si="4"/>
        <v>24620.399999999998</v>
      </c>
      <c r="CJ32">
        <v>13540</v>
      </c>
      <c r="CM32">
        <v>11519</v>
      </c>
      <c r="CN32" s="2">
        <v>331367</v>
      </c>
      <c r="CS32">
        <v>337</v>
      </c>
      <c r="CT32">
        <v>982</v>
      </c>
      <c r="CU32">
        <v>4695</v>
      </c>
      <c r="CV32">
        <v>3961</v>
      </c>
      <c r="CW32">
        <v>189</v>
      </c>
      <c r="CX32">
        <v>0.5</v>
      </c>
      <c r="CY32">
        <v>0.1</v>
      </c>
      <c r="CZ32">
        <v>0.2</v>
      </c>
      <c r="DA32">
        <v>0.25</v>
      </c>
      <c r="DB32">
        <v>0.4</v>
      </c>
      <c r="DC32">
        <f t="shared" si="5"/>
        <v>2271.5499999999997</v>
      </c>
      <c r="DE32" s="2">
        <v>1454</v>
      </c>
      <c r="DF32" s="2">
        <v>269</v>
      </c>
      <c r="DG32" s="4">
        <v>0.6</v>
      </c>
      <c r="DH32" s="4">
        <v>0.4</v>
      </c>
      <c r="DI32" s="4">
        <f t="shared" si="6"/>
        <v>980</v>
      </c>
      <c r="DK32" s="2">
        <v>856</v>
      </c>
      <c r="DL32" s="2">
        <v>360</v>
      </c>
      <c r="DM32" s="5">
        <v>0.6</v>
      </c>
      <c r="DN32" s="5">
        <v>0.4</v>
      </c>
      <c r="DO32">
        <f t="shared" si="7"/>
        <v>657.6</v>
      </c>
      <c r="DR32" s="2">
        <v>1865</v>
      </c>
      <c r="DS32" s="2">
        <v>789</v>
      </c>
      <c r="DT32">
        <v>0.35</v>
      </c>
      <c r="DU32">
        <v>0.65</v>
      </c>
      <c r="DV32">
        <f t="shared" si="8"/>
        <v>1165.5999999999999</v>
      </c>
      <c r="EB32">
        <v>16418</v>
      </c>
      <c r="ED32">
        <v>9.706133572908211</v>
      </c>
      <c r="EE32">
        <v>-12.9689371017996</v>
      </c>
      <c r="EF32">
        <v>3.2628035288913892</v>
      </c>
      <c r="EG32">
        <v>3.8280925755803401</v>
      </c>
      <c r="EJ32">
        <v>3.8280925755803401</v>
      </c>
      <c r="EO32" s="2">
        <v>36291</v>
      </c>
      <c r="EP32" s="2">
        <v>35883</v>
      </c>
      <c r="EQ32" s="2">
        <v>37191</v>
      </c>
      <c r="ER32" s="2">
        <v>36513</v>
      </c>
      <c r="ES32" s="2">
        <v>34053</v>
      </c>
      <c r="ET32" s="2">
        <v>22986</v>
      </c>
      <c r="EU32" s="2">
        <v>21930</v>
      </c>
      <c r="EV32" s="2">
        <v>20813</v>
      </c>
      <c r="EW32" s="2">
        <v>25041</v>
      </c>
      <c r="EX32" s="2">
        <v>36269</v>
      </c>
      <c r="EY32" s="2">
        <v>35457</v>
      </c>
      <c r="EZ32" s="2">
        <v>36314</v>
      </c>
      <c r="FA32" s="2">
        <v>36682</v>
      </c>
      <c r="FB32" s="2">
        <v>33776</v>
      </c>
      <c r="FC32" s="2">
        <v>24273</v>
      </c>
      <c r="FD32" s="2">
        <v>24307</v>
      </c>
      <c r="FE32" s="2">
        <v>22434</v>
      </c>
      <c r="FF32" s="2">
        <v>24179</v>
      </c>
      <c r="FG32">
        <f t="shared" si="9"/>
        <v>544392</v>
      </c>
      <c r="FI32">
        <v>-13.207424854574301</v>
      </c>
      <c r="FJ32" s="2">
        <v>12.96893710179963</v>
      </c>
      <c r="FK32">
        <v>78.781833678674701</v>
      </c>
      <c r="FM32">
        <v>78.781833678674701</v>
      </c>
    </row>
    <row r="33" spans="1:169">
      <c r="A33" s="1" t="s">
        <v>0</v>
      </c>
      <c r="B33" s="1" t="s">
        <v>62</v>
      </c>
      <c r="C33" s="1" t="s">
        <v>2</v>
      </c>
      <c r="D33" s="1" t="s">
        <v>63</v>
      </c>
      <c r="E33" s="2">
        <v>3034</v>
      </c>
      <c r="F33" s="2">
        <v>2490</v>
      </c>
      <c r="G33" s="2">
        <v>2921</v>
      </c>
      <c r="H33" s="2">
        <v>3082</v>
      </c>
      <c r="I33" s="2">
        <v>1436</v>
      </c>
      <c r="J33" s="2">
        <v>3088</v>
      </c>
      <c r="K33" s="4">
        <v>0.05</v>
      </c>
      <c r="L33" s="4">
        <v>0.1</v>
      </c>
      <c r="M33" s="4">
        <v>0.15</v>
      </c>
      <c r="N33" s="4">
        <v>0.2</v>
      </c>
      <c r="O33" s="4">
        <v>0.2</v>
      </c>
      <c r="P33" s="4">
        <v>0.3</v>
      </c>
      <c r="Q33" s="4">
        <f t="shared" si="0"/>
        <v>2668.85</v>
      </c>
      <c r="R33" s="4">
        <v>2668.85</v>
      </c>
      <c r="T33" s="2">
        <v>0.85090909090909095</v>
      </c>
      <c r="U33" s="2">
        <v>2.125</v>
      </c>
      <c r="V33">
        <f>(244.021473889702)/180</f>
        <v>1.3556748549427888</v>
      </c>
      <c r="W33">
        <f>(276997)/400000</f>
        <v>0.69249249999999996</v>
      </c>
      <c r="X33">
        <v>0.3</v>
      </c>
      <c r="Y33">
        <v>-0.1</v>
      </c>
      <c r="Z33">
        <v>0.4</v>
      </c>
      <c r="AA33">
        <v>0.4</v>
      </c>
      <c r="AB33">
        <f t="shared" si="1"/>
        <v>0.86203966924984265</v>
      </c>
      <c r="AC33">
        <v>2241.3031400495943</v>
      </c>
      <c r="AG33" s="2">
        <v>4482</v>
      </c>
      <c r="AH33" s="2">
        <v>329</v>
      </c>
      <c r="AI33">
        <v>680.8</v>
      </c>
      <c r="AJ33">
        <v>2077.25</v>
      </c>
      <c r="AK33">
        <v>0.2</v>
      </c>
      <c r="AL33">
        <v>0.2</v>
      </c>
      <c r="AM33">
        <v>0.3</v>
      </c>
      <c r="AN33">
        <v>0.3</v>
      </c>
      <c r="AO33">
        <v>2097.8354373309294</v>
      </c>
      <c r="AP33">
        <v>1789.615</v>
      </c>
      <c r="AR33">
        <v>170152</v>
      </c>
      <c r="AS33">
        <v>25909.9</v>
      </c>
      <c r="AT33">
        <v>2430</v>
      </c>
      <c r="AU33">
        <v>0.3</v>
      </c>
      <c r="AV33">
        <v>0.4</v>
      </c>
      <c r="AW33">
        <v>0.3</v>
      </c>
      <c r="AX33">
        <f t="shared" si="2"/>
        <v>62138.559999999998</v>
      </c>
      <c r="AY33">
        <v>1682.0082455336681</v>
      </c>
      <c r="BB33">
        <v>2699</v>
      </c>
      <c r="BC33">
        <v>1459.6</v>
      </c>
      <c r="BD33" s="2">
        <v>1108</v>
      </c>
      <c r="BE33" s="4">
        <v>0.4</v>
      </c>
      <c r="BF33" s="4">
        <v>0.3</v>
      </c>
      <c r="BG33" s="4">
        <v>0.3</v>
      </c>
      <c r="BH33">
        <f t="shared" si="3"/>
        <v>1849.88</v>
      </c>
      <c r="BI33">
        <v>3757.5687499999999</v>
      </c>
      <c r="BN33">
        <v>99.783925375791796</v>
      </c>
      <c r="BO33">
        <v>79.662422709656994</v>
      </c>
      <c r="BW33" s="2">
        <v>59219</v>
      </c>
      <c r="BX33" s="2">
        <v>27026</v>
      </c>
      <c r="BY33" s="2">
        <v>105</v>
      </c>
      <c r="BZ33" s="2">
        <v>77</v>
      </c>
      <c r="CA33" s="3">
        <v>0.3</v>
      </c>
      <c r="CB33" s="3">
        <v>0.3</v>
      </c>
      <c r="CC33" s="3">
        <v>0.2</v>
      </c>
      <c r="CD33" s="3">
        <v>0.2</v>
      </c>
      <c r="CE33">
        <f t="shared" si="4"/>
        <v>25909.9</v>
      </c>
      <c r="CJ33">
        <v>11943</v>
      </c>
      <c r="CM33">
        <v>10096</v>
      </c>
      <c r="CN33" s="2">
        <v>278174</v>
      </c>
      <c r="CS33">
        <v>270</v>
      </c>
      <c r="CT33">
        <v>631</v>
      </c>
      <c r="CU33">
        <v>4497</v>
      </c>
      <c r="CV33">
        <v>3759</v>
      </c>
      <c r="CW33">
        <v>100</v>
      </c>
      <c r="CX33">
        <v>0.5</v>
      </c>
      <c r="CY33">
        <v>0.1</v>
      </c>
      <c r="CZ33">
        <v>0.2</v>
      </c>
      <c r="DA33">
        <v>0.25</v>
      </c>
      <c r="DB33">
        <v>0.4</v>
      </c>
      <c r="DC33">
        <f t="shared" si="5"/>
        <v>2077.25</v>
      </c>
      <c r="DE33" s="2">
        <v>928</v>
      </c>
      <c r="DF33" s="2">
        <v>235</v>
      </c>
      <c r="DG33" s="4">
        <v>0.6</v>
      </c>
      <c r="DH33" s="4">
        <v>0.4</v>
      </c>
      <c r="DI33" s="4">
        <f t="shared" si="6"/>
        <v>650.79999999999995</v>
      </c>
      <c r="DK33" s="2">
        <v>648</v>
      </c>
      <c r="DL33" s="2">
        <v>279</v>
      </c>
      <c r="DM33" s="5">
        <v>0.6</v>
      </c>
      <c r="DN33" s="5">
        <v>0.4</v>
      </c>
      <c r="DO33">
        <f t="shared" si="7"/>
        <v>500.40000000000003</v>
      </c>
      <c r="DR33" s="2">
        <v>1672</v>
      </c>
      <c r="DS33" s="2">
        <v>829</v>
      </c>
      <c r="DT33">
        <v>0.35</v>
      </c>
      <c r="DU33">
        <v>0.65</v>
      </c>
      <c r="DV33">
        <f t="shared" si="8"/>
        <v>1124.05</v>
      </c>
      <c r="EB33">
        <v>716</v>
      </c>
      <c r="ED33">
        <v>6.5736801669606457</v>
      </c>
      <c r="EE33">
        <v>-12.7109818014666</v>
      </c>
      <c r="EF33">
        <v>6.1373016345059543</v>
      </c>
      <c r="EG33">
        <v>0.21607462420821297</v>
      </c>
      <c r="EJ33">
        <v>0.21607462420821297</v>
      </c>
      <c r="EO33" s="2">
        <v>26955</v>
      </c>
      <c r="EP33" s="2">
        <v>27389</v>
      </c>
      <c r="EQ33" s="2">
        <v>27756</v>
      </c>
      <c r="ER33" s="2">
        <v>25741</v>
      </c>
      <c r="ES33" s="2">
        <v>23727</v>
      </c>
      <c r="ET33" s="2">
        <v>20405</v>
      </c>
      <c r="EU33" s="2">
        <v>21118</v>
      </c>
      <c r="EV33" s="2">
        <v>21392</v>
      </c>
      <c r="EW33" s="2">
        <v>16040</v>
      </c>
      <c r="EX33" s="2">
        <v>25911</v>
      </c>
      <c r="EY33" s="2">
        <v>25848</v>
      </c>
      <c r="EZ33" s="2">
        <v>26691</v>
      </c>
      <c r="FA33" s="2">
        <v>25259</v>
      </c>
      <c r="FB33" s="2">
        <v>23324</v>
      </c>
      <c r="FC33" s="2">
        <v>21063</v>
      </c>
      <c r="FD33" s="2">
        <v>21400</v>
      </c>
      <c r="FE33" s="2">
        <v>21412</v>
      </c>
      <c r="FF33" s="2">
        <v>14533</v>
      </c>
      <c r="FG33">
        <f t="shared" si="9"/>
        <v>415964</v>
      </c>
      <c r="FI33">
        <v>-12.938353997037201</v>
      </c>
      <c r="FJ33" s="2">
        <v>12.710981801466637</v>
      </c>
      <c r="FK33">
        <v>79.662422709656994</v>
      </c>
      <c r="FM33">
        <v>79.662422709656994</v>
      </c>
    </row>
    <row r="34" spans="1:169">
      <c r="A34" s="1" t="s">
        <v>0</v>
      </c>
      <c r="B34" s="1" t="s">
        <v>64</v>
      </c>
      <c r="C34" s="1" t="s">
        <v>2</v>
      </c>
      <c r="D34" s="1" t="s">
        <v>65</v>
      </c>
      <c r="E34" s="2">
        <v>2376</v>
      </c>
      <c r="F34" s="2">
        <v>1917</v>
      </c>
      <c r="G34" s="2">
        <v>1612</v>
      </c>
      <c r="H34" s="2">
        <v>2499</v>
      </c>
      <c r="I34" s="2">
        <v>1224</v>
      </c>
      <c r="J34" s="2">
        <v>2494</v>
      </c>
      <c r="K34" s="4">
        <v>0.05</v>
      </c>
      <c r="L34" s="4">
        <v>0.1</v>
      </c>
      <c r="M34" s="4">
        <v>0.15</v>
      </c>
      <c r="N34" s="4">
        <v>0.2</v>
      </c>
      <c r="O34" s="4">
        <v>0.2</v>
      </c>
      <c r="P34" s="4">
        <v>0.3</v>
      </c>
      <c r="Q34" s="4">
        <f t="shared" si="0"/>
        <v>2045.1</v>
      </c>
      <c r="R34" s="4">
        <v>2045.1</v>
      </c>
      <c r="T34" s="2">
        <v>0.73818181818181816</v>
      </c>
      <c r="U34" s="2">
        <v>0</v>
      </c>
      <c r="V34">
        <f>(233.208955223881)/180</f>
        <v>1.2956053067993389</v>
      </c>
      <c r="W34">
        <f>(237653)/400000</f>
        <v>0.59413249999999995</v>
      </c>
      <c r="X34">
        <v>0.3</v>
      </c>
      <c r="Y34">
        <v>-0.1</v>
      </c>
      <c r="Z34">
        <v>0.4</v>
      </c>
      <c r="AA34">
        <v>0.4</v>
      </c>
      <c r="AB34">
        <f t="shared" si="1"/>
        <v>0.97734966817428104</v>
      </c>
      <c r="AC34">
        <v>2541.1091372531282</v>
      </c>
      <c r="AG34" s="2">
        <v>3632</v>
      </c>
      <c r="AH34" s="2">
        <v>42</v>
      </c>
      <c r="AI34">
        <v>515.6</v>
      </c>
      <c r="AJ34">
        <v>2495.1500000000005</v>
      </c>
      <c r="AK34">
        <v>0.2</v>
      </c>
      <c r="AL34">
        <v>0.2</v>
      </c>
      <c r="AM34">
        <v>0.3</v>
      </c>
      <c r="AN34">
        <v>0.3</v>
      </c>
      <c r="AO34">
        <v>1920.1375112714156</v>
      </c>
      <c r="AP34">
        <v>1638.0250000000001</v>
      </c>
      <c r="AR34">
        <v>166193</v>
      </c>
      <c r="AS34">
        <v>29356</v>
      </c>
      <c r="AT34">
        <v>3990</v>
      </c>
      <c r="AU34">
        <v>0.3</v>
      </c>
      <c r="AV34">
        <v>0.4</v>
      </c>
      <c r="AW34">
        <v>0.3</v>
      </c>
      <c r="AX34">
        <f t="shared" si="2"/>
        <v>62797.3</v>
      </c>
      <c r="AY34">
        <v>1699.8394619581049</v>
      </c>
      <c r="BB34">
        <v>5284</v>
      </c>
      <c r="BC34">
        <v>1159.6500000000001</v>
      </c>
      <c r="BD34" s="2">
        <v>584</v>
      </c>
      <c r="BE34" s="4">
        <v>0.4</v>
      </c>
      <c r="BF34" s="4">
        <v>0.3</v>
      </c>
      <c r="BG34" s="4">
        <v>0.3</v>
      </c>
      <c r="BH34">
        <f t="shared" si="3"/>
        <v>2636.6949999999997</v>
      </c>
      <c r="BI34">
        <v>5355.7867187500005</v>
      </c>
      <c r="BN34">
        <v>98.912191649830703</v>
      </c>
      <c r="BO34">
        <v>77.556220969459204</v>
      </c>
      <c r="BW34" s="2">
        <v>66623</v>
      </c>
      <c r="BX34" s="2">
        <v>29169</v>
      </c>
      <c r="BY34" s="2">
        <v>2576</v>
      </c>
      <c r="BZ34" s="2">
        <v>516</v>
      </c>
      <c r="CA34" s="3">
        <v>0.3</v>
      </c>
      <c r="CB34" s="3">
        <v>0.3</v>
      </c>
      <c r="CC34" s="3">
        <v>0.2</v>
      </c>
      <c r="CD34" s="3">
        <v>0.2</v>
      </c>
      <c r="CE34">
        <f t="shared" si="4"/>
        <v>29356</v>
      </c>
      <c r="CJ34">
        <v>12930</v>
      </c>
      <c r="CM34">
        <v>11957</v>
      </c>
      <c r="CN34" s="2">
        <v>244009</v>
      </c>
      <c r="CS34">
        <v>324</v>
      </c>
      <c r="CT34">
        <v>697</v>
      </c>
      <c r="CU34">
        <v>5427</v>
      </c>
      <c r="CV34">
        <v>4581</v>
      </c>
      <c r="CW34">
        <v>82</v>
      </c>
      <c r="CX34">
        <v>0.5</v>
      </c>
      <c r="CY34">
        <v>0.1</v>
      </c>
      <c r="CZ34">
        <v>0.2</v>
      </c>
      <c r="DA34">
        <v>0.25</v>
      </c>
      <c r="DB34">
        <v>0.4</v>
      </c>
      <c r="DC34">
        <f t="shared" si="5"/>
        <v>2495.1500000000005</v>
      </c>
      <c r="DE34" s="2">
        <v>1010</v>
      </c>
      <c r="DF34" s="2">
        <v>187</v>
      </c>
      <c r="DG34" s="4">
        <v>0.6</v>
      </c>
      <c r="DH34" s="4">
        <v>0.4</v>
      </c>
      <c r="DI34" s="4">
        <f t="shared" si="6"/>
        <v>680.8</v>
      </c>
      <c r="DK34" s="2">
        <v>515</v>
      </c>
      <c r="DL34" s="2">
        <v>252</v>
      </c>
      <c r="DM34" s="5">
        <v>0.6</v>
      </c>
      <c r="DN34" s="5">
        <v>0.4</v>
      </c>
      <c r="DO34">
        <f t="shared" si="7"/>
        <v>409.8</v>
      </c>
      <c r="DR34" s="2">
        <v>1795</v>
      </c>
      <c r="DS34" s="2">
        <v>1279</v>
      </c>
      <c r="DT34">
        <v>0.35</v>
      </c>
      <c r="DU34">
        <v>0.65</v>
      </c>
      <c r="DV34">
        <f t="shared" si="8"/>
        <v>1459.6</v>
      </c>
      <c r="EB34">
        <v>3026</v>
      </c>
      <c r="ED34">
        <v>8.0149968943483021</v>
      </c>
      <c r="EE34">
        <v>-12.5360020961601</v>
      </c>
      <c r="EF34">
        <v>4.5210052018117981</v>
      </c>
      <c r="EG34">
        <v>1.0878083501692999</v>
      </c>
      <c r="EJ34">
        <v>1.0878083501692999</v>
      </c>
      <c r="EO34" s="2">
        <v>24175</v>
      </c>
      <c r="EP34" s="2">
        <v>23392</v>
      </c>
      <c r="EQ34" s="2">
        <v>23574</v>
      </c>
      <c r="ER34" s="2">
        <v>22813</v>
      </c>
      <c r="ES34" s="2">
        <v>21274</v>
      </c>
      <c r="ET34" s="2">
        <v>18546</v>
      </c>
      <c r="EU34" s="2">
        <v>18567</v>
      </c>
      <c r="EV34" s="2">
        <v>19038</v>
      </c>
      <c r="EW34" s="2">
        <v>18146</v>
      </c>
      <c r="EX34" s="2">
        <v>22172</v>
      </c>
      <c r="EY34" s="2">
        <v>21371</v>
      </c>
      <c r="EZ34" s="2">
        <v>21483</v>
      </c>
      <c r="FA34" s="2">
        <v>20935</v>
      </c>
      <c r="FB34" s="2">
        <v>19537</v>
      </c>
      <c r="FC34" s="2">
        <v>16461</v>
      </c>
      <c r="FD34" s="2">
        <v>16570</v>
      </c>
      <c r="FE34" s="2">
        <v>16230</v>
      </c>
      <c r="FF34" s="2">
        <v>14390</v>
      </c>
      <c r="FG34">
        <f t="shared" si="9"/>
        <v>358674</v>
      </c>
      <c r="FI34">
        <v>-12.790169176923399</v>
      </c>
      <c r="FJ34" s="2">
        <v>12.536002096160088</v>
      </c>
      <c r="FK34">
        <v>77.556220969459204</v>
      </c>
      <c r="FM34">
        <v>77.556220969459204</v>
      </c>
    </row>
    <row r="35" spans="1:169">
      <c r="A35" s="1" t="s">
        <v>0</v>
      </c>
      <c r="B35" s="1" t="s">
        <v>66</v>
      </c>
      <c r="C35" s="1" t="s">
        <v>2</v>
      </c>
      <c r="D35" s="1" t="s">
        <v>67</v>
      </c>
      <c r="E35" s="2">
        <v>2697</v>
      </c>
      <c r="F35" s="2">
        <v>1911</v>
      </c>
      <c r="G35" s="2">
        <v>1938</v>
      </c>
      <c r="H35" s="2">
        <v>2819</v>
      </c>
      <c r="I35" s="2">
        <v>852</v>
      </c>
      <c r="J35" s="2">
        <v>2807</v>
      </c>
      <c r="K35" s="4">
        <v>0.05</v>
      </c>
      <c r="L35" s="4">
        <v>0.1</v>
      </c>
      <c r="M35" s="4">
        <v>0.15</v>
      </c>
      <c r="N35" s="4">
        <v>0.2</v>
      </c>
      <c r="O35" s="4">
        <v>0.2</v>
      </c>
      <c r="P35" s="4">
        <v>0.3</v>
      </c>
      <c r="Q35" s="4">
        <f t="shared" si="0"/>
        <v>2192.9500000000003</v>
      </c>
      <c r="R35" s="4">
        <v>2192.9499999999998</v>
      </c>
      <c r="T35" s="2">
        <v>1.0663636363636364</v>
      </c>
      <c r="U35" s="2">
        <v>0.125</v>
      </c>
      <c r="V35">
        <f>(253.421186011151)/180</f>
        <v>1.4078954778397279</v>
      </c>
      <c r="W35">
        <f>(231105)/400000</f>
        <v>0.57776249999999996</v>
      </c>
      <c r="X35">
        <v>0.3</v>
      </c>
      <c r="Y35">
        <v>-0.1</v>
      </c>
      <c r="Z35">
        <v>0.4</v>
      </c>
      <c r="AA35">
        <v>0.4</v>
      </c>
      <c r="AB35">
        <f t="shared" si="1"/>
        <v>1.1016722820449822</v>
      </c>
      <c r="AC35">
        <v>2864.347933316948</v>
      </c>
      <c r="AG35" s="2">
        <v>4379</v>
      </c>
      <c r="AH35" s="2">
        <v>46</v>
      </c>
      <c r="AI35">
        <v>519.20000000000005</v>
      </c>
      <c r="AJ35">
        <v>1940.55</v>
      </c>
      <c r="AK35">
        <v>0.2</v>
      </c>
      <c r="AL35">
        <v>0.2</v>
      </c>
      <c r="AM35">
        <v>0.3</v>
      </c>
      <c r="AN35">
        <v>0.3</v>
      </c>
      <c r="AO35">
        <v>1902.4368800721363</v>
      </c>
      <c r="AP35">
        <v>1622.9250000000002</v>
      </c>
      <c r="AR35">
        <v>157685</v>
      </c>
      <c r="AS35">
        <v>32003.000000000004</v>
      </c>
      <c r="AT35">
        <v>2986</v>
      </c>
      <c r="AU35">
        <v>0.3</v>
      </c>
      <c r="AV35">
        <v>0.4</v>
      </c>
      <c r="AW35">
        <v>0.3</v>
      </c>
      <c r="AX35">
        <f t="shared" si="2"/>
        <v>61002.500000000007</v>
      </c>
      <c r="AY35">
        <v>1651.2566110023724</v>
      </c>
      <c r="BB35">
        <v>881</v>
      </c>
      <c r="BC35">
        <v>1134.45</v>
      </c>
      <c r="BD35" s="2">
        <v>1097</v>
      </c>
      <c r="BE35" s="4">
        <v>0.4</v>
      </c>
      <c r="BF35" s="4">
        <v>0.3</v>
      </c>
      <c r="BG35" s="4">
        <v>0.3</v>
      </c>
      <c r="BH35">
        <f t="shared" si="3"/>
        <v>1021.835</v>
      </c>
      <c r="BI35">
        <v>2075.6023437499998</v>
      </c>
      <c r="BN35">
        <v>97.500911851612003</v>
      </c>
      <c r="BO35">
        <v>71.724740007406297</v>
      </c>
      <c r="BW35" s="2">
        <v>71374</v>
      </c>
      <c r="BX35" s="2">
        <v>35272</v>
      </c>
      <c r="BY35" s="2">
        <v>17</v>
      </c>
      <c r="BZ35" s="2">
        <v>29</v>
      </c>
      <c r="CA35" s="3">
        <v>0.3</v>
      </c>
      <c r="CB35" s="3">
        <v>0.3</v>
      </c>
      <c r="CC35" s="3">
        <v>0.2</v>
      </c>
      <c r="CD35" s="3">
        <v>0.2</v>
      </c>
      <c r="CE35">
        <f t="shared" si="4"/>
        <v>32003.000000000004</v>
      </c>
      <c r="CJ35">
        <v>10867</v>
      </c>
      <c r="CM35">
        <v>9478</v>
      </c>
      <c r="CN35" s="2">
        <v>251040</v>
      </c>
      <c r="CS35">
        <v>49</v>
      </c>
      <c r="CT35">
        <v>470</v>
      </c>
      <c r="CU35">
        <v>4155</v>
      </c>
      <c r="CV35">
        <v>4053</v>
      </c>
      <c r="CW35">
        <v>62</v>
      </c>
      <c r="CX35">
        <v>0.5</v>
      </c>
      <c r="CY35">
        <v>0.1</v>
      </c>
      <c r="CZ35">
        <v>0.2</v>
      </c>
      <c r="DA35">
        <v>0.25</v>
      </c>
      <c r="DB35">
        <v>0.4</v>
      </c>
      <c r="DC35">
        <f t="shared" si="5"/>
        <v>1940.55</v>
      </c>
      <c r="DE35" s="2">
        <v>730</v>
      </c>
      <c r="DF35" s="2">
        <v>194</v>
      </c>
      <c r="DG35" s="4">
        <v>0.6</v>
      </c>
      <c r="DH35" s="4">
        <v>0.4</v>
      </c>
      <c r="DI35" s="4">
        <f t="shared" si="6"/>
        <v>515.6</v>
      </c>
      <c r="DK35" s="2">
        <v>566</v>
      </c>
      <c r="DL35" s="2">
        <v>223</v>
      </c>
      <c r="DM35" s="5">
        <v>0.6</v>
      </c>
      <c r="DN35" s="5">
        <v>0.4</v>
      </c>
      <c r="DO35">
        <f t="shared" si="7"/>
        <v>428.79999999999995</v>
      </c>
      <c r="DR35" s="2">
        <v>1523</v>
      </c>
      <c r="DS35" s="2">
        <v>964</v>
      </c>
      <c r="DT35">
        <v>0.35</v>
      </c>
      <c r="DU35">
        <v>0.65</v>
      </c>
      <c r="DV35">
        <f t="shared" si="8"/>
        <v>1159.6500000000001</v>
      </c>
      <c r="EB35">
        <v>6098</v>
      </c>
      <c r="ED35">
        <v>8.7157161275482</v>
      </c>
      <c r="EE35">
        <v>-12.404960388840999</v>
      </c>
      <c r="EF35">
        <v>3.6892442612927994</v>
      </c>
      <c r="EG35">
        <v>2.4990881483879601</v>
      </c>
      <c r="EJ35">
        <v>2.4990881483879601</v>
      </c>
      <c r="EO35" s="2">
        <v>24126</v>
      </c>
      <c r="EP35" s="2">
        <v>22331</v>
      </c>
      <c r="EQ35" s="2">
        <v>21952</v>
      </c>
      <c r="ER35" s="2">
        <v>21707</v>
      </c>
      <c r="ES35" s="2">
        <v>20864</v>
      </c>
      <c r="ET35" s="2">
        <v>16260</v>
      </c>
      <c r="EU35" s="2">
        <v>16304</v>
      </c>
      <c r="EV35" s="2">
        <v>16639</v>
      </c>
      <c r="EW35" s="2">
        <v>15660</v>
      </c>
      <c r="EX35" s="2">
        <v>22595</v>
      </c>
      <c r="EY35" s="2">
        <v>21222</v>
      </c>
      <c r="EZ35" s="2">
        <v>20439</v>
      </c>
      <c r="FA35" s="2">
        <v>20563</v>
      </c>
      <c r="FB35" s="2">
        <v>19274</v>
      </c>
      <c r="FC35" s="2">
        <v>16117</v>
      </c>
      <c r="FD35" s="2">
        <v>15399</v>
      </c>
      <c r="FE35" s="2">
        <v>15782</v>
      </c>
      <c r="FF35" s="2">
        <v>12968</v>
      </c>
      <c r="FG35">
        <f t="shared" si="9"/>
        <v>340202</v>
      </c>
      <c r="FI35">
        <v>-12.7372948378214</v>
      </c>
      <c r="FJ35" s="2">
        <v>12.404960388840996</v>
      </c>
      <c r="FK35">
        <v>71.724740007406297</v>
      </c>
      <c r="FM35">
        <v>71.724740007406297</v>
      </c>
    </row>
    <row r="36" spans="1:169">
      <c r="A36" s="1" t="s">
        <v>0</v>
      </c>
      <c r="B36" s="1" t="s">
        <v>68</v>
      </c>
      <c r="C36" s="1" t="s">
        <v>2</v>
      </c>
      <c r="D36" s="1" t="s">
        <v>69</v>
      </c>
      <c r="E36" s="2">
        <v>4619</v>
      </c>
      <c r="F36" s="2">
        <v>4289</v>
      </c>
      <c r="G36" s="2">
        <v>3543</v>
      </c>
      <c r="H36" s="2">
        <v>4643</v>
      </c>
      <c r="I36" s="2">
        <v>2141</v>
      </c>
      <c r="J36" s="2">
        <v>4606</v>
      </c>
      <c r="K36" s="4">
        <v>0.05</v>
      </c>
      <c r="L36" s="4">
        <v>0.1</v>
      </c>
      <c r="M36" s="4">
        <v>0.15</v>
      </c>
      <c r="N36" s="4">
        <v>0.2</v>
      </c>
      <c r="O36" s="4">
        <v>0.2</v>
      </c>
      <c r="P36" s="4">
        <v>0.3</v>
      </c>
      <c r="Q36" s="4">
        <f t="shared" si="0"/>
        <v>3929.9000000000005</v>
      </c>
      <c r="R36" s="4">
        <v>3929.9</v>
      </c>
      <c r="T36" s="2">
        <v>1.0449999999999999</v>
      </c>
      <c r="U36" s="2">
        <v>2.6666666666666665</v>
      </c>
      <c r="V36">
        <f>(404.203718674212)/180</f>
        <v>2.2455762148567331</v>
      </c>
      <c r="W36">
        <f>(292724)/400000</f>
        <v>0.73180999999999996</v>
      </c>
      <c r="X36">
        <v>0.3</v>
      </c>
      <c r="Y36">
        <v>-0.1</v>
      </c>
      <c r="Z36">
        <v>0.4</v>
      </c>
      <c r="AA36">
        <v>0.4</v>
      </c>
      <c r="AB36">
        <f t="shared" si="1"/>
        <v>1.2377878192760265</v>
      </c>
      <c r="AC36">
        <v>3218.2483301176781</v>
      </c>
      <c r="AG36" s="2">
        <v>3243</v>
      </c>
      <c r="AH36" s="2">
        <v>136</v>
      </c>
      <c r="AI36">
        <v>240.6</v>
      </c>
      <c r="AJ36">
        <v>2136.35</v>
      </c>
      <c r="AK36">
        <v>0.2</v>
      </c>
      <c r="AL36">
        <v>0.2</v>
      </c>
      <c r="AM36">
        <v>0.3</v>
      </c>
      <c r="AN36">
        <v>0.3</v>
      </c>
      <c r="AO36">
        <v>1628.0888187556357</v>
      </c>
      <c r="AP36">
        <v>1388.885</v>
      </c>
      <c r="AR36">
        <v>127988</v>
      </c>
      <c r="AS36">
        <v>24081.600000000002</v>
      </c>
      <c r="AT36">
        <v>3370</v>
      </c>
      <c r="AU36">
        <v>0.3</v>
      </c>
      <c r="AV36">
        <v>0.4</v>
      </c>
      <c r="AW36">
        <v>0.3</v>
      </c>
      <c r="AX36">
        <f t="shared" si="2"/>
        <v>49040.04</v>
      </c>
      <c r="AY36">
        <v>1327.4487152792242</v>
      </c>
      <c r="BB36">
        <v>2469</v>
      </c>
      <c r="BC36">
        <v>2302.3999999999996</v>
      </c>
      <c r="BD36" s="2">
        <v>1055</v>
      </c>
      <c r="BE36" s="4">
        <v>0.4</v>
      </c>
      <c r="BF36" s="4">
        <v>0.3</v>
      </c>
      <c r="BG36" s="4">
        <v>0.3</v>
      </c>
      <c r="BH36">
        <f t="shared" si="3"/>
        <v>1994.82</v>
      </c>
      <c r="BI36">
        <v>4051.9781250000001</v>
      </c>
      <c r="BN36">
        <v>99.590105162523898</v>
      </c>
      <c r="BO36">
        <v>76.474100430139998</v>
      </c>
      <c r="BW36" s="2">
        <v>54328</v>
      </c>
      <c r="BX36" s="2">
        <v>25538</v>
      </c>
      <c r="BY36" s="2">
        <v>342</v>
      </c>
      <c r="BZ36" s="2">
        <v>267</v>
      </c>
      <c r="CA36" s="3">
        <v>0.3</v>
      </c>
      <c r="CB36" s="3">
        <v>0.3</v>
      </c>
      <c r="CC36" s="3">
        <v>0.2</v>
      </c>
      <c r="CD36" s="3">
        <v>0.2</v>
      </c>
      <c r="CE36">
        <f t="shared" si="4"/>
        <v>24081.600000000002</v>
      </c>
      <c r="CJ36">
        <v>11327</v>
      </c>
      <c r="CM36">
        <v>11649</v>
      </c>
      <c r="CN36" s="2">
        <v>203609</v>
      </c>
      <c r="CS36">
        <v>143</v>
      </c>
      <c r="CT36">
        <v>639</v>
      </c>
      <c r="CU36">
        <v>4830</v>
      </c>
      <c r="CV36">
        <v>3983</v>
      </c>
      <c r="CW36">
        <v>98</v>
      </c>
      <c r="CX36">
        <v>0.5</v>
      </c>
      <c r="CY36">
        <v>0.1</v>
      </c>
      <c r="CZ36">
        <v>0.2</v>
      </c>
      <c r="DA36">
        <v>0.25</v>
      </c>
      <c r="DB36">
        <v>0.4</v>
      </c>
      <c r="DC36">
        <f t="shared" si="5"/>
        <v>2136.35</v>
      </c>
      <c r="DE36" s="2">
        <v>732</v>
      </c>
      <c r="DF36" s="2">
        <v>200</v>
      </c>
      <c r="DG36" s="4">
        <v>0.6</v>
      </c>
      <c r="DH36" s="4">
        <v>0.4</v>
      </c>
      <c r="DI36" s="4">
        <f t="shared" si="6"/>
        <v>519.20000000000005</v>
      </c>
      <c r="DK36" s="2">
        <v>501</v>
      </c>
      <c r="DL36" s="2">
        <v>235</v>
      </c>
      <c r="DM36" s="5">
        <v>0.6</v>
      </c>
      <c r="DN36" s="5">
        <v>0.4</v>
      </c>
      <c r="DO36">
        <f t="shared" si="7"/>
        <v>394.59999999999997</v>
      </c>
      <c r="DR36" s="2">
        <v>2283</v>
      </c>
      <c r="DS36" s="2">
        <v>516</v>
      </c>
      <c r="DT36">
        <v>0.35</v>
      </c>
      <c r="DU36">
        <v>0.65</v>
      </c>
      <c r="DV36">
        <f t="shared" si="8"/>
        <v>1134.45</v>
      </c>
      <c r="EB36">
        <v>1029</v>
      </c>
      <c r="ED36">
        <v>6.9363427358340495</v>
      </c>
      <c r="EE36">
        <v>-12.433367567966901</v>
      </c>
      <c r="EF36">
        <v>5.4970248321328512</v>
      </c>
      <c r="EG36">
        <v>0.40989483747608296</v>
      </c>
      <c r="EJ36">
        <v>0.40989483747608296</v>
      </c>
      <c r="EO36" s="2">
        <v>22270</v>
      </c>
      <c r="EP36" s="2">
        <v>20749</v>
      </c>
      <c r="EQ36" s="2">
        <v>20538</v>
      </c>
      <c r="ER36" s="2">
        <v>19750</v>
      </c>
      <c r="ES36" s="2">
        <v>18644</v>
      </c>
      <c r="ET36" s="2">
        <v>16836</v>
      </c>
      <c r="EU36" s="2">
        <v>16755</v>
      </c>
      <c r="EV36" s="2">
        <v>17286</v>
      </c>
      <c r="EW36" s="2">
        <v>18911</v>
      </c>
      <c r="EX36" s="2">
        <v>19895</v>
      </c>
      <c r="EY36" s="2">
        <v>18964</v>
      </c>
      <c r="EZ36" s="2">
        <v>19123</v>
      </c>
      <c r="FA36" s="2">
        <v>18483</v>
      </c>
      <c r="FB36" s="2">
        <v>17423</v>
      </c>
      <c r="FC36" s="2">
        <v>16191</v>
      </c>
      <c r="FD36" s="2">
        <v>15839</v>
      </c>
      <c r="FE36" s="2">
        <v>16353</v>
      </c>
      <c r="FF36" s="2">
        <v>14258</v>
      </c>
      <c r="FG36">
        <f t="shared" si="9"/>
        <v>328268</v>
      </c>
      <c r="FI36">
        <v>-12.701585626914399</v>
      </c>
      <c r="FJ36" s="2">
        <v>12.43336756796686</v>
      </c>
      <c r="FK36">
        <v>76.474100430139998</v>
      </c>
      <c r="FM36">
        <v>76.474100430139998</v>
      </c>
    </row>
    <row r="37" spans="1:169">
      <c r="A37" s="1" t="s">
        <v>0</v>
      </c>
      <c r="B37" s="1" t="s">
        <v>70</v>
      </c>
      <c r="C37" s="1" t="s">
        <v>2</v>
      </c>
      <c r="D37" s="1" t="s">
        <v>71</v>
      </c>
      <c r="E37" s="2">
        <v>2567</v>
      </c>
      <c r="F37" s="2">
        <v>1839</v>
      </c>
      <c r="G37" s="2">
        <v>2015</v>
      </c>
      <c r="H37" s="2">
        <v>2736</v>
      </c>
      <c r="I37" s="2">
        <v>1222</v>
      </c>
      <c r="J37" s="2">
        <v>2626</v>
      </c>
      <c r="K37" s="4">
        <v>0.05</v>
      </c>
      <c r="L37" s="4">
        <v>0.1</v>
      </c>
      <c r="M37" s="4">
        <v>0.15</v>
      </c>
      <c r="N37" s="4">
        <v>0.2</v>
      </c>
      <c r="O37" s="4">
        <v>0.2</v>
      </c>
      <c r="P37" s="4">
        <v>0.3</v>
      </c>
      <c r="Q37" s="4">
        <f t="shared" si="0"/>
        <v>2193.9</v>
      </c>
      <c r="R37" s="4">
        <v>2193.9</v>
      </c>
      <c r="T37" s="2">
        <v>0.85681818181818181</v>
      </c>
      <c r="U37" s="2">
        <v>1.4166666666666667</v>
      </c>
      <c r="V37">
        <f>(119.961612284069)/180</f>
        <v>0.66645340157816113</v>
      </c>
      <c r="W37">
        <f>(325778)/400000</f>
        <v>0.81444499999999997</v>
      </c>
      <c r="X37">
        <v>0.3</v>
      </c>
      <c r="Y37">
        <v>-0.1</v>
      </c>
      <c r="Z37">
        <v>0.4</v>
      </c>
      <c r="AA37">
        <v>0.4</v>
      </c>
      <c r="AB37">
        <f t="shared" si="1"/>
        <v>0.70773814851005235</v>
      </c>
      <c r="AC37">
        <v>1840.1191861261352</v>
      </c>
      <c r="AG37" s="2">
        <v>4777</v>
      </c>
      <c r="AH37" s="2">
        <v>481</v>
      </c>
      <c r="AI37">
        <v>981.6</v>
      </c>
      <c r="AJ37">
        <v>3998.7999999999997</v>
      </c>
      <c r="AK37">
        <v>0.2</v>
      </c>
      <c r="AL37">
        <v>0.2</v>
      </c>
      <c r="AM37">
        <v>0.3</v>
      </c>
      <c r="AN37">
        <v>0.3</v>
      </c>
      <c r="AO37">
        <v>2984.162308385934</v>
      </c>
      <c r="AP37">
        <v>2545.7200000000003</v>
      </c>
      <c r="AR37">
        <v>418314</v>
      </c>
      <c r="AS37">
        <v>72676.399999999994</v>
      </c>
      <c r="AT37">
        <v>4055</v>
      </c>
      <c r="AU37">
        <v>0.3</v>
      </c>
      <c r="AV37">
        <v>0.4</v>
      </c>
      <c r="AW37">
        <v>0.3</v>
      </c>
      <c r="AX37">
        <f t="shared" si="2"/>
        <v>155781.26</v>
      </c>
      <c r="AY37">
        <v>4216.7916961645797</v>
      </c>
      <c r="BB37">
        <v>128</v>
      </c>
      <c r="BC37">
        <v>1213.4000000000001</v>
      </c>
      <c r="BD37" s="2">
        <v>670</v>
      </c>
      <c r="BE37" s="4">
        <v>0.4</v>
      </c>
      <c r="BF37" s="4">
        <v>0.3</v>
      </c>
      <c r="BG37" s="4">
        <v>0.3</v>
      </c>
      <c r="BH37">
        <f t="shared" si="3"/>
        <v>616.22</v>
      </c>
      <c r="BI37">
        <v>1251.6968750000001</v>
      </c>
      <c r="BN37">
        <v>98.749564115535094</v>
      </c>
      <c r="BO37">
        <v>78.468694841184799</v>
      </c>
      <c r="BW37" s="2">
        <v>171511</v>
      </c>
      <c r="BX37" s="2">
        <v>70367</v>
      </c>
      <c r="BY37" s="2">
        <v>251</v>
      </c>
      <c r="BZ37" s="2">
        <v>314</v>
      </c>
      <c r="CA37" s="3">
        <v>0.3</v>
      </c>
      <c r="CB37" s="3">
        <v>0.3</v>
      </c>
      <c r="CC37" s="3">
        <v>0.2</v>
      </c>
      <c r="CD37" s="3">
        <v>0.2</v>
      </c>
      <c r="CE37">
        <f t="shared" si="4"/>
        <v>72676.399999999994</v>
      </c>
      <c r="CJ37">
        <v>24774</v>
      </c>
      <c r="CM37">
        <v>19282</v>
      </c>
      <c r="CN37" s="2">
        <v>698221</v>
      </c>
      <c r="CS37">
        <v>209</v>
      </c>
      <c r="CT37">
        <v>1238</v>
      </c>
      <c r="CU37">
        <v>6632</v>
      </c>
      <c r="CV37">
        <v>9346</v>
      </c>
      <c r="CW37">
        <v>269</v>
      </c>
      <c r="CX37">
        <v>0.5</v>
      </c>
      <c r="CY37">
        <v>0.1</v>
      </c>
      <c r="CZ37">
        <v>0.2</v>
      </c>
      <c r="DA37">
        <v>0.25</v>
      </c>
      <c r="DB37">
        <v>0.4</v>
      </c>
      <c r="DC37">
        <f t="shared" si="5"/>
        <v>3998.7999999999997</v>
      </c>
      <c r="DE37" s="2">
        <v>317</v>
      </c>
      <c r="DF37" s="2">
        <v>126</v>
      </c>
      <c r="DG37" s="4">
        <v>0.6</v>
      </c>
      <c r="DH37" s="4">
        <v>0.4</v>
      </c>
      <c r="DI37" s="4">
        <f t="shared" si="6"/>
        <v>240.6</v>
      </c>
      <c r="DK37" s="2">
        <v>331</v>
      </c>
      <c r="DL37" s="2">
        <v>122</v>
      </c>
      <c r="DM37" s="5">
        <v>0.6</v>
      </c>
      <c r="DN37" s="5">
        <v>0.4</v>
      </c>
      <c r="DO37">
        <f t="shared" si="7"/>
        <v>247.4</v>
      </c>
      <c r="DR37" s="2">
        <v>2266</v>
      </c>
      <c r="DS37" s="2">
        <v>2322</v>
      </c>
      <c r="DT37">
        <v>0.35</v>
      </c>
      <c r="DU37">
        <v>0.65</v>
      </c>
      <c r="DV37">
        <f t="shared" si="8"/>
        <v>2302.3999999999996</v>
      </c>
      <c r="EB37">
        <v>2546</v>
      </c>
      <c r="ED37">
        <v>7.8422787791173523</v>
      </c>
      <c r="EE37">
        <v>-12.223956767003701</v>
      </c>
      <c r="EF37">
        <v>4.3816779878863485</v>
      </c>
      <c r="EG37">
        <v>1.25043588446486</v>
      </c>
      <c r="EJ37">
        <v>1.25043588446486</v>
      </c>
      <c r="EO37" s="2">
        <v>14734</v>
      </c>
      <c r="EP37" s="2">
        <v>14772</v>
      </c>
      <c r="EQ37" s="2">
        <v>15782</v>
      </c>
      <c r="ER37" s="2">
        <v>15551</v>
      </c>
      <c r="ES37" s="2">
        <v>14639</v>
      </c>
      <c r="ET37" s="2">
        <v>13274</v>
      </c>
      <c r="EU37" s="2">
        <v>12997</v>
      </c>
      <c r="EV37" s="2">
        <v>13434</v>
      </c>
      <c r="EW37" s="2">
        <v>17690</v>
      </c>
      <c r="EX37" s="2">
        <v>14193</v>
      </c>
      <c r="EY37" s="2">
        <v>14187</v>
      </c>
      <c r="EZ37" s="2">
        <v>15444</v>
      </c>
      <c r="FA37" s="2">
        <v>15318</v>
      </c>
      <c r="FB37" s="2">
        <v>14282</v>
      </c>
      <c r="FC37" s="2">
        <v>12288</v>
      </c>
      <c r="FD37" s="2">
        <v>12186</v>
      </c>
      <c r="FE37" s="2">
        <v>13075</v>
      </c>
      <c r="FF37" s="2">
        <v>15632</v>
      </c>
      <c r="FG37">
        <f t="shared" si="9"/>
        <v>259478</v>
      </c>
      <c r="FI37">
        <v>-12.466427199574101</v>
      </c>
      <c r="FJ37" s="2">
        <v>12.223956767003722</v>
      </c>
      <c r="FK37">
        <v>78.468694841184799</v>
      </c>
      <c r="FM37">
        <v>78.468694841184799</v>
      </c>
    </row>
    <row r="38" spans="1:169">
      <c r="A38" s="1" t="s">
        <v>0</v>
      </c>
      <c r="B38" s="1" t="s">
        <v>72</v>
      </c>
      <c r="C38" s="1" t="s">
        <v>2</v>
      </c>
      <c r="D38" s="1" t="s">
        <v>73</v>
      </c>
      <c r="E38" s="2">
        <v>2489</v>
      </c>
      <c r="F38" s="2">
        <v>2086</v>
      </c>
      <c r="G38" s="2">
        <v>1660</v>
      </c>
      <c r="H38" s="2">
        <v>2512</v>
      </c>
      <c r="I38" s="2">
        <v>1548</v>
      </c>
      <c r="J38" s="2">
        <v>2512</v>
      </c>
      <c r="K38" s="4">
        <v>0.05</v>
      </c>
      <c r="L38" s="4">
        <v>0.1</v>
      </c>
      <c r="M38" s="4">
        <v>0.15</v>
      </c>
      <c r="N38" s="4">
        <v>0.2</v>
      </c>
      <c r="O38" s="4">
        <v>0.2</v>
      </c>
      <c r="P38" s="4">
        <v>0.3</v>
      </c>
      <c r="Q38" s="4">
        <f t="shared" si="0"/>
        <v>2147.65</v>
      </c>
      <c r="R38" s="4">
        <v>2147.65</v>
      </c>
      <c r="T38" s="2">
        <v>0.84318181818181814</v>
      </c>
      <c r="U38" s="2">
        <v>0.375</v>
      </c>
      <c r="V38">
        <f>(211.954217888936)/180</f>
        <v>1.1775234327163111</v>
      </c>
      <c r="W38">
        <f>(273661)/400000</f>
        <v>0.68415250000000005</v>
      </c>
      <c r="X38">
        <v>0.3</v>
      </c>
      <c r="Y38">
        <v>-0.1</v>
      </c>
      <c r="Z38">
        <v>0.4</v>
      </c>
      <c r="AA38">
        <v>0.4</v>
      </c>
      <c r="AB38">
        <f t="shared" si="1"/>
        <v>0.96012491854106996</v>
      </c>
      <c r="AC38">
        <v>2496.3247882067767</v>
      </c>
      <c r="AG38" s="2">
        <v>11316</v>
      </c>
      <c r="AH38" s="2">
        <v>164</v>
      </c>
      <c r="AI38">
        <v>749</v>
      </c>
      <c r="AJ38">
        <v>1855</v>
      </c>
      <c r="AK38">
        <v>0.2</v>
      </c>
      <c r="AL38">
        <v>0.2</v>
      </c>
      <c r="AM38">
        <v>0.3</v>
      </c>
      <c r="AN38">
        <v>0.3</v>
      </c>
      <c r="AO38">
        <v>3607.1776375112663</v>
      </c>
      <c r="AP38">
        <v>3077.2000000000003</v>
      </c>
      <c r="AR38">
        <v>146213</v>
      </c>
      <c r="AS38">
        <v>29066.999999999996</v>
      </c>
      <c r="AT38">
        <v>699</v>
      </c>
      <c r="AU38">
        <v>0.3</v>
      </c>
      <c r="AV38">
        <v>0.4</v>
      </c>
      <c r="AW38">
        <v>0.3</v>
      </c>
      <c r="AX38">
        <f t="shared" si="2"/>
        <v>55700.399999999994</v>
      </c>
      <c r="AY38">
        <v>1507.735809769709</v>
      </c>
      <c r="BB38">
        <v>1692</v>
      </c>
      <c r="BC38">
        <v>1122.8</v>
      </c>
      <c r="BD38" s="2">
        <v>486</v>
      </c>
      <c r="BE38" s="4">
        <v>0.4</v>
      </c>
      <c r="BF38" s="4">
        <v>0.3</v>
      </c>
      <c r="BG38" s="4">
        <v>0.3</v>
      </c>
      <c r="BH38">
        <f t="shared" si="3"/>
        <v>1159.44</v>
      </c>
      <c r="BI38">
        <v>2355.1125000000002</v>
      </c>
      <c r="BN38">
        <v>99.981667695471799</v>
      </c>
      <c r="BO38">
        <v>84.1718925930452</v>
      </c>
      <c r="BW38" s="2">
        <v>65031</v>
      </c>
      <c r="BX38" s="2">
        <v>31733</v>
      </c>
      <c r="BY38" s="2">
        <v>156</v>
      </c>
      <c r="BZ38" s="2">
        <v>33</v>
      </c>
      <c r="CA38" s="3">
        <v>0.3</v>
      </c>
      <c r="CB38" s="3">
        <v>0.3</v>
      </c>
      <c r="CC38" s="3">
        <v>0.2</v>
      </c>
      <c r="CD38" s="3">
        <v>0.2</v>
      </c>
      <c r="CE38">
        <f t="shared" si="4"/>
        <v>29066.999999999996</v>
      </c>
      <c r="CJ38">
        <v>11269</v>
      </c>
      <c r="CM38">
        <v>9235</v>
      </c>
      <c r="CN38" s="2">
        <v>245167</v>
      </c>
      <c r="CS38">
        <v>199</v>
      </c>
      <c r="CT38">
        <v>928</v>
      </c>
      <c r="CU38">
        <v>4297</v>
      </c>
      <c r="CV38">
        <v>3066</v>
      </c>
      <c r="CW38">
        <v>92</v>
      </c>
      <c r="CX38">
        <v>0.5</v>
      </c>
      <c r="CY38">
        <v>0.1</v>
      </c>
      <c r="CZ38">
        <v>0.2</v>
      </c>
      <c r="DA38">
        <v>0.25</v>
      </c>
      <c r="DB38">
        <v>0.4</v>
      </c>
      <c r="DC38">
        <f t="shared" si="5"/>
        <v>1855</v>
      </c>
      <c r="DE38" s="2">
        <v>1310</v>
      </c>
      <c r="DF38" s="2">
        <v>489</v>
      </c>
      <c r="DG38" s="4">
        <v>0.6</v>
      </c>
      <c r="DH38" s="4">
        <v>0.4</v>
      </c>
      <c r="DI38" s="4">
        <f t="shared" si="6"/>
        <v>981.6</v>
      </c>
      <c r="DK38" s="2">
        <v>1068</v>
      </c>
      <c r="DL38" s="2">
        <v>482</v>
      </c>
      <c r="DM38" s="5">
        <v>0.6</v>
      </c>
      <c r="DN38" s="5">
        <v>0.4</v>
      </c>
      <c r="DO38">
        <f t="shared" si="7"/>
        <v>833.59999999999991</v>
      </c>
      <c r="DR38" s="2">
        <v>1827</v>
      </c>
      <c r="DS38" s="2">
        <v>883</v>
      </c>
      <c r="DT38">
        <v>0.35</v>
      </c>
      <c r="DU38">
        <v>0.65</v>
      </c>
      <c r="DV38">
        <f t="shared" si="8"/>
        <v>1213.4000000000001</v>
      </c>
      <c r="EB38">
        <v>128</v>
      </c>
      <c r="ED38">
        <v>4.8520302639196169</v>
      </c>
      <c r="EE38">
        <v>-13.456290950542501</v>
      </c>
      <c r="EF38">
        <v>8.604260686622883</v>
      </c>
      <c r="EG38">
        <v>1.8332304528222401E-2</v>
      </c>
      <c r="EJ38">
        <v>1.8332304528222401E-2</v>
      </c>
      <c r="EO38" s="2">
        <v>52662</v>
      </c>
      <c r="EP38" s="2">
        <v>53468</v>
      </c>
      <c r="EQ38" s="2">
        <v>54176</v>
      </c>
      <c r="ER38" s="2">
        <v>53296</v>
      </c>
      <c r="ES38" s="2">
        <v>51729</v>
      </c>
      <c r="ET38" s="2">
        <v>35732</v>
      </c>
      <c r="EU38" s="2">
        <v>35784</v>
      </c>
      <c r="EV38" s="2">
        <v>36422</v>
      </c>
      <c r="EW38" s="2">
        <v>39717</v>
      </c>
      <c r="EX38" s="2">
        <v>52311</v>
      </c>
      <c r="EY38" s="2">
        <v>52706</v>
      </c>
      <c r="EZ38" s="2">
        <v>52938</v>
      </c>
      <c r="FA38" s="2">
        <v>52846</v>
      </c>
      <c r="FB38" s="2">
        <v>50941</v>
      </c>
      <c r="FC38" s="2">
        <v>38000</v>
      </c>
      <c r="FD38" s="2">
        <v>37710</v>
      </c>
      <c r="FE38" s="2">
        <v>38260</v>
      </c>
      <c r="FF38" s="2">
        <v>40820</v>
      </c>
      <c r="FG38">
        <f t="shared" si="9"/>
        <v>829518</v>
      </c>
      <c r="FI38">
        <v>-13.6286000881964</v>
      </c>
      <c r="FJ38" s="2">
        <v>13.456290950542494</v>
      </c>
      <c r="FK38">
        <v>84.1718925930452</v>
      </c>
      <c r="FM38">
        <v>84.1718925930452</v>
      </c>
    </row>
    <row r="39" spans="1:169">
      <c r="A39" s="1" t="s">
        <v>0</v>
      </c>
      <c r="B39" s="1" t="s">
        <v>74</v>
      </c>
      <c r="C39" s="1" t="s">
        <v>2</v>
      </c>
      <c r="D39" s="1" t="s">
        <v>75</v>
      </c>
      <c r="E39" s="2">
        <v>1885</v>
      </c>
      <c r="F39" s="2">
        <v>1824</v>
      </c>
      <c r="G39" s="2">
        <v>1063</v>
      </c>
      <c r="H39" s="2">
        <v>1973</v>
      </c>
      <c r="I39" s="2">
        <v>803</v>
      </c>
      <c r="J39" s="2">
        <v>1942</v>
      </c>
      <c r="K39" s="4">
        <v>0.05</v>
      </c>
      <c r="L39" s="4">
        <v>0.1</v>
      </c>
      <c r="M39" s="4">
        <v>0.15</v>
      </c>
      <c r="N39" s="4">
        <v>0.2</v>
      </c>
      <c r="O39" s="4">
        <v>0.2</v>
      </c>
      <c r="P39" s="4">
        <v>0.3</v>
      </c>
      <c r="Q39" s="4">
        <f t="shared" si="0"/>
        <v>1573.9</v>
      </c>
      <c r="R39" s="4">
        <v>1573.9</v>
      </c>
      <c r="T39" s="2">
        <v>0.70818181818181813</v>
      </c>
      <c r="U39" s="2">
        <v>0.16666666666666666</v>
      </c>
      <c r="V39">
        <f>(255.623721881391)/180</f>
        <v>1.42013178822995</v>
      </c>
      <c r="W39">
        <f>(320348)/400000</f>
        <v>0.80086999999999997</v>
      </c>
      <c r="X39">
        <v>0.3</v>
      </c>
      <c r="Y39">
        <v>-0.1</v>
      </c>
      <c r="Z39">
        <v>0.4</v>
      </c>
      <c r="AA39">
        <v>0.4</v>
      </c>
      <c r="AB39">
        <f t="shared" si="1"/>
        <v>1.0841885940798588</v>
      </c>
      <c r="AC39">
        <v>2818.8903446076356</v>
      </c>
      <c r="AG39" s="2">
        <v>2763</v>
      </c>
      <c r="AH39" s="2">
        <v>306</v>
      </c>
      <c r="AI39">
        <v>429.6</v>
      </c>
      <c r="AJ39">
        <v>2813.2000000000003</v>
      </c>
      <c r="AK39">
        <v>0.2</v>
      </c>
      <c r="AL39">
        <v>0.2</v>
      </c>
      <c r="AM39">
        <v>0.3</v>
      </c>
      <c r="AN39">
        <v>0.3</v>
      </c>
      <c r="AO39">
        <v>1859.9026149684396</v>
      </c>
      <c r="AP39">
        <v>1586.64</v>
      </c>
      <c r="AR39">
        <v>166702</v>
      </c>
      <c r="AS39">
        <v>32180.1</v>
      </c>
      <c r="AT39">
        <v>1134</v>
      </c>
      <c r="AU39">
        <v>0.3</v>
      </c>
      <c r="AV39">
        <v>0.4</v>
      </c>
      <c r="AW39">
        <v>0.3</v>
      </c>
      <c r="AX39">
        <f t="shared" si="2"/>
        <v>63222.84</v>
      </c>
      <c r="AY39">
        <v>1711.3582642735178</v>
      </c>
      <c r="BB39">
        <v>592</v>
      </c>
      <c r="BC39">
        <v>813.55</v>
      </c>
      <c r="BD39" s="2">
        <v>201</v>
      </c>
      <c r="BE39" s="4">
        <v>0.4</v>
      </c>
      <c r="BF39" s="4">
        <v>0.3</v>
      </c>
      <c r="BG39" s="4">
        <v>0.3</v>
      </c>
      <c r="BH39">
        <f t="shared" si="3"/>
        <v>541.16499999999996</v>
      </c>
      <c r="BI39">
        <v>1099.24140625</v>
      </c>
      <c r="BN39">
        <v>99.152006591425405</v>
      </c>
      <c r="BO39">
        <v>81.0954653859025</v>
      </c>
      <c r="BW39" s="2">
        <v>70735</v>
      </c>
      <c r="BX39" s="2">
        <v>36090</v>
      </c>
      <c r="BY39" s="2">
        <v>430</v>
      </c>
      <c r="BZ39" s="2">
        <v>233</v>
      </c>
      <c r="CA39" s="3">
        <v>0.3</v>
      </c>
      <c r="CB39" s="3">
        <v>0.3</v>
      </c>
      <c r="CC39" s="3">
        <v>0.2</v>
      </c>
      <c r="CD39" s="3">
        <v>0.2</v>
      </c>
      <c r="CE39">
        <f t="shared" si="4"/>
        <v>32180.1</v>
      </c>
      <c r="CJ39">
        <v>13685</v>
      </c>
      <c r="CM39">
        <v>13677</v>
      </c>
      <c r="CN39" s="2">
        <v>286371</v>
      </c>
      <c r="CS39">
        <v>43</v>
      </c>
      <c r="CT39">
        <v>30</v>
      </c>
      <c r="CU39">
        <v>7557</v>
      </c>
      <c r="CV39">
        <v>4866</v>
      </c>
      <c r="CW39">
        <v>152</v>
      </c>
      <c r="CX39">
        <v>0.5</v>
      </c>
      <c r="CY39">
        <v>0.1</v>
      </c>
      <c r="CZ39">
        <v>0.2</v>
      </c>
      <c r="DA39">
        <v>0.25</v>
      </c>
      <c r="DB39">
        <v>0.4</v>
      </c>
      <c r="DC39">
        <f t="shared" si="5"/>
        <v>2813.2000000000003</v>
      </c>
      <c r="DE39" s="2">
        <v>1139</v>
      </c>
      <c r="DF39" s="2">
        <v>164</v>
      </c>
      <c r="DG39" s="4">
        <v>0.6</v>
      </c>
      <c r="DH39" s="4">
        <v>0.4</v>
      </c>
      <c r="DI39" s="4">
        <f t="shared" si="6"/>
        <v>749</v>
      </c>
      <c r="DK39" s="2">
        <v>615</v>
      </c>
      <c r="DL39" s="2">
        <v>257</v>
      </c>
      <c r="DM39" s="5">
        <v>0.6</v>
      </c>
      <c r="DN39" s="5">
        <v>0.4</v>
      </c>
      <c r="DO39">
        <f t="shared" si="7"/>
        <v>471.8</v>
      </c>
      <c r="DR39" s="2">
        <v>1791</v>
      </c>
      <c r="DS39" s="2">
        <v>763</v>
      </c>
      <c r="DT39">
        <v>0.35</v>
      </c>
      <c r="DU39">
        <v>0.65</v>
      </c>
      <c r="DV39">
        <f t="shared" si="8"/>
        <v>1122.8</v>
      </c>
      <c r="EB39">
        <v>2079</v>
      </c>
      <c r="ED39">
        <v>7.6396422878580132</v>
      </c>
      <c r="EE39">
        <v>-12.409694889973901</v>
      </c>
      <c r="EF39">
        <v>4.7700526021158876</v>
      </c>
      <c r="EG39">
        <v>0.84799340857456207</v>
      </c>
      <c r="EJ39">
        <v>0.84799340857456207</v>
      </c>
      <c r="EO39" s="2">
        <v>18010</v>
      </c>
      <c r="EP39" s="2">
        <v>18569</v>
      </c>
      <c r="EQ39" s="2">
        <v>19915</v>
      </c>
      <c r="ER39" s="2">
        <v>19407</v>
      </c>
      <c r="ES39" s="2">
        <v>18977</v>
      </c>
      <c r="ET39" s="2">
        <v>15618</v>
      </c>
      <c r="EU39" s="2">
        <v>15823</v>
      </c>
      <c r="EV39" s="2">
        <v>16088</v>
      </c>
      <c r="EW39" s="2">
        <v>13974</v>
      </c>
      <c r="EX39" s="2">
        <v>16397</v>
      </c>
      <c r="EY39" s="2">
        <v>17778</v>
      </c>
      <c r="EZ39" s="2">
        <v>18243</v>
      </c>
      <c r="FA39" s="2">
        <v>18354</v>
      </c>
      <c r="FB39" s="2">
        <v>17611</v>
      </c>
      <c r="FC39" s="2">
        <v>14511</v>
      </c>
      <c r="FD39" s="2">
        <v>15830</v>
      </c>
      <c r="FE39" s="2">
        <v>15633</v>
      </c>
      <c r="FF39" s="2">
        <v>11581</v>
      </c>
      <c r="FG39">
        <f t="shared" si="9"/>
        <v>302319</v>
      </c>
      <c r="FI39">
        <v>-12.6192380302645</v>
      </c>
      <c r="FJ39" s="2">
        <v>12.409694889973903</v>
      </c>
      <c r="FK39">
        <v>81.0954653859025</v>
      </c>
      <c r="FM39">
        <v>81.0954653859025</v>
      </c>
    </row>
    <row r="40" spans="1:169">
      <c r="A40" s="1" t="s">
        <v>0</v>
      </c>
      <c r="B40" s="1" t="s">
        <v>76</v>
      </c>
      <c r="C40" s="1" t="s">
        <v>2</v>
      </c>
      <c r="D40" s="1" t="s">
        <v>77</v>
      </c>
      <c r="E40" s="2">
        <v>1786</v>
      </c>
      <c r="F40" s="2">
        <v>1416</v>
      </c>
      <c r="G40" s="2">
        <v>1285</v>
      </c>
      <c r="H40" s="2">
        <v>1820</v>
      </c>
      <c r="I40" s="2">
        <v>893</v>
      </c>
      <c r="J40" s="2">
        <v>1762</v>
      </c>
      <c r="K40" s="4">
        <v>0.05</v>
      </c>
      <c r="L40" s="4">
        <v>0.1</v>
      </c>
      <c r="M40" s="4">
        <v>0.15</v>
      </c>
      <c r="N40" s="4">
        <v>0.2</v>
      </c>
      <c r="O40" s="4">
        <v>0.2</v>
      </c>
      <c r="P40" s="4">
        <v>0.3</v>
      </c>
      <c r="Q40" s="4">
        <f t="shared" si="0"/>
        <v>1494.85</v>
      </c>
      <c r="R40" s="4">
        <v>1494.85</v>
      </c>
      <c r="T40" s="2">
        <v>0.55909090909090908</v>
      </c>
      <c r="U40" s="2">
        <v>0.54166666666666663</v>
      </c>
      <c r="V40">
        <f>(283.12570781427)/180</f>
        <v>1.5729205989681667</v>
      </c>
      <c r="W40">
        <f>(359455)/400000</f>
        <v>0.89863749999999998</v>
      </c>
      <c r="X40">
        <v>0.3</v>
      </c>
      <c r="Y40">
        <v>-0.1</v>
      </c>
      <c r="Z40">
        <v>0.4</v>
      </c>
      <c r="AA40">
        <v>0.4</v>
      </c>
      <c r="AB40">
        <f t="shared" si="1"/>
        <v>1.1021838456478728</v>
      </c>
      <c r="AC40">
        <v>2865.6779986844622</v>
      </c>
      <c r="AG40" s="2">
        <v>6823</v>
      </c>
      <c r="AH40" s="2">
        <v>57</v>
      </c>
      <c r="AI40">
        <v>646.80000000000007</v>
      </c>
      <c r="AJ40">
        <v>1379.45</v>
      </c>
      <c r="AK40">
        <v>0.2</v>
      </c>
      <c r="AL40">
        <v>0.2</v>
      </c>
      <c r="AM40">
        <v>0.3</v>
      </c>
      <c r="AN40">
        <v>0.3</v>
      </c>
      <c r="AO40">
        <v>2325.5522993688023</v>
      </c>
      <c r="AP40">
        <v>1983.8750000000002</v>
      </c>
      <c r="AR40">
        <v>132370</v>
      </c>
      <c r="AS40">
        <v>21221.999999999996</v>
      </c>
      <c r="AT40">
        <v>967</v>
      </c>
      <c r="AU40">
        <v>0.3</v>
      </c>
      <c r="AV40">
        <v>0.4</v>
      </c>
      <c r="AW40">
        <v>0.3</v>
      </c>
      <c r="AX40">
        <f t="shared" si="2"/>
        <v>48489.9</v>
      </c>
      <c r="AY40">
        <v>1312.5571565402063</v>
      </c>
      <c r="BB40">
        <v>797</v>
      </c>
      <c r="BC40">
        <v>825.95</v>
      </c>
      <c r="BD40" s="2">
        <v>405</v>
      </c>
      <c r="BE40" s="4">
        <v>0.4</v>
      </c>
      <c r="BF40" s="4">
        <v>0.3</v>
      </c>
      <c r="BG40" s="4">
        <v>0.3</v>
      </c>
      <c r="BH40">
        <f t="shared" si="3"/>
        <v>688.08500000000004</v>
      </c>
      <c r="BI40">
        <v>1397.6726562499998</v>
      </c>
      <c r="BN40">
        <v>99.786640407024507</v>
      </c>
      <c r="BO40">
        <v>80.337710648345592</v>
      </c>
      <c r="BW40" s="2">
        <v>39281</v>
      </c>
      <c r="BX40" s="2">
        <v>19377</v>
      </c>
      <c r="BY40" s="2">
        <v>13994</v>
      </c>
      <c r="BZ40" s="2">
        <v>4129</v>
      </c>
      <c r="CA40" s="3">
        <v>0.3</v>
      </c>
      <c r="CB40" s="3">
        <v>0.3</v>
      </c>
      <c r="CC40" s="3">
        <v>0.2</v>
      </c>
      <c r="CD40" s="3">
        <v>0.2</v>
      </c>
      <c r="CE40">
        <f t="shared" si="4"/>
        <v>21221.999999999996</v>
      </c>
      <c r="CJ40">
        <v>9810</v>
      </c>
      <c r="CM40">
        <v>7874</v>
      </c>
      <c r="CN40" s="2">
        <v>226498</v>
      </c>
      <c r="CS40">
        <v>131</v>
      </c>
      <c r="CT40">
        <v>884</v>
      </c>
      <c r="CU40">
        <v>3950</v>
      </c>
      <c r="CV40">
        <v>1667</v>
      </c>
      <c r="CW40">
        <v>47</v>
      </c>
      <c r="CX40">
        <v>0.5</v>
      </c>
      <c r="CY40">
        <v>0.1</v>
      </c>
      <c r="CZ40">
        <v>0.2</v>
      </c>
      <c r="DA40">
        <v>0.25</v>
      </c>
      <c r="DB40">
        <v>0.4</v>
      </c>
      <c r="DC40">
        <f t="shared" si="5"/>
        <v>1379.45</v>
      </c>
      <c r="DE40" s="2">
        <v>618</v>
      </c>
      <c r="DF40" s="2">
        <v>147</v>
      </c>
      <c r="DG40" s="4">
        <v>0.6</v>
      </c>
      <c r="DH40" s="4">
        <v>0.4</v>
      </c>
      <c r="DI40" s="4">
        <f>SUMPRODUCT(DE40:DF40,DG40:DH40)</f>
        <v>429.6</v>
      </c>
      <c r="DK40" s="2">
        <v>492</v>
      </c>
      <c r="DL40" s="2">
        <v>240</v>
      </c>
      <c r="DM40" s="5">
        <v>0.6</v>
      </c>
      <c r="DN40" s="5">
        <v>0.4</v>
      </c>
      <c r="DO40">
        <f t="shared" si="7"/>
        <v>391.2</v>
      </c>
      <c r="DR40" s="2">
        <v>1563</v>
      </c>
      <c r="DS40" s="2">
        <v>410</v>
      </c>
      <c r="DT40">
        <v>0.35</v>
      </c>
      <c r="DU40">
        <v>0.65</v>
      </c>
      <c r="DV40">
        <f t="shared" si="8"/>
        <v>813.55</v>
      </c>
      <c r="EB40">
        <v>611</v>
      </c>
      <c r="ED40">
        <v>6.4150969591715956</v>
      </c>
      <c r="EE40">
        <v>-12.5650434519586</v>
      </c>
      <c r="EF40">
        <v>6.149946492787004</v>
      </c>
      <c r="EG40">
        <v>0.21335959297553703</v>
      </c>
      <c r="EJ40">
        <v>0.21335959297553703</v>
      </c>
      <c r="EO40" s="2">
        <v>23135</v>
      </c>
      <c r="EP40" s="2">
        <v>22599</v>
      </c>
      <c r="EQ40" s="2">
        <v>23024</v>
      </c>
      <c r="ER40" s="2">
        <v>23180</v>
      </c>
      <c r="ES40" s="2">
        <v>22307</v>
      </c>
      <c r="ET40" s="2">
        <v>19913</v>
      </c>
      <c r="EU40" s="2">
        <v>19614</v>
      </c>
      <c r="EV40" s="2">
        <v>19681</v>
      </c>
      <c r="EW40" s="2">
        <v>16795</v>
      </c>
      <c r="EX40" s="2">
        <v>19919</v>
      </c>
      <c r="EY40" s="2">
        <v>19668</v>
      </c>
      <c r="EZ40" s="2">
        <v>19838</v>
      </c>
      <c r="FA40" s="2">
        <v>20286</v>
      </c>
      <c r="FB40" s="2">
        <v>20051</v>
      </c>
      <c r="FC40" s="2">
        <v>17773</v>
      </c>
      <c r="FD40" s="2">
        <v>18181</v>
      </c>
      <c r="FE40" s="2">
        <v>17308</v>
      </c>
      <c r="FF40" s="2">
        <v>13187</v>
      </c>
      <c r="FG40">
        <f t="shared" si="9"/>
        <v>356459</v>
      </c>
      <c r="FI40">
        <v>-12.7839745052101</v>
      </c>
      <c r="FJ40" s="2">
        <v>12.565043451958553</v>
      </c>
      <c r="FK40">
        <v>80.337710648345592</v>
      </c>
      <c r="FM40">
        <v>80.337710648345592</v>
      </c>
    </row>
    <row r="41" spans="1:169">
      <c r="A41" s="1" t="s">
        <v>0</v>
      </c>
      <c r="B41" s="1" t="s">
        <v>78</v>
      </c>
      <c r="C41" s="1" t="s">
        <v>2</v>
      </c>
      <c r="D41" s="1" t="s">
        <v>79</v>
      </c>
      <c r="E41" s="2">
        <v>1365</v>
      </c>
      <c r="F41" s="2">
        <v>1193</v>
      </c>
      <c r="G41" s="2">
        <v>1007</v>
      </c>
      <c r="H41" s="2">
        <v>1380</v>
      </c>
      <c r="I41" s="2">
        <v>852</v>
      </c>
      <c r="J41" s="2">
        <v>1366</v>
      </c>
      <c r="K41" s="4">
        <v>0.05</v>
      </c>
      <c r="L41" s="4">
        <v>0.1</v>
      </c>
      <c r="M41" s="4">
        <v>0.15</v>
      </c>
      <c r="N41" s="4">
        <v>0.2</v>
      </c>
      <c r="O41" s="4">
        <v>0.2</v>
      </c>
      <c r="P41" s="4">
        <v>0.3</v>
      </c>
      <c r="Q41" s="4">
        <f t="shared" si="0"/>
        <v>1194.8</v>
      </c>
      <c r="R41" s="4">
        <v>1194.8</v>
      </c>
      <c r="T41" s="2">
        <v>0.47499999999999998</v>
      </c>
      <c r="U41" s="2">
        <v>0</v>
      </c>
      <c r="V41">
        <f>(345.303867403315)/180</f>
        <v>1.9183548189073056</v>
      </c>
      <c r="W41">
        <f>(216554)/400000</f>
        <v>0.54138500000000001</v>
      </c>
      <c r="X41">
        <v>0.3</v>
      </c>
      <c r="Y41">
        <v>-0.1</v>
      </c>
      <c r="Z41">
        <v>0.4</v>
      </c>
      <c r="AA41">
        <v>0.4</v>
      </c>
      <c r="AB41">
        <f t="shared" si="1"/>
        <v>1.1263959275629223</v>
      </c>
      <c r="AC41">
        <v>2928.6294116635922</v>
      </c>
      <c r="AG41" s="2">
        <v>3367</v>
      </c>
      <c r="AH41" s="2">
        <v>102</v>
      </c>
      <c r="AI41">
        <v>378.8</v>
      </c>
      <c r="AJ41">
        <v>1686.6499999999999</v>
      </c>
      <c r="AK41">
        <v>0.2</v>
      </c>
      <c r="AL41">
        <v>0.2</v>
      </c>
      <c r="AM41">
        <v>0.3</v>
      </c>
      <c r="AN41">
        <v>0.3</v>
      </c>
      <c r="AO41">
        <v>1539.6442741208282</v>
      </c>
      <c r="AP41">
        <v>1313.4349999999999</v>
      </c>
      <c r="AR41">
        <v>101692</v>
      </c>
      <c r="AS41">
        <v>16016.7</v>
      </c>
      <c r="AT41">
        <v>697</v>
      </c>
      <c r="AU41">
        <v>0.3</v>
      </c>
      <c r="AV41">
        <v>0.4</v>
      </c>
      <c r="AW41">
        <v>0.3</v>
      </c>
      <c r="AX41">
        <f t="shared" si="2"/>
        <v>37123.379999999997</v>
      </c>
      <c r="AY41">
        <v>1004.8805646941231</v>
      </c>
      <c r="BB41">
        <v>598</v>
      </c>
      <c r="BC41">
        <v>580.84999999999991</v>
      </c>
      <c r="BD41" s="2">
        <v>242</v>
      </c>
      <c r="BE41" s="4">
        <v>0.4</v>
      </c>
      <c r="BF41" s="4">
        <v>0.3</v>
      </c>
      <c r="BG41" s="4">
        <v>0.3</v>
      </c>
      <c r="BH41">
        <f t="shared" si="3"/>
        <v>486.05499999999995</v>
      </c>
      <c r="BI41">
        <v>987.29921875000002</v>
      </c>
      <c r="BN41">
        <v>99.638407403155895</v>
      </c>
      <c r="BO41">
        <v>80.675184236677794</v>
      </c>
      <c r="BW41" s="2">
        <v>37392</v>
      </c>
      <c r="BX41" s="2">
        <v>15997</v>
      </c>
      <c r="BY41" s="2">
        <v>0</v>
      </c>
      <c r="BZ41" s="2">
        <v>0</v>
      </c>
      <c r="CA41" s="3">
        <v>0.3</v>
      </c>
      <c r="CB41" s="3">
        <v>0.3</v>
      </c>
      <c r="CC41" s="3">
        <v>0.2</v>
      </c>
      <c r="CD41" s="3">
        <v>0.2</v>
      </c>
      <c r="CE41">
        <f t="shared" si="4"/>
        <v>16016.7</v>
      </c>
      <c r="CJ41">
        <v>8054</v>
      </c>
      <c r="CM41">
        <v>8206</v>
      </c>
      <c r="CN41" s="2">
        <v>169812</v>
      </c>
      <c r="CS41">
        <v>88</v>
      </c>
      <c r="CT41">
        <v>513</v>
      </c>
      <c r="CU41">
        <v>3180</v>
      </c>
      <c r="CV41">
        <v>3703</v>
      </c>
      <c r="CW41">
        <v>74</v>
      </c>
      <c r="CX41">
        <v>0.5</v>
      </c>
      <c r="CY41">
        <v>0.1</v>
      </c>
      <c r="CZ41">
        <v>0.2</v>
      </c>
      <c r="DA41">
        <v>0.25</v>
      </c>
      <c r="DB41">
        <v>0.4</v>
      </c>
      <c r="DC41">
        <f t="shared" si="5"/>
        <v>1686.6499999999999</v>
      </c>
      <c r="DE41" s="2">
        <v>936</v>
      </c>
      <c r="DF41" s="2">
        <v>213</v>
      </c>
      <c r="DG41" s="4">
        <v>0.6</v>
      </c>
      <c r="DH41" s="4">
        <v>0.4</v>
      </c>
      <c r="DI41" s="4">
        <f t="shared" si="6"/>
        <v>646.80000000000007</v>
      </c>
      <c r="DK41" s="2">
        <v>494</v>
      </c>
      <c r="DL41" s="2">
        <v>142</v>
      </c>
      <c r="DM41" s="5">
        <v>0.6</v>
      </c>
      <c r="DN41" s="5">
        <v>0.4</v>
      </c>
      <c r="DO41">
        <f t="shared" si="7"/>
        <v>353.2</v>
      </c>
      <c r="DR41" s="2">
        <v>1201</v>
      </c>
      <c r="DS41" s="2">
        <v>624</v>
      </c>
      <c r="DT41">
        <v>0.35</v>
      </c>
      <c r="DU41">
        <v>0.65</v>
      </c>
      <c r="DV41">
        <f t="shared" si="8"/>
        <v>825.95</v>
      </c>
      <c r="EB41">
        <v>819</v>
      </c>
      <c r="ED41">
        <v>6.7080840838530698</v>
      </c>
      <c r="EE41">
        <v>-12.3304913938442</v>
      </c>
      <c r="EF41">
        <v>5.6224073099911305</v>
      </c>
      <c r="EG41">
        <v>0.36159259684410999</v>
      </c>
      <c r="EJ41">
        <v>0.36159259684410999</v>
      </c>
      <c r="EO41" s="2">
        <v>17780</v>
      </c>
      <c r="EP41" s="2">
        <v>17530</v>
      </c>
      <c r="EQ41" s="2">
        <v>18876</v>
      </c>
      <c r="ER41" s="2">
        <v>19372</v>
      </c>
      <c r="ES41" s="2">
        <v>18434</v>
      </c>
      <c r="ET41" s="2">
        <v>15421</v>
      </c>
      <c r="EU41" s="2">
        <v>14881</v>
      </c>
      <c r="EV41" s="2">
        <v>15054</v>
      </c>
      <c r="EW41" s="2">
        <v>11459</v>
      </c>
      <c r="EX41" s="2">
        <v>15748</v>
      </c>
      <c r="EY41" s="2">
        <v>15988</v>
      </c>
      <c r="EZ41" s="2">
        <v>16585</v>
      </c>
      <c r="FA41" s="2">
        <v>17582</v>
      </c>
      <c r="FB41" s="2">
        <v>16881</v>
      </c>
      <c r="FC41" s="2">
        <v>13888</v>
      </c>
      <c r="FD41" s="2">
        <v>13526</v>
      </c>
      <c r="FE41" s="2">
        <v>13453</v>
      </c>
      <c r="FF41" s="2">
        <v>8295</v>
      </c>
      <c r="FG41">
        <f t="shared" si="9"/>
        <v>280753</v>
      </c>
      <c r="FI41">
        <v>-12.545230558207001</v>
      </c>
      <c r="FJ41" s="2">
        <v>12.330491393844166</v>
      </c>
      <c r="FK41">
        <v>80.675184236677794</v>
      </c>
      <c r="FM41">
        <v>80.675184236677794</v>
      </c>
    </row>
    <row r="42" spans="1:169">
      <c r="A42" s="1" t="s">
        <v>0</v>
      </c>
      <c r="B42" s="1" t="s">
        <v>80</v>
      </c>
      <c r="C42" s="1" t="s">
        <v>2</v>
      </c>
      <c r="D42" s="1" t="s">
        <v>81</v>
      </c>
      <c r="E42" s="2">
        <v>2363</v>
      </c>
      <c r="F42" s="2">
        <v>1752</v>
      </c>
      <c r="G42" s="2">
        <v>1846</v>
      </c>
      <c r="H42" s="2">
        <v>2547</v>
      </c>
      <c r="I42" s="2">
        <v>723</v>
      </c>
      <c r="J42" s="2">
        <v>2482</v>
      </c>
      <c r="K42" s="4">
        <v>0.05</v>
      </c>
      <c r="L42" s="4">
        <v>0.1</v>
      </c>
      <c r="M42" s="4">
        <v>0.15</v>
      </c>
      <c r="N42" s="4">
        <v>0.2</v>
      </c>
      <c r="O42" s="4">
        <v>0.2</v>
      </c>
      <c r="P42" s="4">
        <v>0.3</v>
      </c>
      <c r="Q42" s="4">
        <f t="shared" si="0"/>
        <v>1968.85</v>
      </c>
      <c r="R42" s="4">
        <v>1968.85</v>
      </c>
      <c r="T42" s="2">
        <v>0.94590909090909092</v>
      </c>
      <c r="U42" s="2">
        <v>0.25</v>
      </c>
      <c r="V42">
        <f>(442.086648983201)/180</f>
        <v>2.456036938795561</v>
      </c>
      <c r="W42">
        <f>(178372)/400000</f>
        <v>0.44592999999999999</v>
      </c>
      <c r="X42">
        <v>0.3</v>
      </c>
      <c r="Y42">
        <v>-0.1</v>
      </c>
      <c r="Z42">
        <v>0.4</v>
      </c>
      <c r="AA42">
        <v>0.4</v>
      </c>
      <c r="AB42">
        <f t="shared" si="1"/>
        <v>1.4195595027909516</v>
      </c>
      <c r="AC42">
        <v>3690.8547072564702</v>
      </c>
      <c r="AG42" s="2">
        <v>2468</v>
      </c>
      <c r="AH42" s="2">
        <v>174</v>
      </c>
      <c r="AI42">
        <v>381</v>
      </c>
      <c r="AJ42">
        <v>902.25</v>
      </c>
      <c r="AK42">
        <v>0.2</v>
      </c>
      <c r="AL42">
        <v>0.2</v>
      </c>
      <c r="AM42">
        <v>0.3</v>
      </c>
      <c r="AN42">
        <v>0.3</v>
      </c>
      <c r="AO42">
        <v>1070.6830477908031</v>
      </c>
      <c r="AP42">
        <v>913.375</v>
      </c>
      <c r="AR42">
        <v>85936</v>
      </c>
      <c r="AS42">
        <v>14343.1</v>
      </c>
      <c r="AT42">
        <v>4114</v>
      </c>
      <c r="AU42">
        <v>0.3</v>
      </c>
      <c r="AV42">
        <v>0.4</v>
      </c>
      <c r="AW42">
        <v>0.3</v>
      </c>
      <c r="AX42">
        <f t="shared" si="2"/>
        <v>32752.240000000002</v>
      </c>
      <c r="AY42">
        <v>886.55961354266549</v>
      </c>
      <c r="BB42">
        <v>137</v>
      </c>
      <c r="BC42">
        <v>1026.7</v>
      </c>
      <c r="BD42" s="2">
        <v>328</v>
      </c>
      <c r="BE42" s="4">
        <v>0.4</v>
      </c>
      <c r="BF42" s="4">
        <v>0.3</v>
      </c>
      <c r="BG42" s="4">
        <v>0.3</v>
      </c>
      <c r="BH42">
        <f t="shared" si="3"/>
        <v>461.21</v>
      </c>
      <c r="BI42">
        <v>936.83281250000005</v>
      </c>
      <c r="BN42">
        <v>99.610746001460399</v>
      </c>
      <c r="BO42">
        <v>79.049977655294001</v>
      </c>
      <c r="BW42" s="2">
        <v>32561</v>
      </c>
      <c r="BX42" s="2">
        <v>15224</v>
      </c>
      <c r="BY42" s="2">
        <v>11</v>
      </c>
      <c r="BZ42" s="2">
        <v>27</v>
      </c>
      <c r="CA42" s="3">
        <v>0.3</v>
      </c>
      <c r="CB42" s="3">
        <v>0.3</v>
      </c>
      <c r="CC42" s="3">
        <v>0.2</v>
      </c>
      <c r="CD42" s="3">
        <v>0.2</v>
      </c>
      <c r="CE42">
        <f t="shared" si="4"/>
        <v>14343.1</v>
      </c>
      <c r="CJ42">
        <v>6448</v>
      </c>
      <c r="CM42">
        <v>4487</v>
      </c>
      <c r="CN42" s="2">
        <v>148732</v>
      </c>
      <c r="CS42">
        <v>450</v>
      </c>
      <c r="CT42">
        <v>583</v>
      </c>
      <c r="CU42">
        <v>1532</v>
      </c>
      <c r="CV42">
        <v>1215</v>
      </c>
      <c r="CW42">
        <v>22</v>
      </c>
      <c r="CX42">
        <v>0.5</v>
      </c>
      <c r="CY42">
        <v>0.1</v>
      </c>
      <c r="CZ42">
        <v>0.2</v>
      </c>
      <c r="DA42">
        <v>0.25</v>
      </c>
      <c r="DB42">
        <v>0.4</v>
      </c>
      <c r="DC42">
        <f t="shared" si="5"/>
        <v>902.25</v>
      </c>
      <c r="DE42" s="2">
        <v>602</v>
      </c>
      <c r="DF42" s="2">
        <v>44</v>
      </c>
      <c r="DG42" s="4">
        <v>0.6</v>
      </c>
      <c r="DH42" s="4">
        <v>0.4</v>
      </c>
      <c r="DI42" s="4">
        <f t="shared" si="6"/>
        <v>378.8</v>
      </c>
      <c r="DK42" s="2">
        <v>396</v>
      </c>
      <c r="DL42" s="2">
        <v>130</v>
      </c>
      <c r="DM42" s="5">
        <v>0.6</v>
      </c>
      <c r="DN42" s="5">
        <v>0.4</v>
      </c>
      <c r="DO42">
        <f t="shared" si="7"/>
        <v>289.60000000000002</v>
      </c>
      <c r="DR42" s="2">
        <v>1043</v>
      </c>
      <c r="DS42" s="2">
        <v>332</v>
      </c>
      <c r="DT42">
        <v>0.35</v>
      </c>
      <c r="DU42">
        <v>0.65</v>
      </c>
      <c r="DV42">
        <f t="shared" si="8"/>
        <v>580.84999999999991</v>
      </c>
      <c r="EB42">
        <v>661</v>
      </c>
      <c r="ED42">
        <v>6.4937538398516859</v>
      </c>
      <c r="EE42">
        <v>-12.042447221740399</v>
      </c>
      <c r="EF42">
        <v>5.5486933818887136</v>
      </c>
      <c r="EG42">
        <v>0.389253998539552</v>
      </c>
      <c r="EJ42">
        <v>0.389253998539552</v>
      </c>
      <c r="EO42" s="2">
        <v>14248</v>
      </c>
      <c r="EP42" s="2">
        <v>13872</v>
      </c>
      <c r="EQ42" s="2">
        <v>15096</v>
      </c>
      <c r="ER42" s="2">
        <v>14230</v>
      </c>
      <c r="ES42" s="2">
        <v>13572</v>
      </c>
      <c r="ET42" s="2">
        <v>11116</v>
      </c>
      <c r="EU42" s="2">
        <v>10724</v>
      </c>
      <c r="EV42" s="2">
        <v>10981</v>
      </c>
      <c r="EW42" s="2">
        <v>9571</v>
      </c>
      <c r="EX42" s="2">
        <v>12462</v>
      </c>
      <c r="EY42" s="2">
        <v>12327</v>
      </c>
      <c r="EZ42" s="2">
        <v>12983</v>
      </c>
      <c r="FA42" s="2">
        <v>12799</v>
      </c>
      <c r="FB42" s="2">
        <v>12209</v>
      </c>
      <c r="FC42" s="2">
        <v>10164</v>
      </c>
      <c r="FD42" s="2">
        <v>10206</v>
      </c>
      <c r="FE42" s="2">
        <v>10238</v>
      </c>
      <c r="FF42" s="2">
        <v>8018</v>
      </c>
      <c r="FG42">
        <f t="shared" si="9"/>
        <v>214816</v>
      </c>
      <c r="FI42">
        <v>-12.277537126738499</v>
      </c>
      <c r="FJ42" s="2">
        <v>12.042447221740371</v>
      </c>
      <c r="FK42">
        <v>79.049977655294001</v>
      </c>
      <c r="FM42">
        <v>79.049977655294001</v>
      </c>
    </row>
    <row r="43" spans="1:169">
      <c r="A43" s="1" t="s">
        <v>0</v>
      </c>
      <c r="B43" s="1" t="s">
        <v>82</v>
      </c>
      <c r="C43" s="1" t="s">
        <v>2</v>
      </c>
      <c r="D43" s="1" t="s">
        <v>83</v>
      </c>
      <c r="E43" s="2">
        <v>1629</v>
      </c>
      <c r="F43" s="2">
        <v>1494</v>
      </c>
      <c r="G43" s="2">
        <v>1012</v>
      </c>
      <c r="H43" s="2">
        <v>1680</v>
      </c>
      <c r="I43" s="2">
        <v>663</v>
      </c>
      <c r="J43" s="2">
        <v>1728</v>
      </c>
      <c r="K43" s="4">
        <v>0.05</v>
      </c>
      <c r="L43" s="4">
        <v>0.1</v>
      </c>
      <c r="M43" s="4">
        <v>0.15</v>
      </c>
      <c r="N43" s="4">
        <v>0.2</v>
      </c>
      <c r="O43" s="4">
        <v>0.2</v>
      </c>
      <c r="P43" s="4">
        <v>0.3</v>
      </c>
      <c r="Q43" s="4">
        <f t="shared" si="0"/>
        <v>1369.65</v>
      </c>
      <c r="R43" s="4">
        <v>1369.65</v>
      </c>
      <c r="T43" s="2">
        <v>0.66909090909090907</v>
      </c>
      <c r="U43" s="2">
        <v>8.3333333333333329E-2</v>
      </c>
      <c r="V43">
        <f>(173.671413685307)/180</f>
        <v>0.96484118714059441</v>
      </c>
      <c r="W43">
        <f>(448600)/400000</f>
        <v>1.1214999999999999</v>
      </c>
      <c r="X43">
        <v>0.3</v>
      </c>
      <c r="Y43">
        <v>-0.1</v>
      </c>
      <c r="Z43">
        <v>0.4</v>
      </c>
      <c r="AA43">
        <v>0.4</v>
      </c>
      <c r="AB43">
        <f t="shared" si="1"/>
        <v>1.0269304142501772</v>
      </c>
      <c r="AC43">
        <v>2670.0190770504682</v>
      </c>
      <c r="AG43" s="2">
        <v>1575</v>
      </c>
      <c r="AH43" s="2">
        <v>112</v>
      </c>
      <c r="AI43">
        <v>731.4</v>
      </c>
      <c r="AJ43">
        <v>1773.5000000000002</v>
      </c>
      <c r="AK43">
        <v>0.2</v>
      </c>
      <c r="AL43">
        <v>0.2</v>
      </c>
      <c r="AM43">
        <v>0.3</v>
      </c>
      <c r="AN43">
        <v>0.3</v>
      </c>
      <c r="AO43">
        <v>1276.4030658250663</v>
      </c>
      <c r="AP43">
        <v>1088.8699999999999</v>
      </c>
      <c r="AR43">
        <v>186121</v>
      </c>
      <c r="AS43">
        <v>28146.499999999996</v>
      </c>
      <c r="AT43">
        <v>3168</v>
      </c>
      <c r="AU43">
        <v>0.3</v>
      </c>
      <c r="AV43">
        <v>0.4</v>
      </c>
      <c r="AW43">
        <v>0.3</v>
      </c>
      <c r="AX43">
        <f t="shared" si="2"/>
        <v>68045.299999999988</v>
      </c>
      <c r="AY43">
        <v>1841.8958480822898</v>
      </c>
      <c r="BB43">
        <v>1670</v>
      </c>
      <c r="BC43">
        <v>700.94999999999993</v>
      </c>
      <c r="BD43" s="2">
        <v>247</v>
      </c>
      <c r="BE43" s="4">
        <v>0.4</v>
      </c>
      <c r="BF43" s="4">
        <v>0.3</v>
      </c>
      <c r="BG43" s="4">
        <v>0.3</v>
      </c>
      <c r="BH43">
        <f t="shared" si="3"/>
        <v>952.38499999999999</v>
      </c>
      <c r="BI43">
        <v>1934.53203125</v>
      </c>
      <c r="BN43">
        <v>99.900492160395899</v>
      </c>
      <c r="BO43">
        <v>84.604401667831993</v>
      </c>
      <c r="BW43" s="2">
        <v>67092</v>
      </c>
      <c r="BX43" s="2">
        <v>26377</v>
      </c>
      <c r="BY43" s="2">
        <v>449</v>
      </c>
      <c r="BZ43" s="2">
        <v>80</v>
      </c>
      <c r="CA43" s="3">
        <v>0.3</v>
      </c>
      <c r="CB43" s="3">
        <v>0.3</v>
      </c>
      <c r="CC43" s="3">
        <v>0.2</v>
      </c>
      <c r="CD43" s="3">
        <v>0.2</v>
      </c>
      <c r="CE43">
        <f t="shared" si="4"/>
        <v>28146.499999999996</v>
      </c>
      <c r="CJ43">
        <v>12065</v>
      </c>
      <c r="CM43">
        <v>10010</v>
      </c>
      <c r="CN43" s="2">
        <v>323429</v>
      </c>
      <c r="CS43">
        <v>183</v>
      </c>
      <c r="CT43">
        <v>755</v>
      </c>
      <c r="CU43">
        <v>3514</v>
      </c>
      <c r="CV43">
        <v>3426</v>
      </c>
      <c r="CW43">
        <v>118</v>
      </c>
      <c r="CX43">
        <v>0.5</v>
      </c>
      <c r="CY43">
        <v>0.1</v>
      </c>
      <c r="CZ43">
        <v>0.2</v>
      </c>
      <c r="DA43">
        <v>0.25</v>
      </c>
      <c r="DB43">
        <v>0.4</v>
      </c>
      <c r="DC43">
        <f t="shared" si="5"/>
        <v>1773.5000000000002</v>
      </c>
      <c r="DE43" s="2">
        <v>555</v>
      </c>
      <c r="DF43" s="2">
        <v>120</v>
      </c>
      <c r="DG43" s="4">
        <v>0.6</v>
      </c>
      <c r="DH43" s="4">
        <v>0.4</v>
      </c>
      <c r="DI43" s="4">
        <f t="shared" si="6"/>
        <v>381</v>
      </c>
      <c r="DK43" s="2">
        <v>293</v>
      </c>
      <c r="DL43" s="2">
        <v>126</v>
      </c>
      <c r="DM43" s="5">
        <v>0.6</v>
      </c>
      <c r="DN43" s="5">
        <v>0.4</v>
      </c>
      <c r="DO43">
        <f t="shared" si="7"/>
        <v>226.2</v>
      </c>
      <c r="DR43" s="2">
        <v>2068</v>
      </c>
      <c r="DS43" s="2">
        <v>466</v>
      </c>
      <c r="DT43">
        <v>0.35</v>
      </c>
      <c r="DU43">
        <v>0.65</v>
      </c>
      <c r="DV43">
        <f t="shared" si="8"/>
        <v>1026.7</v>
      </c>
      <c r="EB43">
        <v>148</v>
      </c>
      <c r="ED43">
        <v>4.9972122737641147</v>
      </c>
      <c r="EE43">
        <v>-11.9099013076824</v>
      </c>
      <c r="EF43">
        <v>6.9126890339182854</v>
      </c>
      <c r="EG43">
        <v>9.9507839604120407E-2</v>
      </c>
      <c r="EJ43">
        <v>9.9507839604120407E-2</v>
      </c>
      <c r="EO43" s="2">
        <v>10888</v>
      </c>
      <c r="EP43" s="2">
        <v>10643</v>
      </c>
      <c r="EQ43" s="2">
        <v>11671</v>
      </c>
      <c r="ER43" s="2">
        <v>11567</v>
      </c>
      <c r="ES43" s="2">
        <v>11345</v>
      </c>
      <c r="ET43" s="2">
        <v>9528</v>
      </c>
      <c r="EU43" s="2">
        <v>9607</v>
      </c>
      <c r="EV43" s="2">
        <v>9377</v>
      </c>
      <c r="EW43" s="2">
        <v>7093</v>
      </c>
      <c r="EX43" s="2">
        <v>9976</v>
      </c>
      <c r="EY43" s="2">
        <v>9902</v>
      </c>
      <c r="EZ43" s="2">
        <v>10568</v>
      </c>
      <c r="FA43" s="2">
        <v>10517</v>
      </c>
      <c r="FB43" s="2">
        <v>10507</v>
      </c>
      <c r="FC43" s="2">
        <v>8748</v>
      </c>
      <c r="FD43" s="2">
        <v>8985</v>
      </c>
      <c r="FE43" s="2">
        <v>8765</v>
      </c>
      <c r="FF43" s="2">
        <v>6110</v>
      </c>
      <c r="FG43">
        <f t="shared" si="9"/>
        <v>175797</v>
      </c>
      <c r="FI43">
        <v>-12.0770851992412</v>
      </c>
      <c r="FJ43" s="2">
        <v>11.909901307682407</v>
      </c>
      <c r="FK43">
        <v>84.604401667831993</v>
      </c>
      <c r="FM43">
        <v>84.604401667831993</v>
      </c>
    </row>
    <row r="44" spans="1:169">
      <c r="A44" s="1" t="s">
        <v>0</v>
      </c>
      <c r="B44" s="1" t="s">
        <v>84</v>
      </c>
      <c r="C44" s="1" t="s">
        <v>2</v>
      </c>
      <c r="D44" s="1" t="s">
        <v>85</v>
      </c>
      <c r="E44" s="2">
        <v>3754</v>
      </c>
      <c r="F44" s="2">
        <v>2573</v>
      </c>
      <c r="G44" s="2">
        <v>2673</v>
      </c>
      <c r="H44" s="2">
        <v>3838</v>
      </c>
      <c r="I44" s="2">
        <v>1071</v>
      </c>
      <c r="J44" s="2">
        <v>3943</v>
      </c>
      <c r="K44" s="4">
        <v>0.05</v>
      </c>
      <c r="L44" s="4">
        <v>0.1</v>
      </c>
      <c r="M44" s="4">
        <v>0.15</v>
      </c>
      <c r="N44" s="4">
        <v>0.2</v>
      </c>
      <c r="O44" s="4">
        <v>0.2</v>
      </c>
      <c r="P44" s="4">
        <v>0.3</v>
      </c>
      <c r="Q44" s="4">
        <f t="shared" si="0"/>
        <v>3010.65</v>
      </c>
      <c r="R44" s="4">
        <v>3010.65</v>
      </c>
      <c r="T44" s="2">
        <v>1.2113636363636364</v>
      </c>
      <c r="U44" s="2">
        <v>0.70833333333333337</v>
      </c>
      <c r="V44">
        <f>(368.459837877671)/180</f>
        <v>2.0469990993203946</v>
      </c>
      <c r="W44">
        <f>(282870)/400000</f>
        <v>0.707175</v>
      </c>
      <c r="X44">
        <v>0.3</v>
      </c>
      <c r="Y44">
        <v>-0.1</v>
      </c>
      <c r="Z44">
        <v>0.4</v>
      </c>
      <c r="AA44">
        <v>0.4</v>
      </c>
      <c r="AB44">
        <f t="shared" si="1"/>
        <v>1.3942453973039153</v>
      </c>
      <c r="AC44">
        <v>3625.0380329901918</v>
      </c>
      <c r="AG44" s="2">
        <v>3349</v>
      </c>
      <c r="AH44" s="2">
        <v>126</v>
      </c>
      <c r="AI44">
        <v>531.59999999999991</v>
      </c>
      <c r="AJ44">
        <v>1199.3000000000002</v>
      </c>
      <c r="AK44">
        <v>0.2</v>
      </c>
      <c r="AL44">
        <v>0.2</v>
      </c>
      <c r="AM44">
        <v>0.3</v>
      </c>
      <c r="AN44">
        <v>0.3</v>
      </c>
      <c r="AO44">
        <v>1423.4003606853028</v>
      </c>
      <c r="AP44">
        <v>1214.27</v>
      </c>
      <c r="AR44">
        <v>120198</v>
      </c>
      <c r="AS44">
        <v>21477.899999999998</v>
      </c>
      <c r="AT44">
        <v>2085</v>
      </c>
      <c r="AU44">
        <v>0.3</v>
      </c>
      <c r="AV44">
        <v>0.4</v>
      </c>
      <c r="AW44">
        <v>0.3</v>
      </c>
      <c r="AX44">
        <f t="shared" si="2"/>
        <v>45276.06</v>
      </c>
      <c r="AY44">
        <v>1225.5627784949822</v>
      </c>
      <c r="BB44">
        <v>775</v>
      </c>
      <c r="BC44">
        <v>1758.65</v>
      </c>
      <c r="BD44" s="2">
        <v>894</v>
      </c>
      <c r="BE44" s="4">
        <v>0.4</v>
      </c>
      <c r="BF44" s="4">
        <v>0.3</v>
      </c>
      <c r="BG44" s="4">
        <v>0.3</v>
      </c>
      <c r="BH44">
        <f t="shared" si="3"/>
        <v>1105.7950000000001</v>
      </c>
      <c r="BI44">
        <v>2246.1460937500001</v>
      </c>
      <c r="BN44">
        <v>99.4626332208924</v>
      </c>
      <c r="BO44">
        <v>83.206373952614399</v>
      </c>
      <c r="BW44" s="2">
        <v>50792</v>
      </c>
      <c r="BX44" s="2">
        <v>20801</v>
      </c>
      <c r="BY44" s="2">
        <v>0</v>
      </c>
      <c r="BZ44" s="2">
        <v>0</v>
      </c>
      <c r="CA44" s="3">
        <v>0.3</v>
      </c>
      <c r="CB44" s="3">
        <v>0.3</v>
      </c>
      <c r="CC44" s="3">
        <v>0.2</v>
      </c>
      <c r="CD44" s="3">
        <v>0.2</v>
      </c>
      <c r="CE44">
        <f t="shared" si="4"/>
        <v>21477.899999999998</v>
      </c>
      <c r="CJ44">
        <v>8213</v>
      </c>
      <c r="CM44">
        <v>6274</v>
      </c>
      <c r="CN44" s="2">
        <v>203200</v>
      </c>
      <c r="CS44">
        <v>80</v>
      </c>
      <c r="CT44">
        <v>337</v>
      </c>
      <c r="CU44">
        <v>2893</v>
      </c>
      <c r="CV44">
        <v>2052</v>
      </c>
      <c r="CW44">
        <v>85</v>
      </c>
      <c r="CX44">
        <v>0.5</v>
      </c>
      <c r="CY44">
        <v>0.1</v>
      </c>
      <c r="CZ44">
        <v>0.2</v>
      </c>
      <c r="DA44">
        <v>0.25</v>
      </c>
      <c r="DB44">
        <v>0.4</v>
      </c>
      <c r="DC44">
        <f t="shared" si="5"/>
        <v>1199.3000000000002</v>
      </c>
      <c r="DE44" s="2">
        <v>1045</v>
      </c>
      <c r="DF44" s="2">
        <v>261</v>
      </c>
      <c r="DG44" s="4">
        <v>0.6</v>
      </c>
      <c r="DH44" s="4">
        <v>0.4</v>
      </c>
      <c r="DI44" s="4">
        <f t="shared" si="6"/>
        <v>731.4</v>
      </c>
      <c r="DK44" s="2">
        <v>775</v>
      </c>
      <c r="DL44" s="2">
        <v>277</v>
      </c>
      <c r="DM44" s="5">
        <v>0.6</v>
      </c>
      <c r="DN44" s="5">
        <v>0.4</v>
      </c>
      <c r="DO44">
        <f t="shared" si="7"/>
        <v>575.79999999999995</v>
      </c>
      <c r="DR44" s="2">
        <v>1453</v>
      </c>
      <c r="DS44" s="2">
        <v>296</v>
      </c>
      <c r="DT44">
        <v>0.35</v>
      </c>
      <c r="DU44">
        <v>0.65</v>
      </c>
      <c r="DV44">
        <f t="shared" si="8"/>
        <v>700.94999999999993</v>
      </c>
      <c r="EB44">
        <v>1738</v>
      </c>
      <c r="ED44">
        <v>7.4604903058253376</v>
      </c>
      <c r="EE44">
        <v>-12.6867348943374</v>
      </c>
      <c r="EF44">
        <v>5.2262445885120625</v>
      </c>
      <c r="EG44">
        <v>0.537366779107604</v>
      </c>
      <c r="EJ44">
        <v>0.537366779107604</v>
      </c>
      <c r="EO44" s="2">
        <v>25200</v>
      </c>
      <c r="EP44" s="2">
        <v>25139</v>
      </c>
      <c r="EQ44" s="2">
        <v>29425</v>
      </c>
      <c r="ER44" s="2">
        <v>27673</v>
      </c>
      <c r="ES44" s="2">
        <v>25750</v>
      </c>
      <c r="ET44" s="2">
        <v>18981</v>
      </c>
      <c r="EU44" s="2">
        <v>18613</v>
      </c>
      <c r="EV44" s="2">
        <v>19463</v>
      </c>
      <c r="EW44" s="2">
        <v>13663</v>
      </c>
      <c r="EX44" s="2">
        <v>22447</v>
      </c>
      <c r="EY44" s="2">
        <v>22717</v>
      </c>
      <c r="EZ44" s="2">
        <v>26044</v>
      </c>
      <c r="FA44" s="2">
        <v>24686</v>
      </c>
      <c r="FB44" s="2">
        <v>22853</v>
      </c>
      <c r="FC44" s="2">
        <v>17816</v>
      </c>
      <c r="FD44" s="2">
        <v>17748</v>
      </c>
      <c r="FE44" s="2">
        <v>18612</v>
      </c>
      <c r="FF44" s="2">
        <v>11877</v>
      </c>
      <c r="FG44">
        <f t="shared" si="9"/>
        <v>388707</v>
      </c>
      <c r="FI44">
        <v>-12.8705811254253</v>
      </c>
      <c r="FJ44" s="2">
        <v>12.686734894337359</v>
      </c>
      <c r="FK44">
        <v>83.206373952614399</v>
      </c>
      <c r="FM44">
        <v>83.206373952614399</v>
      </c>
    </row>
    <row r="45" spans="1:169">
      <c r="A45" s="1" t="s">
        <v>0</v>
      </c>
      <c r="B45" s="1" t="s">
        <v>86</v>
      </c>
      <c r="C45" s="1" t="s">
        <v>2</v>
      </c>
      <c r="D45" s="1" t="s">
        <v>87</v>
      </c>
      <c r="E45" s="2">
        <v>4256</v>
      </c>
      <c r="F45" s="2">
        <v>2203</v>
      </c>
      <c r="G45" s="2">
        <v>1990</v>
      </c>
      <c r="H45" s="2">
        <v>4485</v>
      </c>
      <c r="I45" s="2">
        <v>1326</v>
      </c>
      <c r="J45" s="2">
        <v>4530</v>
      </c>
      <c r="K45" s="4">
        <v>0.05</v>
      </c>
      <c r="L45" s="4">
        <v>0.1</v>
      </c>
      <c r="M45" s="4">
        <v>0.15</v>
      </c>
      <c r="N45" s="4">
        <v>0.2</v>
      </c>
      <c r="O45" s="4">
        <v>0.2</v>
      </c>
      <c r="P45" s="4">
        <v>0.3</v>
      </c>
      <c r="Q45" s="4">
        <f t="shared" si="0"/>
        <v>3252.8</v>
      </c>
      <c r="R45" s="4">
        <v>3252.8</v>
      </c>
      <c r="T45" s="2">
        <v>1.3063636363636364</v>
      </c>
      <c r="U45" s="2">
        <v>0.79166666666666663</v>
      </c>
      <c r="V45">
        <f>(174.459176552687)/180</f>
        <v>0.96921764751492789</v>
      </c>
      <c r="W45">
        <f>(410207)/400000</f>
        <v>1.0255175000000001</v>
      </c>
      <c r="X45">
        <v>0.3</v>
      </c>
      <c r="Y45">
        <v>-0.1</v>
      </c>
      <c r="Z45">
        <v>0.4</v>
      </c>
      <c r="AA45">
        <v>0.4</v>
      </c>
      <c r="AB45">
        <f t="shared" si="1"/>
        <v>1.1106364832483955</v>
      </c>
      <c r="AC45">
        <v>2887.6548564458399</v>
      </c>
      <c r="AG45" s="2">
        <v>1771</v>
      </c>
      <c r="AH45" s="2">
        <v>866</v>
      </c>
      <c r="AI45">
        <v>738.59999999999991</v>
      </c>
      <c r="AJ45">
        <v>3110.65</v>
      </c>
      <c r="AK45">
        <v>0.2</v>
      </c>
      <c r="AL45">
        <v>0.2</v>
      </c>
      <c r="AM45">
        <v>0.3</v>
      </c>
      <c r="AN45">
        <v>0.3</v>
      </c>
      <c r="AO45">
        <v>1971.8913435527513</v>
      </c>
      <c r="AP45">
        <v>1682.175</v>
      </c>
      <c r="AR45">
        <v>229495</v>
      </c>
      <c r="AS45">
        <v>42893.499999999993</v>
      </c>
      <c r="AT45">
        <v>3449</v>
      </c>
      <c r="AU45">
        <v>0.3</v>
      </c>
      <c r="AV45">
        <v>0.4</v>
      </c>
      <c r="AW45">
        <v>0.3</v>
      </c>
      <c r="AX45">
        <f t="shared" si="2"/>
        <v>87040.599999999991</v>
      </c>
      <c r="AY45">
        <v>2356.073376920835</v>
      </c>
      <c r="BB45">
        <v>4307</v>
      </c>
      <c r="BC45">
        <v>2073.6</v>
      </c>
      <c r="BD45" s="2">
        <v>780</v>
      </c>
      <c r="BE45" s="4">
        <v>0.4</v>
      </c>
      <c r="BF45" s="4">
        <v>0.3</v>
      </c>
      <c r="BG45" s="4">
        <v>0.3</v>
      </c>
      <c r="BH45">
        <f t="shared" si="3"/>
        <v>2578.88</v>
      </c>
      <c r="BI45">
        <v>5238.3499999999995</v>
      </c>
      <c r="BN45">
        <v>99.599409448818903</v>
      </c>
      <c r="BO45">
        <v>82.320198022205105</v>
      </c>
      <c r="BW45" s="2">
        <v>100918</v>
      </c>
      <c r="BX45" s="2">
        <v>41145</v>
      </c>
      <c r="BY45" s="2">
        <v>971</v>
      </c>
      <c r="BZ45" s="2">
        <v>402</v>
      </c>
      <c r="CA45" s="3">
        <v>0.3</v>
      </c>
      <c r="CB45" s="3">
        <v>0.3</v>
      </c>
      <c r="CC45" s="3">
        <v>0.2</v>
      </c>
      <c r="CD45" s="3">
        <v>0.2</v>
      </c>
      <c r="CE45">
        <f t="shared" si="4"/>
        <v>42893.499999999993</v>
      </c>
      <c r="CJ45">
        <v>18111</v>
      </c>
      <c r="CM45">
        <v>16152</v>
      </c>
      <c r="CN45" s="2">
        <v>363595</v>
      </c>
      <c r="CS45">
        <v>486</v>
      </c>
      <c r="CT45">
        <v>1264</v>
      </c>
      <c r="CU45">
        <v>6882</v>
      </c>
      <c r="CV45">
        <v>5109</v>
      </c>
      <c r="CW45">
        <v>219</v>
      </c>
      <c r="CX45">
        <v>0.5</v>
      </c>
      <c r="CY45">
        <v>0.1</v>
      </c>
      <c r="CZ45">
        <v>0.2</v>
      </c>
      <c r="DA45">
        <v>0.25</v>
      </c>
      <c r="DB45">
        <v>0.4</v>
      </c>
      <c r="DC45">
        <f t="shared" si="5"/>
        <v>3110.65</v>
      </c>
      <c r="DE45" s="2">
        <v>818</v>
      </c>
      <c r="DF45" s="2">
        <v>102</v>
      </c>
      <c r="DG45" s="4">
        <v>0.6</v>
      </c>
      <c r="DH45" s="4">
        <v>0.4</v>
      </c>
      <c r="DI45" s="4">
        <f t="shared" si="6"/>
        <v>531.59999999999991</v>
      </c>
      <c r="DK45" s="2">
        <v>363</v>
      </c>
      <c r="DL45" s="2">
        <v>134</v>
      </c>
      <c r="DM45" s="5">
        <v>0.6</v>
      </c>
      <c r="DN45" s="5">
        <v>0.4</v>
      </c>
      <c r="DO45">
        <f t="shared" si="7"/>
        <v>271.39999999999998</v>
      </c>
      <c r="DR45" s="2">
        <v>2681</v>
      </c>
      <c r="DS45" s="2">
        <v>1262</v>
      </c>
      <c r="DT45">
        <v>0.35</v>
      </c>
      <c r="DU45">
        <v>0.65</v>
      </c>
      <c r="DV45">
        <f t="shared" si="8"/>
        <v>1758.65</v>
      </c>
      <c r="EB45">
        <v>814</v>
      </c>
      <c r="ED45">
        <v>6.70196036600254</v>
      </c>
      <c r="EE45">
        <v>-12.2219459946865</v>
      </c>
      <c r="EF45">
        <v>5.5199856286839601</v>
      </c>
      <c r="EG45">
        <v>0.40059055118108799</v>
      </c>
      <c r="EJ45">
        <v>0.40059055118108799</v>
      </c>
      <c r="EO45" s="2">
        <v>16042</v>
      </c>
      <c r="EP45" s="2">
        <v>15981</v>
      </c>
      <c r="EQ45" s="2">
        <v>17649</v>
      </c>
      <c r="ER45" s="2">
        <v>16783</v>
      </c>
      <c r="ES45" s="2">
        <v>15527</v>
      </c>
      <c r="ET45" s="2">
        <v>12639</v>
      </c>
      <c r="EU45" s="2">
        <v>12459</v>
      </c>
      <c r="EV45" s="2">
        <v>12495</v>
      </c>
      <c r="EW45" s="2">
        <v>7965</v>
      </c>
      <c r="EX45" s="2">
        <v>14666</v>
      </c>
      <c r="EY45" s="2">
        <v>14727</v>
      </c>
      <c r="EZ45" s="2">
        <v>16499</v>
      </c>
      <c r="FA45" s="2">
        <v>15874</v>
      </c>
      <c r="FB45" s="2">
        <v>14364</v>
      </c>
      <c r="FC45" s="2">
        <v>12146</v>
      </c>
      <c r="FD45" s="2">
        <v>12005</v>
      </c>
      <c r="FE45" s="2">
        <v>12147</v>
      </c>
      <c r="FF45" s="2">
        <v>6873</v>
      </c>
      <c r="FG45">
        <f t="shared" si="9"/>
        <v>246841</v>
      </c>
      <c r="FI45">
        <v>-12.4164996836341</v>
      </c>
      <c r="FJ45" s="2">
        <v>12.221945994686465</v>
      </c>
      <c r="FK45">
        <v>82.320198022205105</v>
      </c>
      <c r="FM45">
        <v>82.320198022205105</v>
      </c>
    </row>
    <row r="46" spans="1:169">
      <c r="A46" s="1" t="s">
        <v>0</v>
      </c>
      <c r="B46" s="1" t="s">
        <v>88</v>
      </c>
      <c r="C46" s="1" t="s">
        <v>2</v>
      </c>
      <c r="D46" s="1" t="s">
        <v>89</v>
      </c>
      <c r="E46" s="2">
        <v>1963</v>
      </c>
      <c r="F46" s="2">
        <v>1573</v>
      </c>
      <c r="G46" s="2">
        <v>1783</v>
      </c>
      <c r="H46" s="2">
        <v>1926</v>
      </c>
      <c r="I46" s="2">
        <v>989</v>
      </c>
      <c r="J46" s="2">
        <v>1995</v>
      </c>
      <c r="K46" s="4">
        <v>0.05</v>
      </c>
      <c r="L46" s="4">
        <v>0.1</v>
      </c>
      <c r="M46" s="4">
        <v>0.15</v>
      </c>
      <c r="N46" s="4">
        <v>0.2</v>
      </c>
      <c r="O46" s="4">
        <v>0.2</v>
      </c>
      <c r="P46" s="4">
        <v>0.3</v>
      </c>
      <c r="Q46" s="4">
        <f t="shared" si="0"/>
        <v>1704.4</v>
      </c>
      <c r="R46" s="4">
        <v>1704.4</v>
      </c>
      <c r="T46" s="2">
        <v>0.65136363636363637</v>
      </c>
      <c r="U46" s="2">
        <v>0.29166666666666669</v>
      </c>
      <c r="V46">
        <f>(109.409190371991)/180</f>
        <v>0.60782883539995003</v>
      </c>
      <c r="W46">
        <f>(126409)/400000</f>
        <v>0.31602249999999998</v>
      </c>
      <c r="X46">
        <v>0.3</v>
      </c>
      <c r="Y46">
        <v>-0.1</v>
      </c>
      <c r="Z46">
        <v>0.4</v>
      </c>
      <c r="AA46">
        <v>0.4</v>
      </c>
      <c r="AB46">
        <f t="shared" si="1"/>
        <v>0.5357829584024042</v>
      </c>
      <c r="AC46">
        <v>1393.0356918462503</v>
      </c>
      <c r="AG46" s="2">
        <v>6072</v>
      </c>
      <c r="AH46" s="2">
        <v>79</v>
      </c>
      <c r="AI46">
        <v>1387</v>
      </c>
      <c r="AJ46">
        <v>2749.2</v>
      </c>
      <c r="AK46">
        <v>0.2</v>
      </c>
      <c r="AL46">
        <v>0.2</v>
      </c>
      <c r="AM46">
        <v>0.3</v>
      </c>
      <c r="AN46">
        <v>0.3</v>
      </c>
      <c r="AO46">
        <v>2896.643823264204</v>
      </c>
      <c r="AP46">
        <v>2471.06</v>
      </c>
      <c r="AR46">
        <v>408176</v>
      </c>
      <c r="AS46">
        <v>55424.2</v>
      </c>
      <c r="AT46">
        <v>6134</v>
      </c>
      <c r="AU46">
        <v>0.3</v>
      </c>
      <c r="AV46">
        <v>0.4</v>
      </c>
      <c r="AW46">
        <v>0.3</v>
      </c>
      <c r="AX46">
        <f t="shared" si="2"/>
        <v>146462.68</v>
      </c>
      <c r="AY46">
        <v>3964.5501186857018</v>
      </c>
      <c r="BB46">
        <v>222</v>
      </c>
      <c r="BC46">
        <v>852.9</v>
      </c>
      <c r="BD46" s="2">
        <v>344</v>
      </c>
      <c r="BE46" s="4">
        <v>0.4</v>
      </c>
      <c r="BF46" s="4">
        <v>0.3</v>
      </c>
      <c r="BG46" s="4">
        <v>0.3</v>
      </c>
      <c r="BH46">
        <f t="shared" si="3"/>
        <v>447.86999999999995</v>
      </c>
      <c r="BI46">
        <v>909.73593749999998</v>
      </c>
      <c r="BN46">
        <v>98.636669921203605</v>
      </c>
      <c r="BO46">
        <v>78.457202906149405</v>
      </c>
      <c r="BW46" s="2">
        <v>122822</v>
      </c>
      <c r="BX46" s="2">
        <v>61034</v>
      </c>
      <c r="BY46" s="2">
        <v>1091</v>
      </c>
      <c r="BZ46" s="2">
        <v>246</v>
      </c>
      <c r="CA46" s="3">
        <v>0.3</v>
      </c>
      <c r="CB46" s="3">
        <v>0.3</v>
      </c>
      <c r="CC46" s="3">
        <v>0.2</v>
      </c>
      <c r="CD46" s="3">
        <v>0.2</v>
      </c>
      <c r="CE46">
        <f t="shared" si="4"/>
        <v>55424.2</v>
      </c>
      <c r="CJ46">
        <v>21257</v>
      </c>
      <c r="CM46">
        <v>15426</v>
      </c>
      <c r="CN46" s="2">
        <v>689257</v>
      </c>
      <c r="CS46">
        <v>118</v>
      </c>
      <c r="CT46">
        <v>1441</v>
      </c>
      <c r="CU46">
        <v>6277</v>
      </c>
      <c r="CV46">
        <v>5022</v>
      </c>
      <c r="CW46">
        <v>88</v>
      </c>
      <c r="CX46">
        <v>0.5</v>
      </c>
      <c r="CY46">
        <v>0.1</v>
      </c>
      <c r="CZ46">
        <v>0.2</v>
      </c>
      <c r="DA46">
        <v>0.25</v>
      </c>
      <c r="DB46">
        <v>0.4</v>
      </c>
      <c r="DC46">
        <f t="shared" si="5"/>
        <v>2749.2</v>
      </c>
      <c r="DE46" s="2">
        <v>1087</v>
      </c>
      <c r="DF46" s="2">
        <v>216</v>
      </c>
      <c r="DG46" s="4">
        <v>0.6</v>
      </c>
      <c r="DH46" s="4">
        <v>0.4</v>
      </c>
      <c r="DI46" s="4">
        <f t="shared" si="6"/>
        <v>738.59999999999991</v>
      </c>
      <c r="DK46" s="2">
        <v>768</v>
      </c>
      <c r="DL46" s="2">
        <v>281</v>
      </c>
      <c r="DM46" s="5">
        <v>0.6</v>
      </c>
      <c r="DN46" s="5">
        <v>0.4</v>
      </c>
      <c r="DO46">
        <f t="shared" si="7"/>
        <v>573.19999999999993</v>
      </c>
      <c r="DR46" s="2">
        <v>2786</v>
      </c>
      <c r="DS46" s="2">
        <v>1690</v>
      </c>
      <c r="DT46">
        <v>0.35</v>
      </c>
      <c r="DU46">
        <v>0.65</v>
      </c>
      <c r="DV46">
        <f t="shared" si="8"/>
        <v>2073.6</v>
      </c>
      <c r="EB46">
        <v>4957</v>
      </c>
      <c r="ED46">
        <v>8.5085559980205741</v>
      </c>
      <c r="EE46">
        <v>-12.803795889815801</v>
      </c>
      <c r="EF46">
        <v>4.2952398917952266</v>
      </c>
      <c r="EG46">
        <v>1.36333007879642</v>
      </c>
      <c r="EJ46">
        <v>1.36333007879642</v>
      </c>
      <c r="EO46" s="2">
        <v>31559</v>
      </c>
      <c r="EP46" s="2">
        <v>30846</v>
      </c>
      <c r="EQ46" s="2">
        <v>31620</v>
      </c>
      <c r="ER46" s="2">
        <v>29699</v>
      </c>
      <c r="ES46" s="2">
        <v>26309</v>
      </c>
      <c r="ET46" s="2">
        <v>22148</v>
      </c>
      <c r="EU46" s="2">
        <v>21672</v>
      </c>
      <c r="EV46" s="2">
        <v>20780</v>
      </c>
      <c r="EW46" s="2">
        <v>20716</v>
      </c>
      <c r="EX46" s="2">
        <v>29901</v>
      </c>
      <c r="EY46" s="2">
        <v>28509</v>
      </c>
      <c r="EZ46" s="2">
        <v>29602</v>
      </c>
      <c r="FA46" s="2">
        <v>28240</v>
      </c>
      <c r="FB46" s="2">
        <v>24631</v>
      </c>
      <c r="FC46" s="2">
        <v>22383</v>
      </c>
      <c r="FD46" s="2">
        <v>21816</v>
      </c>
      <c r="FE46" s="2">
        <v>21445</v>
      </c>
      <c r="FF46" s="2">
        <v>21555</v>
      </c>
      <c r="FG46">
        <f t="shared" si="9"/>
        <v>463431</v>
      </c>
      <c r="FI46">
        <v>-13.046412785592301</v>
      </c>
      <c r="FJ46" s="2">
        <v>12.803795889815772</v>
      </c>
      <c r="FK46">
        <v>78.457202906149405</v>
      </c>
      <c r="FM46">
        <v>78.457202906149405</v>
      </c>
    </row>
    <row r="47" spans="1:169">
      <c r="A47" s="1" t="s">
        <v>0</v>
      </c>
      <c r="B47" s="1" t="s">
        <v>90</v>
      </c>
      <c r="C47" s="1" t="s">
        <v>2</v>
      </c>
      <c r="D47" s="1" t="s">
        <v>91</v>
      </c>
      <c r="E47" s="2">
        <v>5455</v>
      </c>
      <c r="F47" s="2">
        <v>4090</v>
      </c>
      <c r="G47" s="2">
        <v>4048</v>
      </c>
      <c r="H47" s="2">
        <v>5578</v>
      </c>
      <c r="I47" s="2">
        <v>2156</v>
      </c>
      <c r="J47" s="2">
        <v>5602</v>
      </c>
      <c r="K47" s="4">
        <v>0.05</v>
      </c>
      <c r="L47" s="4">
        <v>0.1</v>
      </c>
      <c r="M47" s="4">
        <v>0.15</v>
      </c>
      <c r="N47" s="4">
        <v>0.2</v>
      </c>
      <c r="O47" s="4">
        <v>0.2</v>
      </c>
      <c r="P47" s="4">
        <v>0.3</v>
      </c>
      <c r="Q47" s="4">
        <f t="shared" si="0"/>
        <v>4516.3500000000004</v>
      </c>
      <c r="R47" s="4">
        <v>4516.3500000000004</v>
      </c>
      <c r="T47" s="2">
        <v>1.6431818181818181</v>
      </c>
      <c r="U47" s="2">
        <v>1.2083333333333333</v>
      </c>
      <c r="V47">
        <f>(313.873195229127)/180</f>
        <v>1.7437399734951502</v>
      </c>
      <c r="W47">
        <f>(266276)/400000</f>
        <v>0.66569</v>
      </c>
      <c r="X47">
        <v>0.3</v>
      </c>
      <c r="Y47">
        <v>-0.1</v>
      </c>
      <c r="Z47">
        <v>0.4</v>
      </c>
      <c r="AA47">
        <v>0.4</v>
      </c>
      <c r="AB47">
        <f t="shared" si="1"/>
        <v>1.3358932015192722</v>
      </c>
      <c r="AC47">
        <v>3473.3223239501017</v>
      </c>
      <c r="AG47" s="2">
        <v>4808</v>
      </c>
      <c r="AH47" s="2">
        <v>40</v>
      </c>
      <c r="AI47">
        <v>579</v>
      </c>
      <c r="AJ47">
        <v>1474.35</v>
      </c>
      <c r="AK47">
        <v>0.2</v>
      </c>
      <c r="AL47">
        <v>0.2</v>
      </c>
      <c r="AM47">
        <v>0.3</v>
      </c>
      <c r="AN47">
        <v>0.3</v>
      </c>
      <c r="AO47">
        <v>1858.6893597835888</v>
      </c>
      <c r="AP47">
        <v>1585.605</v>
      </c>
      <c r="AR47">
        <v>140440</v>
      </c>
      <c r="AS47">
        <v>35893.800000000003</v>
      </c>
      <c r="AT47">
        <v>5825</v>
      </c>
      <c r="AU47">
        <v>0.3</v>
      </c>
      <c r="AV47">
        <v>0.4</v>
      </c>
      <c r="AW47">
        <v>0.3</v>
      </c>
      <c r="AX47">
        <f t="shared" si="2"/>
        <v>58237.020000000004</v>
      </c>
      <c r="AY47">
        <v>1576.3987423478945</v>
      </c>
      <c r="BB47">
        <v>1437</v>
      </c>
      <c r="BC47">
        <v>2560.65</v>
      </c>
      <c r="BD47" s="2">
        <v>402</v>
      </c>
      <c r="BE47" s="4">
        <v>0.4</v>
      </c>
      <c r="BF47" s="4">
        <v>0.3</v>
      </c>
      <c r="BG47" s="4">
        <v>0.3</v>
      </c>
      <c r="BH47">
        <f t="shared" si="3"/>
        <v>1463.595</v>
      </c>
      <c r="BI47">
        <v>2972.9273437500001</v>
      </c>
      <c r="BN47">
        <v>99.959811797341203</v>
      </c>
      <c r="BO47">
        <v>86.156909607729403</v>
      </c>
      <c r="BW47" s="2">
        <v>90334</v>
      </c>
      <c r="BX47" s="2">
        <v>29312</v>
      </c>
      <c r="BY47" s="2">
        <v>0</v>
      </c>
      <c r="BZ47" s="2">
        <v>0</v>
      </c>
      <c r="CA47" s="3">
        <v>0.3</v>
      </c>
      <c r="CB47" s="3">
        <v>0.3</v>
      </c>
      <c r="CC47" s="3">
        <v>0.2</v>
      </c>
      <c r="CD47" s="3">
        <v>0.2</v>
      </c>
      <c r="CE47">
        <f t="shared" si="4"/>
        <v>35893.800000000003</v>
      </c>
      <c r="CJ47">
        <v>10054</v>
      </c>
      <c r="CM47">
        <v>7285</v>
      </c>
      <c r="CN47" s="2">
        <v>218326</v>
      </c>
      <c r="CS47">
        <v>135</v>
      </c>
      <c r="CT47">
        <v>563</v>
      </c>
      <c r="CU47">
        <v>3400</v>
      </c>
      <c r="CV47">
        <v>2599</v>
      </c>
      <c r="CW47">
        <v>52</v>
      </c>
      <c r="CX47">
        <v>0.5</v>
      </c>
      <c r="CY47">
        <v>0.1</v>
      </c>
      <c r="CZ47">
        <v>0.2</v>
      </c>
      <c r="DA47">
        <v>0.25</v>
      </c>
      <c r="DB47">
        <v>0.4</v>
      </c>
      <c r="DC47">
        <f t="shared" si="5"/>
        <v>1474.35</v>
      </c>
      <c r="DE47" s="2">
        <v>1739</v>
      </c>
      <c r="DF47" s="2">
        <v>859</v>
      </c>
      <c r="DG47" s="4">
        <v>0.6</v>
      </c>
      <c r="DH47" s="4">
        <v>0.4</v>
      </c>
      <c r="DI47" s="4">
        <f t="shared" si="6"/>
        <v>1387</v>
      </c>
      <c r="DK47" s="2">
        <v>1112</v>
      </c>
      <c r="DL47" s="2">
        <v>617</v>
      </c>
      <c r="DM47" s="5">
        <v>0.6</v>
      </c>
      <c r="DN47" s="5">
        <v>0.4</v>
      </c>
      <c r="DO47">
        <f t="shared" si="7"/>
        <v>914</v>
      </c>
      <c r="DR47" s="2">
        <v>1434</v>
      </c>
      <c r="DS47" s="2">
        <v>540</v>
      </c>
      <c r="DT47">
        <v>0.35</v>
      </c>
      <c r="DU47">
        <v>0.65</v>
      </c>
      <c r="DV47">
        <f t="shared" si="8"/>
        <v>852.9</v>
      </c>
      <c r="EB47">
        <v>277</v>
      </c>
      <c r="ED47">
        <v>5.6240175061873385</v>
      </c>
      <c r="EE47">
        <v>-13.443369484801099</v>
      </c>
      <c r="EF47">
        <v>7.8193519786137609</v>
      </c>
      <c r="EG47">
        <v>4.0188202658805204E-2</v>
      </c>
      <c r="EJ47">
        <v>4.0188202658805204E-2</v>
      </c>
      <c r="EO47" s="2">
        <v>48285</v>
      </c>
      <c r="EP47" s="2">
        <v>47383</v>
      </c>
      <c r="EQ47" s="2">
        <v>48431</v>
      </c>
      <c r="ER47" s="2">
        <v>47020</v>
      </c>
      <c r="ES47" s="2">
        <v>44972</v>
      </c>
      <c r="ET47" s="2">
        <v>41301</v>
      </c>
      <c r="EU47" s="2">
        <v>42641</v>
      </c>
      <c r="EV47" s="2">
        <v>43258</v>
      </c>
      <c r="EW47" s="2">
        <v>31418</v>
      </c>
      <c r="EX47" s="2">
        <v>48303</v>
      </c>
      <c r="EY47" s="2">
        <v>47724</v>
      </c>
      <c r="EZ47" s="2">
        <v>48793</v>
      </c>
      <c r="FA47" s="2">
        <v>47953</v>
      </c>
      <c r="FB47" s="2">
        <v>45347</v>
      </c>
      <c r="FC47" s="2">
        <v>43855</v>
      </c>
      <c r="FD47" s="2">
        <v>44557</v>
      </c>
      <c r="FE47" s="2">
        <v>44885</v>
      </c>
      <c r="FF47" s="2">
        <v>33876</v>
      </c>
      <c r="FG47">
        <f t="shared" si="9"/>
        <v>800002</v>
      </c>
      <c r="FI47">
        <v>-13.5923695066469</v>
      </c>
      <c r="FJ47" s="2">
        <v>13.443369484801103</v>
      </c>
      <c r="FK47">
        <v>86.156909607729403</v>
      </c>
      <c r="FM47">
        <v>86.156909607729403</v>
      </c>
    </row>
    <row r="48" spans="1:169">
      <c r="A48" s="1" t="s">
        <v>0</v>
      </c>
      <c r="B48" s="1" t="s">
        <v>92</v>
      </c>
      <c r="C48" s="1" t="s">
        <v>2</v>
      </c>
      <c r="D48" s="1" t="s">
        <v>93</v>
      </c>
      <c r="E48" s="2">
        <v>3830</v>
      </c>
      <c r="F48" s="2">
        <v>2642</v>
      </c>
      <c r="G48" s="2">
        <v>3200</v>
      </c>
      <c r="H48" s="2">
        <v>3768</v>
      </c>
      <c r="I48" s="2">
        <v>1348</v>
      </c>
      <c r="J48" s="2">
        <v>3819</v>
      </c>
      <c r="K48" s="4">
        <v>0.05</v>
      </c>
      <c r="L48" s="4">
        <v>0.1</v>
      </c>
      <c r="M48" s="4">
        <v>0.15</v>
      </c>
      <c r="N48" s="4">
        <v>0.2</v>
      </c>
      <c r="O48" s="4">
        <v>0.2</v>
      </c>
      <c r="P48" s="4">
        <v>0.3</v>
      </c>
      <c r="Q48" s="4">
        <f t="shared" si="0"/>
        <v>3104.6000000000004</v>
      </c>
      <c r="R48" s="4">
        <v>3104.6</v>
      </c>
      <c r="T48" s="2">
        <v>1.3722727272727273</v>
      </c>
      <c r="U48" s="2">
        <v>0.33333333333333331</v>
      </c>
      <c r="V48">
        <f>(73.5943479540771)/180</f>
        <v>0.40885748863376165</v>
      </c>
      <c r="W48">
        <f>(845071)/400000</f>
        <v>2.1126775000000002</v>
      </c>
      <c r="X48">
        <v>0.3</v>
      </c>
      <c r="Y48">
        <v>-0.1</v>
      </c>
      <c r="Z48">
        <v>0.4</v>
      </c>
      <c r="AA48">
        <v>0.4</v>
      </c>
      <c r="AB48">
        <f t="shared" si="1"/>
        <v>1.3869624803019898</v>
      </c>
      <c r="AC48">
        <v>3606.1024487851741</v>
      </c>
      <c r="AG48" s="2">
        <v>2421</v>
      </c>
      <c r="AH48" s="2">
        <v>83</v>
      </c>
      <c r="AI48">
        <v>1627.4</v>
      </c>
      <c r="AJ48">
        <v>5924.9500000000007</v>
      </c>
      <c r="AK48">
        <v>0.2</v>
      </c>
      <c r="AL48">
        <v>0.2</v>
      </c>
      <c r="AM48">
        <v>0.3</v>
      </c>
      <c r="AN48">
        <v>0.3</v>
      </c>
      <c r="AO48">
        <v>3242.9724977457081</v>
      </c>
      <c r="AP48">
        <v>2766.5050000000001</v>
      </c>
      <c r="AR48">
        <v>595823</v>
      </c>
      <c r="AS48">
        <v>96987.5</v>
      </c>
      <c r="AT48">
        <v>9315</v>
      </c>
      <c r="AU48">
        <v>0.3</v>
      </c>
      <c r="AV48">
        <v>0.4</v>
      </c>
      <c r="AW48">
        <v>0.3</v>
      </c>
      <c r="AX48">
        <f t="shared" si="2"/>
        <v>220336.4</v>
      </c>
      <c r="AY48">
        <v>5964.2135509932041</v>
      </c>
      <c r="BB48">
        <v>3329</v>
      </c>
      <c r="BC48">
        <v>1550.9999999999998</v>
      </c>
      <c r="BD48" s="2">
        <v>363</v>
      </c>
      <c r="BE48" s="4">
        <v>0.4</v>
      </c>
      <c r="BF48" s="4">
        <v>0.3</v>
      </c>
      <c r="BG48" s="4">
        <v>0.3</v>
      </c>
      <c r="BH48">
        <f t="shared" si="3"/>
        <v>1905.8000000000002</v>
      </c>
      <c r="BI48">
        <v>3871.1562500000005</v>
      </c>
      <c r="BN48">
        <v>99.338603739362199</v>
      </c>
      <c r="BO48">
        <v>78.232016483026797</v>
      </c>
      <c r="BW48" s="2">
        <v>222612</v>
      </c>
      <c r="BX48" s="2">
        <v>99951</v>
      </c>
      <c r="BY48" s="2">
        <v>708</v>
      </c>
      <c r="BZ48" s="2">
        <v>385</v>
      </c>
      <c r="CA48" s="3">
        <v>0.3</v>
      </c>
      <c r="CB48" s="3">
        <v>0.3</v>
      </c>
      <c r="CC48" s="3">
        <v>0.2</v>
      </c>
      <c r="CD48" s="3">
        <v>0.2</v>
      </c>
      <c r="CE48">
        <f t="shared" si="4"/>
        <v>96987.5</v>
      </c>
      <c r="CJ48">
        <v>31714</v>
      </c>
      <c r="CM48">
        <v>29490</v>
      </c>
      <c r="CN48" s="2">
        <v>914913</v>
      </c>
      <c r="CS48">
        <v>547</v>
      </c>
      <c r="CT48">
        <v>1370</v>
      </c>
      <c r="CU48">
        <v>13773</v>
      </c>
      <c r="CV48">
        <v>10777</v>
      </c>
      <c r="CW48">
        <v>164</v>
      </c>
      <c r="CX48">
        <v>0.5</v>
      </c>
      <c r="CY48">
        <v>0.1</v>
      </c>
      <c r="CZ48">
        <v>0.2</v>
      </c>
      <c r="DA48">
        <v>0.25</v>
      </c>
      <c r="DB48">
        <v>0.4</v>
      </c>
      <c r="DC48">
        <f t="shared" si="5"/>
        <v>5924.9500000000007</v>
      </c>
      <c r="DE48" s="2">
        <v>869</v>
      </c>
      <c r="DF48" s="2">
        <v>144</v>
      </c>
      <c r="DG48" s="4">
        <v>0.6</v>
      </c>
      <c r="DH48" s="4">
        <v>0.4</v>
      </c>
      <c r="DI48" s="4">
        <f t="shared" si="6"/>
        <v>579</v>
      </c>
      <c r="DK48" s="2">
        <v>449</v>
      </c>
      <c r="DL48" s="2">
        <v>123</v>
      </c>
      <c r="DM48" s="5">
        <v>0.6</v>
      </c>
      <c r="DN48" s="5">
        <v>0.4</v>
      </c>
      <c r="DO48">
        <f t="shared" si="7"/>
        <v>318.59999999999997</v>
      </c>
      <c r="DR48" s="2">
        <v>3548</v>
      </c>
      <c r="DS48" s="2">
        <v>2029</v>
      </c>
      <c r="DT48">
        <v>0.35</v>
      </c>
      <c r="DU48">
        <v>0.65</v>
      </c>
      <c r="DV48">
        <f t="shared" si="8"/>
        <v>2560.65</v>
      </c>
      <c r="EB48">
        <v>1444</v>
      </c>
      <c r="ED48">
        <v>7.2751723194527713</v>
      </c>
      <c r="EE48">
        <v>-12.2937446375989</v>
      </c>
      <c r="EF48">
        <v>5.0185723181461288</v>
      </c>
      <c r="EG48">
        <v>0.661396260637786</v>
      </c>
      <c r="EJ48">
        <v>0.661396260637786</v>
      </c>
      <c r="EO48" s="2">
        <v>22028</v>
      </c>
      <c r="EP48" s="2">
        <v>20394</v>
      </c>
      <c r="EQ48" s="2">
        <v>19990</v>
      </c>
      <c r="ER48" s="2">
        <v>17396</v>
      </c>
      <c r="ES48" s="2">
        <v>14842</v>
      </c>
      <c r="ET48" s="2">
        <v>12266</v>
      </c>
      <c r="EU48" s="2">
        <v>11244</v>
      </c>
      <c r="EV48" s="2">
        <v>10828</v>
      </c>
      <c r="EW48" s="2">
        <v>12119</v>
      </c>
      <c r="EX48" s="2">
        <v>20003</v>
      </c>
      <c r="EY48" s="2">
        <v>19570</v>
      </c>
      <c r="EZ48" s="2">
        <v>18882</v>
      </c>
      <c r="FA48" s="2">
        <v>16921</v>
      </c>
      <c r="FB48" s="2">
        <v>14445</v>
      </c>
      <c r="FC48" s="2">
        <v>12131</v>
      </c>
      <c r="FD48" s="2">
        <v>11940</v>
      </c>
      <c r="FE48" s="2">
        <v>12022</v>
      </c>
      <c r="FF48" s="2">
        <v>12054</v>
      </c>
      <c r="FG48">
        <f t="shared" si="9"/>
        <v>279075</v>
      </c>
      <c r="FI48">
        <v>-12.539235841882901</v>
      </c>
      <c r="FJ48" s="2">
        <v>12.293744637598937</v>
      </c>
      <c r="FK48">
        <v>78.232016483026797</v>
      </c>
      <c r="FM48">
        <v>78.232016483026797</v>
      </c>
    </row>
    <row r="49" spans="1:169">
      <c r="A49" s="1" t="s">
        <v>0</v>
      </c>
      <c r="B49" s="1" t="s">
        <v>94</v>
      </c>
      <c r="C49" s="1" t="s">
        <v>2</v>
      </c>
      <c r="D49" s="1" t="s">
        <v>95</v>
      </c>
      <c r="E49" s="2">
        <v>3397</v>
      </c>
      <c r="F49" s="2">
        <v>2711</v>
      </c>
      <c r="G49" s="2">
        <v>2647</v>
      </c>
      <c r="H49" s="2">
        <v>3545</v>
      </c>
      <c r="I49" s="2">
        <v>1404</v>
      </c>
      <c r="J49" s="2">
        <v>3516</v>
      </c>
      <c r="K49" s="4">
        <v>0.05</v>
      </c>
      <c r="L49" s="4">
        <v>0.1</v>
      </c>
      <c r="M49" s="4">
        <v>0.15</v>
      </c>
      <c r="N49" s="4">
        <v>0.2</v>
      </c>
      <c r="O49" s="4">
        <v>0.2</v>
      </c>
      <c r="P49" s="4">
        <v>0.3</v>
      </c>
      <c r="Q49" s="4">
        <f t="shared" si="0"/>
        <v>2882.6</v>
      </c>
      <c r="R49" s="4">
        <v>2882.6</v>
      </c>
      <c r="T49" s="2">
        <v>0.99636363636363634</v>
      </c>
      <c r="U49" s="2">
        <v>0.875</v>
      </c>
      <c r="V49">
        <f>(106.655290102389)/180</f>
        <v>0.59252938945771672</v>
      </c>
      <c r="W49">
        <f>(631362)/400000</f>
        <v>1.5784050000000001</v>
      </c>
      <c r="X49">
        <v>0.3</v>
      </c>
      <c r="Y49">
        <v>-0.1</v>
      </c>
      <c r="Z49">
        <v>0.4</v>
      </c>
      <c r="AA49">
        <v>0.4</v>
      </c>
      <c r="AB49">
        <f t="shared" si="1"/>
        <v>1.0797828466921777</v>
      </c>
      <c r="AC49">
        <v>2807.4354013996676</v>
      </c>
      <c r="AG49" s="2">
        <v>12849</v>
      </c>
      <c r="AH49" s="2">
        <v>49</v>
      </c>
      <c r="AI49">
        <v>941.19999999999993</v>
      </c>
      <c r="AJ49">
        <v>3121.55</v>
      </c>
      <c r="AK49">
        <v>0.2</v>
      </c>
      <c r="AL49">
        <v>0.2</v>
      </c>
      <c r="AM49">
        <v>0.3</v>
      </c>
      <c r="AN49">
        <v>0.3</v>
      </c>
      <c r="AO49">
        <v>4452.6172227231764</v>
      </c>
      <c r="AP49">
        <v>3798.4250000000006</v>
      </c>
      <c r="AR49">
        <v>275345</v>
      </c>
      <c r="AS49">
        <v>55308.6</v>
      </c>
      <c r="AT49">
        <v>4937</v>
      </c>
      <c r="AU49">
        <v>0.3</v>
      </c>
      <c r="AV49">
        <v>0.4</v>
      </c>
      <c r="AW49">
        <v>0.3</v>
      </c>
      <c r="AX49">
        <f t="shared" si="2"/>
        <v>106208.04000000001</v>
      </c>
      <c r="AY49">
        <v>2874.9105068088079</v>
      </c>
      <c r="BB49">
        <v>5084</v>
      </c>
      <c r="BC49">
        <v>1640.6999999999998</v>
      </c>
      <c r="BD49" s="2">
        <v>488</v>
      </c>
      <c r="BE49" s="4">
        <v>0.4</v>
      </c>
      <c r="BF49" s="4">
        <v>0.3</v>
      </c>
      <c r="BG49" s="4">
        <v>0.3</v>
      </c>
      <c r="BH49">
        <f t="shared" si="3"/>
        <v>2672.21</v>
      </c>
      <c r="BI49">
        <v>5427.9265624999998</v>
      </c>
      <c r="BN49">
        <v>99.617559265197897</v>
      </c>
      <c r="BO49">
        <v>76.589509002005997</v>
      </c>
      <c r="BW49" s="2">
        <v>133218</v>
      </c>
      <c r="BX49" s="2">
        <v>50992</v>
      </c>
      <c r="BY49" s="2">
        <v>182</v>
      </c>
      <c r="BZ49" s="2">
        <v>46</v>
      </c>
      <c r="CA49" s="3">
        <v>0.3</v>
      </c>
      <c r="CB49" s="3">
        <v>0.3</v>
      </c>
      <c r="CC49" s="3">
        <v>0.2</v>
      </c>
      <c r="CD49" s="3">
        <v>0.2</v>
      </c>
      <c r="CE49">
        <f t="shared" si="4"/>
        <v>55308.6</v>
      </c>
      <c r="CJ49">
        <v>17347</v>
      </c>
      <c r="CM49">
        <v>17155</v>
      </c>
      <c r="CN49" s="2">
        <v>441086</v>
      </c>
      <c r="CS49">
        <v>244</v>
      </c>
      <c r="CT49">
        <v>1663</v>
      </c>
      <c r="CU49">
        <v>7105</v>
      </c>
      <c r="CV49">
        <v>5217</v>
      </c>
      <c r="CW49">
        <v>270</v>
      </c>
      <c r="CX49">
        <v>0.5</v>
      </c>
      <c r="CY49">
        <v>0.1</v>
      </c>
      <c r="CZ49">
        <v>0.2</v>
      </c>
      <c r="DA49">
        <v>0.25</v>
      </c>
      <c r="DB49">
        <v>0.4</v>
      </c>
      <c r="DC49">
        <f t="shared" si="5"/>
        <v>3121.55</v>
      </c>
      <c r="DE49" s="2">
        <v>2177</v>
      </c>
      <c r="DF49" s="2">
        <v>803</v>
      </c>
      <c r="DG49" s="4">
        <v>0.6</v>
      </c>
      <c r="DH49" s="4">
        <v>0.4</v>
      </c>
      <c r="DI49" s="4">
        <f t="shared" si="6"/>
        <v>1627.4</v>
      </c>
      <c r="DK49" s="2">
        <v>1666</v>
      </c>
      <c r="DL49" s="2">
        <v>898</v>
      </c>
      <c r="DM49" s="5">
        <v>0.6</v>
      </c>
      <c r="DN49" s="5">
        <v>0.4</v>
      </c>
      <c r="DO49">
        <f t="shared" si="7"/>
        <v>1358.8</v>
      </c>
      <c r="DR49" s="2">
        <v>3072</v>
      </c>
      <c r="DS49" s="2">
        <v>732</v>
      </c>
      <c r="DT49">
        <v>0.35</v>
      </c>
      <c r="DU49">
        <v>0.65</v>
      </c>
      <c r="DV49">
        <f t="shared" si="8"/>
        <v>1550.9999999999998</v>
      </c>
      <c r="EB49">
        <v>3499</v>
      </c>
      <c r="ED49">
        <v>8.1602324923676886</v>
      </c>
      <c r="EE49">
        <v>-13.7265842577699</v>
      </c>
      <c r="EF49">
        <v>5.5663517654022119</v>
      </c>
      <c r="EG49">
        <v>0.38244073480209601</v>
      </c>
      <c r="EJ49">
        <v>0.38244073480209601</v>
      </c>
      <c r="EO49" s="2">
        <v>70178</v>
      </c>
      <c r="EP49" s="2">
        <v>70773</v>
      </c>
      <c r="EQ49" s="2">
        <v>73225</v>
      </c>
      <c r="ER49" s="2">
        <v>69039</v>
      </c>
      <c r="ES49" s="2">
        <v>65744</v>
      </c>
      <c r="ET49" s="2">
        <v>62689</v>
      </c>
      <c r="EU49" s="2">
        <v>64866</v>
      </c>
      <c r="EV49" s="2">
        <v>63547</v>
      </c>
      <c r="EW49" s="2">
        <v>62511</v>
      </c>
      <c r="EX49" s="2">
        <v>68184</v>
      </c>
      <c r="EY49" s="2">
        <v>68537</v>
      </c>
      <c r="EZ49" s="2">
        <v>71923</v>
      </c>
      <c r="FA49" s="2">
        <v>69462</v>
      </c>
      <c r="FB49" s="2">
        <v>65457</v>
      </c>
      <c r="FC49" s="2">
        <v>64439</v>
      </c>
      <c r="FD49" s="2">
        <v>64875</v>
      </c>
      <c r="FE49" s="2">
        <v>64496</v>
      </c>
      <c r="FF49" s="2">
        <v>54622</v>
      </c>
      <c r="FG49">
        <f t="shared" si="9"/>
        <v>1194567</v>
      </c>
      <c r="FI49">
        <v>-13.9932943345894</v>
      </c>
      <c r="FJ49" s="2">
        <v>13.726584257769868</v>
      </c>
      <c r="FK49">
        <v>76.589509002005997</v>
      </c>
      <c r="FM49">
        <v>76.589509002005997</v>
      </c>
    </row>
    <row r="50" spans="1:169">
      <c r="A50" s="1" t="s">
        <v>0</v>
      </c>
      <c r="B50" s="1" t="s">
        <v>96</v>
      </c>
      <c r="C50" s="1" t="s">
        <v>2</v>
      </c>
      <c r="D50" s="1" t="s">
        <v>97</v>
      </c>
      <c r="E50" s="2">
        <v>3263</v>
      </c>
      <c r="F50" s="2">
        <v>2061</v>
      </c>
      <c r="G50" s="2">
        <v>2190</v>
      </c>
      <c r="H50" s="2">
        <v>3279</v>
      </c>
      <c r="I50" s="2">
        <v>1198</v>
      </c>
      <c r="J50" s="2">
        <v>3390</v>
      </c>
      <c r="K50" s="4">
        <v>0.05</v>
      </c>
      <c r="L50" s="4">
        <v>0.1</v>
      </c>
      <c r="M50" s="4">
        <v>0.15</v>
      </c>
      <c r="N50" s="4">
        <v>0.2</v>
      </c>
      <c r="O50" s="4">
        <v>0.2</v>
      </c>
      <c r="P50" s="4">
        <v>0.3</v>
      </c>
      <c r="Q50" s="4">
        <f t="shared" si="0"/>
        <v>2610.15</v>
      </c>
      <c r="R50" s="4">
        <v>2610.15</v>
      </c>
      <c r="T50" s="2">
        <v>0.88681818181818184</v>
      </c>
      <c r="U50" s="2">
        <v>0.16666666666666666</v>
      </c>
      <c r="V50">
        <f>(169.434090138936)/180</f>
        <v>0.94130050077186667</v>
      </c>
      <c r="W50">
        <f>(431831)/400000</f>
        <v>1.0795775000000001</v>
      </c>
      <c r="X50">
        <v>0.3</v>
      </c>
      <c r="Y50">
        <v>-0.1</v>
      </c>
      <c r="Z50">
        <v>0.4</v>
      </c>
      <c r="AA50">
        <v>0.4</v>
      </c>
      <c r="AB50">
        <f t="shared" si="1"/>
        <v>1.0577299881875346</v>
      </c>
      <c r="AC50">
        <v>2750.0979692875781</v>
      </c>
      <c r="AG50" s="2">
        <v>7611</v>
      </c>
      <c r="AH50" s="2">
        <v>144</v>
      </c>
      <c r="AI50">
        <v>788.8</v>
      </c>
      <c r="AJ50">
        <v>3671.5000000000005</v>
      </c>
      <c r="AK50">
        <v>0.2</v>
      </c>
      <c r="AL50">
        <v>0.2</v>
      </c>
      <c r="AM50">
        <v>0.3</v>
      </c>
      <c r="AN50">
        <v>0.3</v>
      </c>
      <c r="AO50">
        <v>3386.6699729485999</v>
      </c>
      <c r="AP50">
        <v>2889.09</v>
      </c>
      <c r="AR50">
        <v>265881</v>
      </c>
      <c r="AS50">
        <v>41883.299999999996</v>
      </c>
      <c r="AT50">
        <v>3597</v>
      </c>
      <c r="AU50">
        <v>0.3</v>
      </c>
      <c r="AV50">
        <v>0.4</v>
      </c>
      <c r="AW50">
        <v>0.3</v>
      </c>
      <c r="AX50">
        <f t="shared" si="2"/>
        <v>97596.72</v>
      </c>
      <c r="AY50">
        <v>2641.8135176779324</v>
      </c>
      <c r="BB50">
        <v>2134</v>
      </c>
      <c r="BC50">
        <v>1497</v>
      </c>
      <c r="BD50" s="2">
        <v>480</v>
      </c>
      <c r="BE50" s="4">
        <v>0.4</v>
      </c>
      <c r="BF50" s="4">
        <v>0.3</v>
      </c>
      <c r="BG50" s="4">
        <v>0.3</v>
      </c>
      <c r="BH50">
        <f t="shared" si="3"/>
        <v>1446.7</v>
      </c>
      <c r="BI50">
        <v>2938.6093749999995</v>
      </c>
      <c r="BN50">
        <v>98.695265775835097</v>
      </c>
      <c r="BO50">
        <v>80.331242578549507</v>
      </c>
      <c r="BW50" s="2">
        <v>98263</v>
      </c>
      <c r="BX50" s="2">
        <v>40996</v>
      </c>
      <c r="BY50" s="2">
        <v>277</v>
      </c>
      <c r="BZ50" s="2">
        <v>251</v>
      </c>
      <c r="CA50" s="3">
        <v>0.3</v>
      </c>
      <c r="CB50" s="3">
        <v>0.3</v>
      </c>
      <c r="CC50" s="3">
        <v>0.2</v>
      </c>
      <c r="CD50" s="3">
        <v>0.2</v>
      </c>
      <c r="CE50">
        <f t="shared" si="4"/>
        <v>41883.299999999996</v>
      </c>
      <c r="CJ50">
        <v>18295</v>
      </c>
      <c r="CM50">
        <v>17550</v>
      </c>
      <c r="CN50" s="2">
        <v>403883</v>
      </c>
      <c r="CS50">
        <v>645</v>
      </c>
      <c r="CT50">
        <v>1867</v>
      </c>
      <c r="CU50">
        <v>6212</v>
      </c>
      <c r="CV50">
        <v>7334</v>
      </c>
      <c r="CW50">
        <v>216</v>
      </c>
      <c r="CX50">
        <v>0.5</v>
      </c>
      <c r="CY50">
        <v>0.1</v>
      </c>
      <c r="CZ50">
        <v>0.2</v>
      </c>
      <c r="DA50">
        <v>0.25</v>
      </c>
      <c r="DB50">
        <v>0.4</v>
      </c>
      <c r="DC50">
        <f t="shared" si="5"/>
        <v>3671.5000000000005</v>
      </c>
      <c r="DE50" s="2">
        <v>1382</v>
      </c>
      <c r="DF50" s="2">
        <v>280</v>
      </c>
      <c r="DG50" s="4">
        <v>0.6</v>
      </c>
      <c r="DH50" s="4">
        <v>0.4</v>
      </c>
      <c r="DI50" s="4">
        <f t="shared" si="6"/>
        <v>941.19999999999993</v>
      </c>
      <c r="DK50" s="2">
        <v>1314</v>
      </c>
      <c r="DL50" s="2">
        <v>373</v>
      </c>
      <c r="DM50" s="5">
        <v>0.6</v>
      </c>
      <c r="DN50" s="5">
        <v>0.4</v>
      </c>
      <c r="DO50">
        <f t="shared" si="7"/>
        <v>937.6</v>
      </c>
      <c r="DR50" s="2">
        <v>2123</v>
      </c>
      <c r="DS50" s="2">
        <v>1381</v>
      </c>
      <c r="DT50">
        <v>0.35</v>
      </c>
      <c r="DU50">
        <v>0.65</v>
      </c>
      <c r="DV50">
        <f t="shared" si="8"/>
        <v>1640.6999999999998</v>
      </c>
      <c r="EB50">
        <v>5755</v>
      </c>
      <c r="ED50">
        <v>8.6578243211559833</v>
      </c>
      <c r="EE50">
        <v>-12.9969951467546</v>
      </c>
      <c r="EF50">
        <v>4.3391708255986163</v>
      </c>
      <c r="EG50">
        <v>1.30473422416491</v>
      </c>
      <c r="EJ50">
        <v>1.30473422416491</v>
      </c>
      <c r="EO50" s="2">
        <v>37065</v>
      </c>
      <c r="EP50" s="2">
        <v>37744</v>
      </c>
      <c r="EQ50" s="2">
        <v>38984</v>
      </c>
      <c r="ER50" s="2">
        <v>36137</v>
      </c>
      <c r="ES50" s="2">
        <v>32433</v>
      </c>
      <c r="ET50" s="2">
        <v>24321</v>
      </c>
      <c r="EU50" s="2">
        <v>24934</v>
      </c>
      <c r="EV50" s="2">
        <v>24188</v>
      </c>
      <c r="EW50" s="2">
        <v>19904</v>
      </c>
      <c r="EX50" s="2">
        <v>35858</v>
      </c>
      <c r="EY50" s="2">
        <v>36589</v>
      </c>
      <c r="EZ50" s="2">
        <v>37508</v>
      </c>
      <c r="FA50" s="2">
        <v>35570</v>
      </c>
      <c r="FB50" s="2">
        <v>32173</v>
      </c>
      <c r="FC50" s="2">
        <v>25126</v>
      </c>
      <c r="FD50" s="2">
        <v>25861</v>
      </c>
      <c r="FE50" s="2">
        <v>25542</v>
      </c>
      <c r="FF50" s="2">
        <v>19147</v>
      </c>
      <c r="FG50">
        <f t="shared" si="9"/>
        <v>549084</v>
      </c>
      <c r="FI50">
        <v>-13.216006714252</v>
      </c>
      <c r="FJ50" s="2">
        <v>12.996995146754612</v>
      </c>
      <c r="FK50">
        <v>80.331242578549507</v>
      </c>
      <c r="FM50">
        <v>80.331242578549507</v>
      </c>
    </row>
    <row r="51" spans="1:169">
      <c r="A51" s="1" t="s">
        <v>0</v>
      </c>
      <c r="B51" s="1" t="s">
        <v>98</v>
      </c>
      <c r="C51" s="1" t="s">
        <v>2</v>
      </c>
      <c r="D51" s="1" t="s">
        <v>99</v>
      </c>
      <c r="E51" s="2">
        <v>3260</v>
      </c>
      <c r="F51" s="2">
        <v>1911</v>
      </c>
      <c r="G51" s="2">
        <v>1500</v>
      </c>
      <c r="H51" s="2">
        <v>3269</v>
      </c>
      <c r="I51" s="2">
        <v>1102</v>
      </c>
      <c r="J51" s="2">
        <v>3339</v>
      </c>
      <c r="K51" s="4">
        <v>0.05</v>
      </c>
      <c r="L51" s="4">
        <v>0.1</v>
      </c>
      <c r="M51" s="4">
        <v>0.15</v>
      </c>
      <c r="N51" s="4">
        <v>0.2</v>
      </c>
      <c r="O51" s="4">
        <v>0.2</v>
      </c>
      <c r="P51" s="4">
        <v>0.3</v>
      </c>
      <c r="Q51" s="4">
        <f t="shared" si="0"/>
        <v>2455</v>
      </c>
      <c r="R51" s="4">
        <v>2455</v>
      </c>
      <c r="T51" s="2">
        <v>1.1004545454545454</v>
      </c>
      <c r="U51" s="2">
        <v>0.45833333333333331</v>
      </c>
      <c r="V51">
        <f>(191.938579654511)/180</f>
        <v>1.066325442525061</v>
      </c>
      <c r="W51">
        <f>(378531)/400000</f>
        <v>0.94632749999999999</v>
      </c>
      <c r="X51">
        <v>0.3</v>
      </c>
      <c r="Y51">
        <v>-0.1</v>
      </c>
      <c r="Z51">
        <v>0.4</v>
      </c>
      <c r="AA51">
        <v>0.4</v>
      </c>
      <c r="AB51">
        <f t="shared" si="1"/>
        <v>1.0893642073130547</v>
      </c>
      <c r="AC51">
        <v>2832.3469390139303</v>
      </c>
      <c r="AG51" s="2">
        <v>7390</v>
      </c>
      <c r="AH51" s="2">
        <v>180</v>
      </c>
      <c r="AI51">
        <v>840.2</v>
      </c>
      <c r="AJ51">
        <v>3046.3500000000004</v>
      </c>
      <c r="AK51">
        <v>0.2</v>
      </c>
      <c r="AL51">
        <v>0.2</v>
      </c>
      <c r="AM51">
        <v>0.3</v>
      </c>
      <c r="AN51">
        <v>0.3</v>
      </c>
      <c r="AO51">
        <v>3141.527953110924</v>
      </c>
      <c r="AP51">
        <v>2679.9650000000001</v>
      </c>
      <c r="AR51">
        <v>268031</v>
      </c>
      <c r="AS51">
        <v>43823.7</v>
      </c>
      <c r="AT51">
        <v>2523</v>
      </c>
      <c r="AU51">
        <v>0.3</v>
      </c>
      <c r="AV51">
        <v>0.4</v>
      </c>
      <c r="AW51">
        <v>0.3</v>
      </c>
      <c r="AX51">
        <f t="shared" si="2"/>
        <v>98695.679999999993</v>
      </c>
      <c r="AY51">
        <v>2671.5609045100559</v>
      </c>
      <c r="BB51">
        <v>487</v>
      </c>
      <c r="BC51">
        <v>1474.65</v>
      </c>
      <c r="BD51" s="2">
        <v>441</v>
      </c>
      <c r="BE51" s="4">
        <v>0.4</v>
      </c>
      <c r="BF51" s="4">
        <v>0.3</v>
      </c>
      <c r="BG51" s="4">
        <v>0.3</v>
      </c>
      <c r="BH51">
        <f t="shared" si="3"/>
        <v>769.495</v>
      </c>
      <c r="BI51">
        <v>1563.0367187500001</v>
      </c>
      <c r="BN51">
        <v>99.393141082937404</v>
      </c>
      <c r="BO51">
        <v>74.773208625847005</v>
      </c>
      <c r="BW51" s="2">
        <v>99654</v>
      </c>
      <c r="BX51" s="2">
        <v>46423</v>
      </c>
      <c r="BY51" s="2">
        <v>3</v>
      </c>
      <c r="BZ51" s="2">
        <v>0</v>
      </c>
      <c r="CA51" s="3">
        <v>0.3</v>
      </c>
      <c r="CB51" s="3">
        <v>0.3</v>
      </c>
      <c r="CC51" s="3">
        <v>0.2</v>
      </c>
      <c r="CD51" s="3">
        <v>0.2</v>
      </c>
      <c r="CE51">
        <f t="shared" si="4"/>
        <v>43823.7</v>
      </c>
      <c r="CJ51">
        <v>18835</v>
      </c>
      <c r="CM51">
        <v>15006</v>
      </c>
      <c r="CN51" s="2">
        <v>428863</v>
      </c>
      <c r="CS51">
        <v>159</v>
      </c>
      <c r="CT51">
        <v>699</v>
      </c>
      <c r="CU51">
        <v>7437</v>
      </c>
      <c r="CV51">
        <v>5515</v>
      </c>
      <c r="CW51">
        <v>77</v>
      </c>
      <c r="CX51">
        <v>0.5</v>
      </c>
      <c r="CY51">
        <v>0.1</v>
      </c>
      <c r="CZ51">
        <v>0.2</v>
      </c>
      <c r="DA51">
        <v>0.25</v>
      </c>
      <c r="DB51">
        <v>0.4</v>
      </c>
      <c r="DC51">
        <f t="shared" si="5"/>
        <v>3046.3500000000004</v>
      </c>
      <c r="DE51" s="2">
        <v>1172</v>
      </c>
      <c r="DF51" s="2">
        <v>214</v>
      </c>
      <c r="DG51" s="4">
        <v>0.6</v>
      </c>
      <c r="DH51" s="4">
        <v>0.4</v>
      </c>
      <c r="DI51" s="4">
        <f t="shared" si="6"/>
        <v>788.8</v>
      </c>
      <c r="DK51" s="2">
        <v>787</v>
      </c>
      <c r="DL51" s="2">
        <v>295</v>
      </c>
      <c r="DM51" s="5">
        <v>0.6</v>
      </c>
      <c r="DN51" s="5">
        <v>0.4</v>
      </c>
      <c r="DO51">
        <f t="shared" si="7"/>
        <v>590.20000000000005</v>
      </c>
      <c r="DR51" s="2">
        <v>1887</v>
      </c>
      <c r="DS51" s="2">
        <v>1287</v>
      </c>
      <c r="DT51">
        <v>0.35</v>
      </c>
      <c r="DU51">
        <v>0.65</v>
      </c>
      <c r="DV51">
        <f t="shared" si="8"/>
        <v>1497</v>
      </c>
      <c r="EB51">
        <v>2451</v>
      </c>
      <c r="ED51">
        <v>7.8042513835281122</v>
      </c>
      <c r="EE51">
        <v>-12.9088805110396</v>
      </c>
      <c r="EF51">
        <v>5.1046291275114877</v>
      </c>
      <c r="EG51">
        <v>0.60685891706259198</v>
      </c>
      <c r="EJ51">
        <v>0.60685891706259198</v>
      </c>
      <c r="EO51" s="2">
        <v>37090</v>
      </c>
      <c r="EP51" s="2">
        <v>33749</v>
      </c>
      <c r="EQ51" s="2">
        <v>34550</v>
      </c>
      <c r="ER51" s="2">
        <v>32328</v>
      </c>
      <c r="ES51" s="2">
        <v>30400</v>
      </c>
      <c r="ET51" s="2">
        <v>26917</v>
      </c>
      <c r="EU51" s="2">
        <v>26563</v>
      </c>
      <c r="EV51" s="2">
        <v>26329</v>
      </c>
      <c r="EW51" s="2">
        <v>27934</v>
      </c>
      <c r="EX51" s="2">
        <v>33277</v>
      </c>
      <c r="EY51" s="2">
        <v>31135</v>
      </c>
      <c r="EZ51" s="2">
        <v>32761</v>
      </c>
      <c r="FA51" s="2">
        <v>31301</v>
      </c>
      <c r="FB51" s="2">
        <v>29822</v>
      </c>
      <c r="FC51" s="2">
        <v>26182</v>
      </c>
      <c r="FD51" s="2">
        <v>26315</v>
      </c>
      <c r="FE51" s="2">
        <v>26220</v>
      </c>
      <c r="FF51" s="2">
        <v>27271</v>
      </c>
      <c r="FG51">
        <f t="shared" si="9"/>
        <v>540144</v>
      </c>
      <c r="FI51">
        <v>-13.199591049657901</v>
      </c>
      <c r="FJ51" s="2">
        <v>12.908880511039566</v>
      </c>
      <c r="FK51">
        <v>74.773208625847005</v>
      </c>
      <c r="FM51">
        <v>74.773208625847005</v>
      </c>
    </row>
    <row r="52" spans="1:169">
      <c r="A52" s="1" t="s">
        <v>0</v>
      </c>
      <c r="B52" s="1" t="s">
        <v>100</v>
      </c>
      <c r="C52" s="1" t="s">
        <v>2</v>
      </c>
      <c r="D52" s="1" t="s">
        <v>101</v>
      </c>
      <c r="E52" s="2">
        <v>3729</v>
      </c>
      <c r="F52" s="2">
        <v>2383</v>
      </c>
      <c r="G52" s="2">
        <v>2492</v>
      </c>
      <c r="H52" s="2">
        <v>4060</v>
      </c>
      <c r="I52" s="2">
        <v>934</v>
      </c>
      <c r="J52" s="2">
        <v>4138</v>
      </c>
      <c r="K52" s="4">
        <v>0.05</v>
      </c>
      <c r="L52" s="4">
        <v>0.1</v>
      </c>
      <c r="M52" s="4">
        <v>0.15</v>
      </c>
      <c r="N52" s="4">
        <v>0.2</v>
      </c>
      <c r="O52" s="4">
        <v>0.2</v>
      </c>
      <c r="P52" s="4">
        <v>0.3</v>
      </c>
      <c r="Q52" s="4">
        <f t="shared" si="0"/>
        <v>3038.75</v>
      </c>
      <c r="R52" s="4">
        <v>3038.75</v>
      </c>
      <c r="T52" s="2">
        <v>1.5913636363636363</v>
      </c>
      <c r="U52" s="2">
        <v>0.54166666666666663</v>
      </c>
      <c r="V52">
        <f>(190.041809198024)/180</f>
        <v>1.055787828877911</v>
      </c>
      <c r="W52">
        <f>(491525)/400000</f>
        <v>1.2288125000000001</v>
      </c>
      <c r="X52">
        <v>0.3</v>
      </c>
      <c r="Y52">
        <v>-0.1</v>
      </c>
      <c r="Z52">
        <v>0.4</v>
      </c>
      <c r="AA52">
        <v>0.4</v>
      </c>
      <c r="AB52">
        <f t="shared" si="1"/>
        <v>1.3370825557935886</v>
      </c>
      <c r="AC52">
        <v>3476.4146450633339</v>
      </c>
      <c r="AG52" s="2">
        <v>5939</v>
      </c>
      <c r="AH52" s="2">
        <v>416</v>
      </c>
      <c r="AI52">
        <v>1031</v>
      </c>
      <c r="AJ52">
        <v>2675.65</v>
      </c>
      <c r="AK52">
        <v>0.2</v>
      </c>
      <c r="AL52">
        <v>0.2</v>
      </c>
      <c r="AM52">
        <v>0.3</v>
      </c>
      <c r="AN52">
        <v>0.3</v>
      </c>
      <c r="AO52">
        <v>2793.411632100986</v>
      </c>
      <c r="AP52">
        <v>2382.9949999999999</v>
      </c>
      <c r="AR52">
        <v>246392</v>
      </c>
      <c r="AS52">
        <v>40015.9</v>
      </c>
      <c r="AT52">
        <v>7514</v>
      </c>
      <c r="AU52">
        <v>0.3</v>
      </c>
      <c r="AV52">
        <v>0.4</v>
      </c>
      <c r="AW52">
        <v>0.3</v>
      </c>
      <c r="AX52">
        <f t="shared" si="2"/>
        <v>92178.159999999989</v>
      </c>
      <c r="AY52">
        <v>2495.1402990047068</v>
      </c>
      <c r="BB52">
        <v>1626</v>
      </c>
      <c r="BC52">
        <v>1608</v>
      </c>
      <c r="BD52" s="2">
        <v>249</v>
      </c>
      <c r="BE52" s="4">
        <v>0.4</v>
      </c>
      <c r="BF52" s="4">
        <v>0.3</v>
      </c>
      <c r="BG52" s="4">
        <v>0.3</v>
      </c>
      <c r="BH52">
        <f t="shared" si="3"/>
        <v>1207.5000000000002</v>
      </c>
      <c r="BI52">
        <v>2452.734375</v>
      </c>
      <c r="BN52">
        <v>99.875251537204207</v>
      </c>
      <c r="BO52">
        <v>81.061316296827798</v>
      </c>
      <c r="BW52" s="2">
        <v>91664</v>
      </c>
      <c r="BX52" s="2">
        <v>41399</v>
      </c>
      <c r="BY52" s="2">
        <v>405</v>
      </c>
      <c r="BZ52" s="2">
        <v>80</v>
      </c>
      <c r="CA52" s="3">
        <v>0.3</v>
      </c>
      <c r="CB52" s="3">
        <v>0.3</v>
      </c>
      <c r="CC52" s="3">
        <v>0.2</v>
      </c>
      <c r="CD52" s="3">
        <v>0.2</v>
      </c>
      <c r="CE52">
        <f t="shared" si="4"/>
        <v>40015.9</v>
      </c>
      <c r="CJ52">
        <v>17798</v>
      </c>
      <c r="CM52">
        <v>13463</v>
      </c>
      <c r="CN52" s="2">
        <v>377193</v>
      </c>
      <c r="CS52">
        <v>13</v>
      </c>
      <c r="CT52">
        <v>1256</v>
      </c>
      <c r="CU52">
        <v>5715</v>
      </c>
      <c r="CV52">
        <v>5455</v>
      </c>
      <c r="CW52">
        <v>92</v>
      </c>
      <c r="CX52">
        <v>0.5</v>
      </c>
      <c r="CY52">
        <v>0.1</v>
      </c>
      <c r="CZ52">
        <v>0.2</v>
      </c>
      <c r="DA52">
        <v>0.25</v>
      </c>
      <c r="DB52">
        <v>0.4</v>
      </c>
      <c r="DC52">
        <f t="shared" si="5"/>
        <v>2675.65</v>
      </c>
      <c r="DE52" s="2">
        <v>1201</v>
      </c>
      <c r="DF52" s="2">
        <v>299</v>
      </c>
      <c r="DG52" s="4">
        <v>0.6</v>
      </c>
      <c r="DH52" s="4">
        <v>0.4</v>
      </c>
      <c r="DI52" s="4">
        <f t="shared" si="6"/>
        <v>840.2</v>
      </c>
      <c r="DK52" s="2">
        <v>657</v>
      </c>
      <c r="DL52" s="2">
        <v>317</v>
      </c>
      <c r="DM52" s="5">
        <v>0.6</v>
      </c>
      <c r="DN52" s="5">
        <v>0.4</v>
      </c>
      <c r="DO52">
        <f t="shared" si="7"/>
        <v>521</v>
      </c>
      <c r="DR52" s="2">
        <v>2358</v>
      </c>
      <c r="DS52" s="2">
        <v>999</v>
      </c>
      <c r="DT52">
        <v>0.35</v>
      </c>
      <c r="DU52">
        <v>0.65</v>
      </c>
      <c r="DV52">
        <f t="shared" si="8"/>
        <v>1474.65</v>
      </c>
      <c r="EB52">
        <v>535</v>
      </c>
      <c r="ED52">
        <v>6.2822667468960063</v>
      </c>
      <c r="EE52">
        <v>-12.9688927995886</v>
      </c>
      <c r="EF52">
        <v>6.6866260526925938</v>
      </c>
      <c r="EG52">
        <v>0.124748462795811</v>
      </c>
      <c r="EJ52">
        <v>0.124748462795811</v>
      </c>
      <c r="EO52" s="2">
        <v>33149</v>
      </c>
      <c r="EP52" s="2">
        <v>32182</v>
      </c>
      <c r="EQ52" s="2">
        <v>33586</v>
      </c>
      <c r="ER52" s="2">
        <v>32192</v>
      </c>
      <c r="ES52" s="2">
        <v>31461</v>
      </c>
      <c r="ET52" s="2">
        <v>25378</v>
      </c>
      <c r="EU52" s="2">
        <v>25912</v>
      </c>
      <c r="EV52" s="2">
        <v>25862</v>
      </c>
      <c r="EW52" s="2">
        <v>22435</v>
      </c>
      <c r="EX52" s="2">
        <v>33050</v>
      </c>
      <c r="EY52" s="2">
        <v>31548</v>
      </c>
      <c r="EZ52" s="2">
        <v>32746</v>
      </c>
      <c r="FA52" s="2">
        <v>32006</v>
      </c>
      <c r="FB52" s="2">
        <v>31173</v>
      </c>
      <c r="FC52" s="2">
        <v>26403</v>
      </c>
      <c r="FD52" s="2">
        <v>27574</v>
      </c>
      <c r="FE52" s="2">
        <v>27939</v>
      </c>
      <c r="FF52" s="2">
        <v>24464</v>
      </c>
      <c r="FG52">
        <f t="shared" si="9"/>
        <v>529060</v>
      </c>
      <c r="FI52">
        <v>-13.1788571259588</v>
      </c>
      <c r="FJ52" s="2">
        <v>12.968892799588593</v>
      </c>
      <c r="FK52">
        <v>81.061316296827798</v>
      </c>
      <c r="FM52">
        <v>81.061316296827798</v>
      </c>
    </row>
    <row r="53" spans="1:169">
      <c r="A53" s="1" t="s">
        <v>0</v>
      </c>
      <c r="B53" s="1" t="s">
        <v>102</v>
      </c>
      <c r="C53" s="1" t="s">
        <v>2</v>
      </c>
      <c r="D53" s="1" t="s">
        <v>103</v>
      </c>
      <c r="E53" s="2">
        <v>1499</v>
      </c>
      <c r="F53" s="2">
        <v>1194</v>
      </c>
      <c r="G53" s="2">
        <v>1058</v>
      </c>
      <c r="H53" s="2">
        <v>1529</v>
      </c>
      <c r="I53" s="2">
        <v>202</v>
      </c>
      <c r="J53" s="2">
        <v>1579</v>
      </c>
      <c r="K53" s="4">
        <v>0.05</v>
      </c>
      <c r="L53" s="4">
        <v>0.1</v>
      </c>
      <c r="M53" s="4">
        <v>0.15</v>
      </c>
      <c r="N53" s="4">
        <v>0.2</v>
      </c>
      <c r="O53" s="4">
        <v>0.2</v>
      </c>
      <c r="P53" s="4">
        <v>0.3</v>
      </c>
      <c r="Q53" s="4">
        <f t="shared" si="0"/>
        <v>1172.95</v>
      </c>
      <c r="R53" s="4">
        <v>1172.95</v>
      </c>
      <c r="T53" s="2">
        <v>0.58863636363636362</v>
      </c>
      <c r="U53" s="2">
        <v>8.3333333333333329E-2</v>
      </c>
      <c r="V53">
        <f>(83.3889259506337)/180</f>
        <v>0.46327181083685393</v>
      </c>
      <c r="W53">
        <f>(888898)/400000</f>
        <v>2.222245</v>
      </c>
      <c r="X53">
        <v>0.3</v>
      </c>
      <c r="Y53">
        <v>-0.1</v>
      </c>
      <c r="Z53">
        <v>0.4</v>
      </c>
      <c r="AA53">
        <v>0.4</v>
      </c>
      <c r="AB53">
        <f t="shared" si="1"/>
        <v>1.2424643000923175</v>
      </c>
      <c r="AC53">
        <v>3230.4071802400317</v>
      </c>
      <c r="AG53" s="2">
        <v>5152</v>
      </c>
      <c r="AH53" s="2">
        <v>219</v>
      </c>
      <c r="AI53">
        <v>1720.8000000000002</v>
      </c>
      <c r="AJ53">
        <v>2577.5000000000005</v>
      </c>
      <c r="AK53">
        <v>0.2</v>
      </c>
      <c r="AL53">
        <v>0.2</v>
      </c>
      <c r="AM53">
        <v>0.3</v>
      </c>
      <c r="AN53">
        <v>0.3</v>
      </c>
      <c r="AO53">
        <v>2770.7817853922443</v>
      </c>
      <c r="AP53">
        <v>2363.69</v>
      </c>
      <c r="AR53">
        <v>321586</v>
      </c>
      <c r="AS53">
        <v>35213.800000000003</v>
      </c>
      <c r="AT53">
        <v>2685</v>
      </c>
      <c r="AU53">
        <v>0.3</v>
      </c>
      <c r="AV53">
        <v>0.4</v>
      </c>
      <c r="AW53">
        <v>0.3</v>
      </c>
      <c r="AX53">
        <f t="shared" si="2"/>
        <v>111366.82</v>
      </c>
      <c r="AY53">
        <v>3014.5518260941981</v>
      </c>
      <c r="BB53">
        <v>1155</v>
      </c>
      <c r="BC53">
        <v>606.15</v>
      </c>
      <c r="BD53" s="2">
        <v>144</v>
      </c>
      <c r="BE53" s="4">
        <v>0.4</v>
      </c>
      <c r="BF53" s="4">
        <v>0.3</v>
      </c>
      <c r="BG53" s="4">
        <v>0.3</v>
      </c>
      <c r="BH53">
        <f t="shared" si="3"/>
        <v>687.04500000000007</v>
      </c>
      <c r="BI53">
        <v>1395.5601562499999</v>
      </c>
      <c r="BN53">
        <v>99.518283743335701</v>
      </c>
      <c r="BO53">
        <v>76.830930115557905</v>
      </c>
      <c r="BW53" s="2">
        <v>86322</v>
      </c>
      <c r="BX53" s="2">
        <v>28542</v>
      </c>
      <c r="BY53" s="2">
        <v>2394</v>
      </c>
      <c r="BZ53" s="2">
        <v>1379</v>
      </c>
      <c r="CA53" s="3">
        <v>0.3</v>
      </c>
      <c r="CB53" s="3">
        <v>0.3</v>
      </c>
      <c r="CC53" s="3">
        <v>0.2</v>
      </c>
      <c r="CD53" s="3">
        <v>0.2</v>
      </c>
      <c r="CE53">
        <f t="shared" si="4"/>
        <v>35213.800000000003</v>
      </c>
      <c r="CJ53">
        <v>19259</v>
      </c>
      <c r="CM53">
        <v>13757</v>
      </c>
      <c r="CN53" s="2">
        <v>562182</v>
      </c>
      <c r="CS53">
        <v>264</v>
      </c>
      <c r="CT53">
        <v>840</v>
      </c>
      <c r="CU53">
        <v>5453</v>
      </c>
      <c r="CV53">
        <v>4938</v>
      </c>
      <c r="CW53">
        <v>91</v>
      </c>
      <c r="CX53">
        <v>0.5</v>
      </c>
      <c r="CY53">
        <v>0.1</v>
      </c>
      <c r="CZ53">
        <v>0.2</v>
      </c>
      <c r="DA53">
        <v>0.25</v>
      </c>
      <c r="DB53">
        <v>0.4</v>
      </c>
      <c r="DC53">
        <f t="shared" si="5"/>
        <v>2577.5000000000005</v>
      </c>
      <c r="DE53" s="2">
        <v>1547</v>
      </c>
      <c r="DF53" s="2">
        <v>257</v>
      </c>
      <c r="DG53" s="4">
        <v>0.6</v>
      </c>
      <c r="DH53" s="4">
        <v>0.4</v>
      </c>
      <c r="DI53" s="4">
        <f t="shared" si="6"/>
        <v>1031</v>
      </c>
      <c r="DK53" s="2">
        <v>711</v>
      </c>
      <c r="DL53" s="2">
        <v>249</v>
      </c>
      <c r="DM53" s="5">
        <v>0.6</v>
      </c>
      <c r="DN53" s="5">
        <v>0.4</v>
      </c>
      <c r="DO53">
        <f t="shared" si="7"/>
        <v>526.19999999999993</v>
      </c>
      <c r="DR53" s="2">
        <v>3480</v>
      </c>
      <c r="DS53" s="2">
        <v>600</v>
      </c>
      <c r="DT53">
        <v>0.35</v>
      </c>
      <c r="DU53">
        <v>0.65</v>
      </c>
      <c r="DV53">
        <f t="shared" si="8"/>
        <v>1608</v>
      </c>
      <c r="EB53">
        <v>1817</v>
      </c>
      <c r="ED53">
        <v>7.5049420683961712</v>
      </c>
      <c r="EE53">
        <v>-12.840512271774999</v>
      </c>
      <c r="EF53">
        <v>5.3355702033788281</v>
      </c>
      <c r="EG53">
        <v>0.48171625666434403</v>
      </c>
      <c r="EJ53">
        <v>0.48171625666434403</v>
      </c>
      <c r="EO53" s="2">
        <v>29059</v>
      </c>
      <c r="EP53" s="2">
        <v>30297</v>
      </c>
      <c r="EQ53" s="2">
        <v>32398</v>
      </c>
      <c r="ER53" s="2">
        <v>31161</v>
      </c>
      <c r="ES53" s="2">
        <v>29265</v>
      </c>
      <c r="ET53" s="2">
        <v>24409</v>
      </c>
      <c r="EU53" s="2">
        <v>24778</v>
      </c>
      <c r="EV53" s="2">
        <v>24789</v>
      </c>
      <c r="EW53" s="2">
        <v>21814</v>
      </c>
      <c r="EX53" s="2">
        <v>27093</v>
      </c>
      <c r="EY53" s="2">
        <v>28857</v>
      </c>
      <c r="EZ53" s="2">
        <v>31246</v>
      </c>
      <c r="FA53" s="2">
        <v>29851</v>
      </c>
      <c r="FB53" s="2">
        <v>28502</v>
      </c>
      <c r="FC53" s="2">
        <v>24351</v>
      </c>
      <c r="FD53" s="2">
        <v>24541</v>
      </c>
      <c r="FE53" s="2">
        <v>25033</v>
      </c>
      <c r="FF53" s="2">
        <v>23495</v>
      </c>
      <c r="FG53">
        <f t="shared" si="9"/>
        <v>490939</v>
      </c>
      <c r="FI53">
        <v>-13.104075162806099</v>
      </c>
      <c r="FJ53" s="2">
        <v>12.840512271774967</v>
      </c>
      <c r="FK53">
        <v>76.830930115557905</v>
      </c>
      <c r="FM53">
        <v>76.830930115557905</v>
      </c>
    </row>
    <row r="54" spans="1:169">
      <c r="A54" s="1" t="s">
        <v>0</v>
      </c>
      <c r="B54" s="1" t="s">
        <v>104</v>
      </c>
      <c r="C54" s="1" t="s">
        <v>2</v>
      </c>
      <c r="D54" s="1" t="s">
        <v>105</v>
      </c>
      <c r="E54" s="2">
        <v>2486</v>
      </c>
      <c r="F54" s="2">
        <v>1393</v>
      </c>
      <c r="G54" s="2">
        <v>1580</v>
      </c>
      <c r="H54" s="2">
        <v>2585</v>
      </c>
      <c r="I54" s="2">
        <v>414</v>
      </c>
      <c r="J54" s="2">
        <v>2636</v>
      </c>
      <c r="K54" s="4">
        <v>0.05</v>
      </c>
      <c r="L54" s="4">
        <v>0.1</v>
      </c>
      <c r="M54" s="4">
        <v>0.15</v>
      </c>
      <c r="N54" s="4">
        <v>0.2</v>
      </c>
      <c r="O54" s="4">
        <v>0.2</v>
      </c>
      <c r="P54" s="4">
        <v>0.3</v>
      </c>
      <c r="Q54" s="4">
        <f t="shared" si="0"/>
        <v>1891.2</v>
      </c>
      <c r="R54" s="4">
        <v>1891.2</v>
      </c>
      <c r="T54" s="2">
        <v>1.0245454545454546</v>
      </c>
      <c r="U54" s="2">
        <v>0.25</v>
      </c>
      <c r="V54">
        <f>(278.396436525612)/180</f>
        <v>1.5466468695867333</v>
      </c>
      <c r="W54">
        <f>(275075)/400000</f>
        <v>0.68768750000000001</v>
      </c>
      <c r="X54">
        <v>0.3</v>
      </c>
      <c r="Y54">
        <v>-0.1</v>
      </c>
      <c r="Z54">
        <v>0.4</v>
      </c>
      <c r="AA54">
        <v>0.4</v>
      </c>
      <c r="AB54">
        <f t="shared" si="1"/>
        <v>1.1760973841983298</v>
      </c>
      <c r="AC54">
        <v>3057.8531989156581</v>
      </c>
      <c r="AG54" s="2">
        <v>5090</v>
      </c>
      <c r="AH54" s="2">
        <v>309</v>
      </c>
      <c r="AI54">
        <v>639.20000000000005</v>
      </c>
      <c r="AJ54">
        <v>919.84999999999991</v>
      </c>
      <c r="AK54">
        <v>0.2</v>
      </c>
      <c r="AL54">
        <v>0.2</v>
      </c>
      <c r="AM54">
        <v>0.3</v>
      </c>
      <c r="AN54">
        <v>0.3</v>
      </c>
      <c r="AO54">
        <v>1814.0392245265991</v>
      </c>
      <c r="AP54">
        <v>1547.5149999999999</v>
      </c>
      <c r="AR54">
        <v>104805</v>
      </c>
      <c r="AS54">
        <v>14133.4</v>
      </c>
      <c r="AT54">
        <v>1968</v>
      </c>
      <c r="AU54">
        <v>0.3</v>
      </c>
      <c r="AV54">
        <v>0.4</v>
      </c>
      <c r="AW54">
        <v>0.3</v>
      </c>
      <c r="AX54">
        <f t="shared" si="2"/>
        <v>37685.26</v>
      </c>
      <c r="AY54">
        <v>1020.0899096322818</v>
      </c>
      <c r="BB54">
        <v>618</v>
      </c>
      <c r="BC54">
        <v>1026.75</v>
      </c>
      <c r="BD54" s="2">
        <v>410</v>
      </c>
      <c r="BE54" s="4">
        <v>0.4</v>
      </c>
      <c r="BF54" s="4">
        <v>0.3</v>
      </c>
      <c r="BG54" s="4">
        <v>0.3</v>
      </c>
      <c r="BH54">
        <f t="shared" si="3"/>
        <v>678.22500000000002</v>
      </c>
      <c r="BI54">
        <v>1377.64453125</v>
      </c>
      <c r="BN54">
        <v>99.752749109718906</v>
      </c>
      <c r="BO54">
        <v>82.713720735885204</v>
      </c>
      <c r="BW54" s="2">
        <v>33301</v>
      </c>
      <c r="BX54" s="2">
        <v>12441</v>
      </c>
      <c r="BY54" s="2">
        <v>1276</v>
      </c>
      <c r="BZ54" s="2">
        <v>778</v>
      </c>
      <c r="CA54" s="3">
        <v>0.3</v>
      </c>
      <c r="CB54" s="3">
        <v>0.3</v>
      </c>
      <c r="CC54" s="3">
        <v>0.2</v>
      </c>
      <c r="CD54" s="3">
        <v>0.2</v>
      </c>
      <c r="CE54">
        <f t="shared" si="4"/>
        <v>14133.4</v>
      </c>
      <c r="CJ54">
        <v>7376</v>
      </c>
      <c r="CM54">
        <v>4994</v>
      </c>
      <c r="CN54" s="2">
        <v>203772</v>
      </c>
      <c r="CS54">
        <v>51</v>
      </c>
      <c r="CT54">
        <v>373</v>
      </c>
      <c r="CU54">
        <v>2275</v>
      </c>
      <c r="CV54">
        <v>1541</v>
      </c>
      <c r="CW54">
        <v>42</v>
      </c>
      <c r="CX54">
        <v>0.5</v>
      </c>
      <c r="CY54">
        <v>0.1</v>
      </c>
      <c r="CZ54">
        <v>0.2</v>
      </c>
      <c r="DA54">
        <v>0.25</v>
      </c>
      <c r="DB54">
        <v>0.4</v>
      </c>
      <c r="DC54">
        <f t="shared" si="5"/>
        <v>919.84999999999991</v>
      </c>
      <c r="DE54" s="2">
        <v>2462</v>
      </c>
      <c r="DF54" s="2">
        <v>609</v>
      </c>
      <c r="DG54" s="4">
        <v>0.6</v>
      </c>
      <c r="DH54" s="4">
        <v>0.4</v>
      </c>
      <c r="DI54" s="4">
        <f t="shared" si="6"/>
        <v>1720.8000000000002</v>
      </c>
      <c r="DK54" s="2">
        <v>1750</v>
      </c>
      <c r="DL54" s="2">
        <v>373</v>
      </c>
      <c r="DM54" s="5">
        <v>0.6</v>
      </c>
      <c r="DN54" s="5">
        <v>0.4</v>
      </c>
      <c r="DO54">
        <f>SUMPRODUCT(DK54:DL54,DM54:DN54)</f>
        <v>1199.2</v>
      </c>
      <c r="DR54" s="2">
        <v>1288</v>
      </c>
      <c r="DS54" s="2">
        <v>239</v>
      </c>
      <c r="DT54">
        <v>0.35</v>
      </c>
      <c r="DU54">
        <v>0.65</v>
      </c>
      <c r="DV54">
        <f t="shared" si="8"/>
        <v>606.15</v>
      </c>
      <c r="EB54">
        <v>1390</v>
      </c>
      <c r="ED54">
        <v>7.2370590261247374</v>
      </c>
      <c r="EE54">
        <v>-13.239580919866199</v>
      </c>
      <c r="EF54">
        <v>6.0025218937414619</v>
      </c>
      <c r="EG54">
        <v>0.24725089028109301</v>
      </c>
      <c r="EJ54">
        <v>0.24725089028109301</v>
      </c>
      <c r="EO54" s="2">
        <v>52036</v>
      </c>
      <c r="EP54" s="2">
        <v>50445</v>
      </c>
      <c r="EQ54" s="2">
        <v>52294</v>
      </c>
      <c r="ER54" s="2">
        <v>55536</v>
      </c>
      <c r="ES54" s="2">
        <v>45723</v>
      </c>
      <c r="ET54" s="2">
        <v>27765</v>
      </c>
      <c r="EU54" s="2">
        <v>27451</v>
      </c>
      <c r="EV54" s="2">
        <v>28362</v>
      </c>
      <c r="EW54" s="2">
        <v>19546</v>
      </c>
      <c r="EX54" s="2">
        <v>44900</v>
      </c>
      <c r="EY54" s="2">
        <v>43757</v>
      </c>
      <c r="EZ54" s="2">
        <v>46167</v>
      </c>
      <c r="FA54" s="2">
        <v>49548</v>
      </c>
      <c r="FB54" s="2">
        <v>41888</v>
      </c>
      <c r="FC54" s="2">
        <v>25583</v>
      </c>
      <c r="FD54" s="2">
        <v>25460</v>
      </c>
      <c r="FE54" s="2">
        <v>26666</v>
      </c>
      <c r="FF54" s="2">
        <v>16545</v>
      </c>
      <c r="FG54">
        <f t="shared" si="9"/>
        <v>679672</v>
      </c>
      <c r="FI54">
        <v>-13.4293656078415</v>
      </c>
      <c r="FJ54" s="2">
        <v>13.239580919866237</v>
      </c>
      <c r="FK54">
        <v>82.713720735885204</v>
      </c>
      <c r="FM54">
        <v>82.713720735885204</v>
      </c>
    </row>
    <row r="55" spans="1:169">
      <c r="A55" s="1" t="s">
        <v>0</v>
      </c>
      <c r="B55" s="1" t="s">
        <v>106</v>
      </c>
      <c r="C55" s="1" t="s">
        <v>2</v>
      </c>
      <c r="D55" s="1" t="s">
        <v>107</v>
      </c>
      <c r="E55" s="2">
        <v>3977</v>
      </c>
      <c r="F55" s="2">
        <v>2228</v>
      </c>
      <c r="G55" s="2">
        <v>2893</v>
      </c>
      <c r="H55" s="2">
        <v>4425</v>
      </c>
      <c r="I55" s="2">
        <v>1124</v>
      </c>
      <c r="J55" s="2">
        <v>4445</v>
      </c>
      <c r="K55" s="4">
        <v>0.05</v>
      </c>
      <c r="L55" s="4">
        <v>0.1</v>
      </c>
      <c r="M55" s="4">
        <v>0.15</v>
      </c>
      <c r="N55" s="4">
        <v>0.2</v>
      </c>
      <c r="O55" s="4">
        <v>0.2</v>
      </c>
      <c r="P55" s="4">
        <v>0.3</v>
      </c>
      <c r="Q55" s="4">
        <f t="shared" si="0"/>
        <v>3298.8999999999996</v>
      </c>
      <c r="R55" s="4">
        <v>3298.9</v>
      </c>
      <c r="T55" s="2">
        <v>1.4618181818181819</v>
      </c>
      <c r="U55" s="2">
        <v>2.375</v>
      </c>
      <c r="V55">
        <f>(167.841557569654)/180</f>
        <v>0.93245309760918882</v>
      </c>
      <c r="W55">
        <f>(388966)/400000</f>
        <v>0.97241500000000003</v>
      </c>
      <c r="X55">
        <v>0.3</v>
      </c>
      <c r="Y55">
        <v>-0.1</v>
      </c>
      <c r="Z55">
        <v>0.4</v>
      </c>
      <c r="AA55">
        <v>0.4</v>
      </c>
      <c r="AB55">
        <f t="shared" si="1"/>
        <v>0.96299269358913009</v>
      </c>
      <c r="AC55">
        <v>2503.7810033317432</v>
      </c>
      <c r="AG55" s="2">
        <v>1351</v>
      </c>
      <c r="AH55" s="2">
        <v>643</v>
      </c>
      <c r="AI55">
        <v>967.4</v>
      </c>
      <c r="AJ55">
        <v>1318.8000000000002</v>
      </c>
      <c r="AK55">
        <v>0.2</v>
      </c>
      <c r="AL55">
        <v>0.2</v>
      </c>
      <c r="AM55">
        <v>0.3</v>
      </c>
      <c r="AN55">
        <v>0.3</v>
      </c>
      <c r="AO55">
        <v>1271.4679891794401</v>
      </c>
      <c r="AP55">
        <v>1084.6600000000001</v>
      </c>
      <c r="AR55">
        <v>206010</v>
      </c>
      <c r="AS55">
        <v>23764.1</v>
      </c>
      <c r="AT55">
        <v>941</v>
      </c>
      <c r="AU55">
        <v>0.3</v>
      </c>
      <c r="AV55">
        <v>0.4</v>
      </c>
      <c r="AW55">
        <v>0.3</v>
      </c>
      <c r="AX55">
        <f t="shared" si="2"/>
        <v>71590.94</v>
      </c>
      <c r="AY55">
        <v>1937.8716112105947</v>
      </c>
      <c r="BB55">
        <v>876</v>
      </c>
      <c r="BC55">
        <v>1787.4</v>
      </c>
      <c r="BD55" s="2">
        <v>456</v>
      </c>
      <c r="BE55" s="4">
        <v>0.4</v>
      </c>
      <c r="BF55" s="4">
        <v>0.3</v>
      </c>
      <c r="BG55" s="4">
        <v>0.3</v>
      </c>
      <c r="BH55">
        <f t="shared" si="3"/>
        <v>1023.4200000000001</v>
      </c>
      <c r="BI55">
        <v>2078.8218750000001</v>
      </c>
      <c r="BN55">
        <v>99.680525292974494</v>
      </c>
      <c r="BO55">
        <v>89.597284451108095</v>
      </c>
      <c r="BW55" s="2">
        <v>59521</v>
      </c>
      <c r="BX55" s="2">
        <v>15128</v>
      </c>
      <c r="BY55" s="2">
        <v>5082</v>
      </c>
      <c r="BZ55" s="2">
        <v>1765</v>
      </c>
      <c r="CA55" s="3">
        <v>0.3</v>
      </c>
      <c r="CB55" s="3">
        <v>0.3</v>
      </c>
      <c r="CC55" s="3">
        <v>0.2</v>
      </c>
      <c r="CD55" s="3">
        <v>0.2</v>
      </c>
      <c r="CE55">
        <f t="shared" si="4"/>
        <v>23764.1</v>
      </c>
      <c r="CJ55">
        <v>12512</v>
      </c>
      <c r="CM55">
        <v>7940</v>
      </c>
      <c r="CN55" s="2">
        <v>349867</v>
      </c>
      <c r="CS55">
        <v>266</v>
      </c>
      <c r="CT55">
        <v>523</v>
      </c>
      <c r="CU55">
        <v>2689</v>
      </c>
      <c r="CV55">
        <v>2290</v>
      </c>
      <c r="CW55">
        <v>58</v>
      </c>
      <c r="CX55">
        <v>0.5</v>
      </c>
      <c r="CY55">
        <v>0.1</v>
      </c>
      <c r="CZ55">
        <v>0.2</v>
      </c>
      <c r="DA55">
        <v>0.25</v>
      </c>
      <c r="DB55">
        <v>0.4</v>
      </c>
      <c r="DC55">
        <f t="shared" si="5"/>
        <v>1318.8000000000002</v>
      </c>
      <c r="DE55" s="2">
        <v>924</v>
      </c>
      <c r="DF55" s="2">
        <v>212</v>
      </c>
      <c r="DG55" s="4">
        <v>0.6</v>
      </c>
      <c r="DH55" s="4">
        <v>0.4</v>
      </c>
      <c r="DI55" s="4">
        <f t="shared" si="6"/>
        <v>639.20000000000005</v>
      </c>
      <c r="DK55" s="2">
        <v>514</v>
      </c>
      <c r="DL55" s="2">
        <v>127</v>
      </c>
      <c r="DM55" s="5">
        <v>0.6</v>
      </c>
      <c r="DN55" s="5">
        <v>0.4</v>
      </c>
      <c r="DO55">
        <f t="shared" si="7"/>
        <v>359.2</v>
      </c>
      <c r="DR55" s="2">
        <v>2252</v>
      </c>
      <c r="DS55" s="2">
        <v>367</v>
      </c>
      <c r="DT55">
        <v>0.35</v>
      </c>
      <c r="DU55">
        <v>0.65</v>
      </c>
      <c r="DV55">
        <f t="shared" si="8"/>
        <v>1026.75</v>
      </c>
      <c r="EB55">
        <v>651</v>
      </c>
      <c r="ED55">
        <v>6.4785096422085688</v>
      </c>
      <c r="EE55">
        <v>-12.2247570007343</v>
      </c>
      <c r="EF55">
        <v>5.7462473585257312</v>
      </c>
      <c r="EG55">
        <v>0.31947470702550002</v>
      </c>
      <c r="EJ55">
        <v>0.31947470702550002</v>
      </c>
      <c r="EO55" s="2">
        <v>19158</v>
      </c>
      <c r="EP55" s="2">
        <v>17070</v>
      </c>
      <c r="EQ55" s="2">
        <v>17549</v>
      </c>
      <c r="ER55" s="2">
        <v>17422</v>
      </c>
      <c r="ES55" s="2">
        <v>14197</v>
      </c>
      <c r="ET55" s="2">
        <v>11115</v>
      </c>
      <c r="EU55" s="2">
        <v>10297</v>
      </c>
      <c r="EV55" s="2">
        <v>10086</v>
      </c>
      <c r="EW55" s="2">
        <v>6659</v>
      </c>
      <c r="EX55" s="2">
        <v>15938</v>
      </c>
      <c r="EY55" s="2">
        <v>14492</v>
      </c>
      <c r="EZ55" s="2">
        <v>15077</v>
      </c>
      <c r="FA55" s="2">
        <v>14803</v>
      </c>
      <c r="FB55" s="2">
        <v>12365</v>
      </c>
      <c r="FC55" s="2">
        <v>8990</v>
      </c>
      <c r="FD55" s="2">
        <v>8502</v>
      </c>
      <c r="FE55" s="2">
        <v>8732</v>
      </c>
      <c r="FF55" s="2">
        <v>4979</v>
      </c>
      <c r="FG55">
        <f t="shared" si="9"/>
        <v>227431</v>
      </c>
      <c r="FI55">
        <v>-12.334602174666101</v>
      </c>
      <c r="FJ55" s="2">
        <v>12.224757000734302</v>
      </c>
      <c r="FK55">
        <v>89.597284451108095</v>
      </c>
      <c r="FM55">
        <v>89.597284451108095</v>
      </c>
    </row>
    <row r="56" spans="1:169">
      <c r="A56" s="1" t="s">
        <v>0</v>
      </c>
      <c r="B56" s="1" t="s">
        <v>108</v>
      </c>
      <c r="C56" s="1" t="s">
        <v>2</v>
      </c>
      <c r="D56" s="1" t="s">
        <v>109</v>
      </c>
      <c r="E56" s="2">
        <v>3117</v>
      </c>
      <c r="F56" s="2">
        <v>2146</v>
      </c>
      <c r="G56" s="2">
        <v>2042</v>
      </c>
      <c r="H56" s="2">
        <v>3179</v>
      </c>
      <c r="I56" s="2">
        <v>1081</v>
      </c>
      <c r="J56" s="2">
        <v>3222</v>
      </c>
      <c r="K56" s="4">
        <v>0.05</v>
      </c>
      <c r="L56" s="4">
        <v>0.1</v>
      </c>
      <c r="M56" s="4">
        <v>0.15</v>
      </c>
      <c r="N56" s="4">
        <v>0.2</v>
      </c>
      <c r="O56" s="4">
        <v>0.2</v>
      </c>
      <c r="P56" s="4">
        <v>0.3</v>
      </c>
      <c r="Q56" s="4">
        <f t="shared" si="0"/>
        <v>2495.3500000000004</v>
      </c>
      <c r="R56" s="4">
        <v>2495.35</v>
      </c>
      <c r="T56" s="2">
        <v>1.2286363636363635</v>
      </c>
      <c r="U56" s="2">
        <v>0.125</v>
      </c>
      <c r="V56">
        <f>(99.5817566221868)/180</f>
        <v>0.55323198123437112</v>
      </c>
      <c r="W56">
        <f>(616683)/400000</f>
        <v>1.5417075</v>
      </c>
      <c r="X56">
        <v>0.3</v>
      </c>
      <c r="Y56">
        <v>-0.1</v>
      </c>
      <c r="Z56">
        <v>0.4</v>
      </c>
      <c r="AA56">
        <v>0.4</v>
      </c>
      <c r="AB56">
        <f t="shared" si="1"/>
        <v>1.1940667015846576</v>
      </c>
      <c r="AC56">
        <v>3104.5734241201162</v>
      </c>
      <c r="AG56" s="2">
        <v>2456</v>
      </c>
      <c r="AH56" s="2">
        <v>679</v>
      </c>
      <c r="AI56">
        <v>1587.4</v>
      </c>
      <c r="AJ56">
        <v>3633.2500000000005</v>
      </c>
      <c r="AK56">
        <v>0.2</v>
      </c>
      <c r="AL56">
        <v>0.2</v>
      </c>
      <c r="AM56">
        <v>0.3</v>
      </c>
      <c r="AN56">
        <v>0.3</v>
      </c>
      <c r="AO56">
        <v>2570.9229035166823</v>
      </c>
      <c r="AP56">
        <v>2193.1950000000002</v>
      </c>
      <c r="AR56">
        <v>349383</v>
      </c>
      <c r="AS56">
        <v>40901.4</v>
      </c>
      <c r="AT56">
        <v>6123</v>
      </c>
      <c r="AU56">
        <v>0.3</v>
      </c>
      <c r="AV56">
        <v>0.4</v>
      </c>
      <c r="AW56">
        <v>0.3</v>
      </c>
      <c r="AX56">
        <f t="shared" si="2"/>
        <v>123012.35999999999</v>
      </c>
      <c r="AY56">
        <v>3329.7811185607802</v>
      </c>
      <c r="BB56">
        <v>1019</v>
      </c>
      <c r="BC56">
        <v>1188.75</v>
      </c>
      <c r="BD56" s="2">
        <v>410</v>
      </c>
      <c r="BE56" s="4">
        <v>0.4</v>
      </c>
      <c r="BF56" s="4">
        <v>0.3</v>
      </c>
      <c r="BG56" s="4">
        <v>0.3</v>
      </c>
      <c r="BH56">
        <f t="shared" si="3"/>
        <v>887.22500000000002</v>
      </c>
      <c r="BI56">
        <v>1802.17578125</v>
      </c>
      <c r="BN56">
        <v>99.716463684771597</v>
      </c>
      <c r="BO56">
        <v>79.570203049375891</v>
      </c>
      <c r="BW56" s="2">
        <v>98621</v>
      </c>
      <c r="BX56" s="2">
        <v>36977</v>
      </c>
      <c r="BY56" s="2">
        <v>736</v>
      </c>
      <c r="BZ56" s="2">
        <v>374</v>
      </c>
      <c r="CA56" s="3">
        <v>0.3</v>
      </c>
      <c r="CB56" s="3">
        <v>0.3</v>
      </c>
      <c r="CC56" s="3">
        <v>0.2</v>
      </c>
      <c r="CD56" s="3">
        <v>0.2</v>
      </c>
      <c r="CE56">
        <f t="shared" si="4"/>
        <v>40901.4</v>
      </c>
      <c r="CJ56">
        <v>22595</v>
      </c>
      <c r="CM56">
        <v>18874</v>
      </c>
      <c r="CN56" s="2">
        <v>565719</v>
      </c>
      <c r="CS56">
        <v>653</v>
      </c>
      <c r="CT56">
        <v>1901</v>
      </c>
      <c r="CU56">
        <v>5958</v>
      </c>
      <c r="CV56">
        <v>7313</v>
      </c>
      <c r="CW56">
        <v>242</v>
      </c>
      <c r="CX56">
        <v>0.5</v>
      </c>
      <c r="CY56">
        <v>0.1</v>
      </c>
      <c r="CZ56">
        <v>0.2</v>
      </c>
      <c r="DA56">
        <v>0.25</v>
      </c>
      <c r="DB56">
        <v>0.4</v>
      </c>
      <c r="DC56">
        <f t="shared" si="5"/>
        <v>3633.2500000000005</v>
      </c>
      <c r="DE56" s="2">
        <v>1463</v>
      </c>
      <c r="DF56" s="2">
        <v>224</v>
      </c>
      <c r="DG56" s="4">
        <v>0.6</v>
      </c>
      <c r="DH56" s="4">
        <v>0.4</v>
      </c>
      <c r="DI56" s="4">
        <f t="shared" si="6"/>
        <v>967.4</v>
      </c>
      <c r="DK56" s="2">
        <v>873</v>
      </c>
      <c r="DL56" s="2">
        <v>180</v>
      </c>
      <c r="DM56" s="5">
        <v>0.6</v>
      </c>
      <c r="DN56" s="5">
        <v>0.4</v>
      </c>
      <c r="DO56">
        <f t="shared" si="7"/>
        <v>595.79999999999995</v>
      </c>
      <c r="DR56" s="2">
        <v>3155</v>
      </c>
      <c r="DS56" s="2">
        <v>1051</v>
      </c>
      <c r="DT56">
        <v>0.35</v>
      </c>
      <c r="DU56">
        <v>0.65</v>
      </c>
      <c r="DV56">
        <f t="shared" si="8"/>
        <v>1787.4</v>
      </c>
      <c r="EB56">
        <v>992</v>
      </c>
      <c r="ED56">
        <v>6.8997231072848724</v>
      </c>
      <c r="EE56">
        <v>-12.7653083612473</v>
      </c>
      <c r="EF56">
        <v>5.8655852539624274</v>
      </c>
      <c r="EG56">
        <v>0.28353631522835798</v>
      </c>
      <c r="EJ56">
        <v>0.28353631522835798</v>
      </c>
      <c r="EO56" s="2">
        <v>38099</v>
      </c>
      <c r="EP56" s="2">
        <v>35819</v>
      </c>
      <c r="EQ56" s="2">
        <v>36002</v>
      </c>
      <c r="ER56" s="2">
        <v>33385</v>
      </c>
      <c r="ES56" s="2">
        <v>28736</v>
      </c>
      <c r="ET56" s="2">
        <v>19021</v>
      </c>
      <c r="EU56" s="2">
        <v>17451</v>
      </c>
      <c r="EV56" s="2">
        <v>16733</v>
      </c>
      <c r="EW56" s="2">
        <v>8809</v>
      </c>
      <c r="EX56" s="2">
        <v>33868</v>
      </c>
      <c r="EY56" s="2">
        <v>32051</v>
      </c>
      <c r="EZ56" s="2">
        <v>32728</v>
      </c>
      <c r="FA56" s="2">
        <v>30165</v>
      </c>
      <c r="FB56" s="2">
        <v>25406</v>
      </c>
      <c r="FC56" s="2">
        <v>15991</v>
      </c>
      <c r="FD56" s="2">
        <v>14808</v>
      </c>
      <c r="FE56" s="2">
        <v>13787</v>
      </c>
      <c r="FF56" s="2">
        <v>6837</v>
      </c>
      <c r="FG56">
        <f t="shared" si="9"/>
        <v>439696</v>
      </c>
      <c r="FI56">
        <v>-12.9938388580159</v>
      </c>
      <c r="FJ56" s="2">
        <v>12.7653083612473</v>
      </c>
      <c r="FK56">
        <v>79.570203049375891</v>
      </c>
      <c r="FM56">
        <v>79.570203049375891</v>
      </c>
    </row>
    <row r="57" spans="1:169">
      <c r="A57" s="1" t="s">
        <v>0</v>
      </c>
      <c r="B57" s="1" t="s">
        <v>110</v>
      </c>
      <c r="C57" s="1" t="s">
        <v>2</v>
      </c>
      <c r="D57" s="1" t="s">
        <v>111</v>
      </c>
      <c r="E57" s="2">
        <v>3134</v>
      </c>
      <c r="F57" s="2">
        <v>1870</v>
      </c>
      <c r="G57" s="2">
        <v>2579</v>
      </c>
      <c r="H57" s="2">
        <v>3233</v>
      </c>
      <c r="I57" s="2">
        <v>1683</v>
      </c>
      <c r="J57" s="2">
        <v>3223</v>
      </c>
      <c r="K57" s="4">
        <v>0.05</v>
      </c>
      <c r="L57" s="4">
        <v>0.1</v>
      </c>
      <c r="M57" s="4">
        <v>0.15</v>
      </c>
      <c r="N57" s="4">
        <v>0.2</v>
      </c>
      <c r="O57" s="4">
        <v>0.2</v>
      </c>
      <c r="P57" s="4">
        <v>0.3</v>
      </c>
      <c r="Q57" s="4">
        <f t="shared" si="0"/>
        <v>2680.65</v>
      </c>
      <c r="R57" s="4">
        <v>2680.65</v>
      </c>
      <c r="T57" s="2">
        <v>1.1477272727272727</v>
      </c>
      <c r="U57" s="2">
        <v>0.29166666666666669</v>
      </c>
      <c r="V57">
        <f>(110.864745011086)/180</f>
        <v>0.61591525006158887</v>
      </c>
      <c r="W57">
        <f>(634990)/400000</f>
        <v>1.587475</v>
      </c>
      <c r="X57">
        <v>0.3</v>
      </c>
      <c r="Y57">
        <v>-0.1</v>
      </c>
      <c r="Z57">
        <v>0.4</v>
      </c>
      <c r="AA57">
        <v>0.4</v>
      </c>
      <c r="AB57">
        <f t="shared" si="1"/>
        <v>1.1965076151761509</v>
      </c>
      <c r="AC57">
        <v>3110.9197994579899</v>
      </c>
      <c r="AG57" s="2">
        <v>6408</v>
      </c>
      <c r="AH57" s="2">
        <v>414</v>
      </c>
      <c r="AI57">
        <v>1305.3999999999999</v>
      </c>
      <c r="AJ57">
        <v>1817.5000000000002</v>
      </c>
      <c r="AK57">
        <v>0.2</v>
      </c>
      <c r="AL57">
        <v>0.2</v>
      </c>
      <c r="AM57">
        <v>0.3</v>
      </c>
      <c r="AN57">
        <v>0.3</v>
      </c>
      <c r="AO57">
        <v>2697.6113615870122</v>
      </c>
      <c r="AP57">
        <v>2301.27</v>
      </c>
      <c r="AR57">
        <v>247393</v>
      </c>
      <c r="AS57">
        <v>31998.6</v>
      </c>
      <c r="AT57">
        <v>6868</v>
      </c>
      <c r="AU57">
        <v>0.3</v>
      </c>
      <c r="AV57">
        <v>0.4</v>
      </c>
      <c r="AW57">
        <v>0.3</v>
      </c>
      <c r="AX57">
        <f t="shared" si="2"/>
        <v>89077.739999999991</v>
      </c>
      <c r="AY57">
        <v>2411.2160496397792</v>
      </c>
      <c r="BB57">
        <v>251</v>
      </c>
      <c r="BC57">
        <v>1355.9</v>
      </c>
      <c r="BD57" s="2">
        <v>556</v>
      </c>
      <c r="BE57" s="4">
        <v>0.4</v>
      </c>
      <c r="BF57" s="4">
        <v>0.3</v>
      </c>
      <c r="BG57" s="4">
        <v>0.3</v>
      </c>
      <c r="BH57">
        <f t="shared" si="3"/>
        <v>673.97</v>
      </c>
      <c r="BI57">
        <v>1369.0015625000001</v>
      </c>
      <c r="BN57">
        <v>99.789824983781699</v>
      </c>
      <c r="BO57">
        <v>79.061053990862789</v>
      </c>
      <c r="BW57" s="2">
        <v>78973</v>
      </c>
      <c r="BX57" s="2">
        <v>27341</v>
      </c>
      <c r="BY57" s="2">
        <v>332</v>
      </c>
      <c r="BZ57" s="2">
        <v>190</v>
      </c>
      <c r="CA57" s="3">
        <v>0.3</v>
      </c>
      <c r="CB57" s="3">
        <v>0.3</v>
      </c>
      <c r="CC57" s="3">
        <v>0.2</v>
      </c>
      <c r="CD57" s="3">
        <v>0.2</v>
      </c>
      <c r="CE57">
        <f t="shared" si="4"/>
        <v>31998.6</v>
      </c>
      <c r="CJ57">
        <v>14390</v>
      </c>
      <c r="CM57">
        <v>9800</v>
      </c>
      <c r="CN57" s="2">
        <v>406064</v>
      </c>
      <c r="CS57">
        <v>354</v>
      </c>
      <c r="CT57">
        <v>918</v>
      </c>
      <c r="CU57">
        <v>4239</v>
      </c>
      <c r="CV57">
        <v>2586</v>
      </c>
      <c r="CW57">
        <v>136</v>
      </c>
      <c r="CX57">
        <v>0.5</v>
      </c>
      <c r="CY57">
        <v>0.1</v>
      </c>
      <c r="CZ57">
        <v>0.2</v>
      </c>
      <c r="DA57">
        <v>0.25</v>
      </c>
      <c r="DB57">
        <v>0.4</v>
      </c>
      <c r="DC57">
        <f t="shared" si="5"/>
        <v>1817.5000000000002</v>
      </c>
      <c r="DE57" s="2">
        <v>2347</v>
      </c>
      <c r="DF57" s="2">
        <v>448</v>
      </c>
      <c r="DG57" s="4">
        <v>0.6</v>
      </c>
      <c r="DH57" s="4">
        <v>0.4</v>
      </c>
      <c r="DI57" s="4">
        <f t="shared" si="6"/>
        <v>1587.4</v>
      </c>
      <c r="DK57" s="2">
        <v>1359</v>
      </c>
      <c r="DL57" s="2">
        <v>472</v>
      </c>
      <c r="DM57" s="5">
        <v>0.6</v>
      </c>
      <c r="DN57" s="5">
        <v>0.4</v>
      </c>
      <c r="DO57">
        <f t="shared" si="7"/>
        <v>1004.2</v>
      </c>
      <c r="DR57" s="2">
        <v>2648</v>
      </c>
      <c r="DS57" s="2">
        <v>403</v>
      </c>
      <c r="DT57">
        <v>0.35</v>
      </c>
      <c r="DU57">
        <v>0.65</v>
      </c>
      <c r="DV57">
        <f t="shared" si="8"/>
        <v>1188.75</v>
      </c>
      <c r="EB57">
        <v>1189</v>
      </c>
      <c r="ED57">
        <v>7.0808678966907816</v>
      </c>
      <c r="EE57">
        <v>-13.245852767474</v>
      </c>
      <c r="EF57">
        <v>6.1649848707832184</v>
      </c>
      <c r="EG57">
        <v>0.21017501621829102</v>
      </c>
      <c r="EJ57">
        <v>0.21017501621829102</v>
      </c>
      <c r="EO57" s="2">
        <v>52136</v>
      </c>
      <c r="EP57" s="2">
        <v>51888</v>
      </c>
      <c r="EQ57" s="2">
        <v>52354</v>
      </c>
      <c r="ER57" s="2">
        <v>46215</v>
      </c>
      <c r="ES57" s="2">
        <v>42022</v>
      </c>
      <c r="ET57" s="2">
        <v>31619</v>
      </c>
      <c r="EU57" s="2">
        <v>31840</v>
      </c>
      <c r="EV57" s="2">
        <v>32962</v>
      </c>
      <c r="EW57" s="2">
        <v>27728</v>
      </c>
      <c r="EX57" s="2">
        <v>47255</v>
      </c>
      <c r="EY57" s="2">
        <v>47737</v>
      </c>
      <c r="EZ57" s="2">
        <v>49075</v>
      </c>
      <c r="FA57" s="2">
        <v>44708</v>
      </c>
      <c r="FB57" s="2">
        <v>40275</v>
      </c>
      <c r="FC57" s="2">
        <v>30172</v>
      </c>
      <c r="FD57" s="2">
        <v>30552</v>
      </c>
      <c r="FE57" s="2">
        <v>33020</v>
      </c>
      <c r="FF57" s="2">
        <v>23989</v>
      </c>
      <c r="FG57">
        <f t="shared" si="9"/>
        <v>715547</v>
      </c>
      <c r="FI57">
        <v>-13.4808025641511</v>
      </c>
      <c r="FJ57" s="2">
        <v>13.245852767473961</v>
      </c>
      <c r="FK57">
        <v>79.061053990862789</v>
      </c>
      <c r="FM57">
        <v>79.061053990862789</v>
      </c>
    </row>
    <row r="58" spans="1:169">
      <c r="A58" s="1" t="s">
        <v>0</v>
      </c>
      <c r="B58" s="1" t="s">
        <v>112</v>
      </c>
      <c r="C58" s="1" t="s">
        <v>2</v>
      </c>
      <c r="D58" s="1" t="s">
        <v>113</v>
      </c>
      <c r="E58" s="2">
        <v>1961</v>
      </c>
      <c r="F58" s="2">
        <v>1575</v>
      </c>
      <c r="G58" s="2">
        <v>1754</v>
      </c>
      <c r="H58" s="2">
        <v>1944</v>
      </c>
      <c r="I58" s="2">
        <v>707</v>
      </c>
      <c r="J58" s="2">
        <v>1986</v>
      </c>
      <c r="K58" s="4">
        <v>0.05</v>
      </c>
      <c r="L58" s="4">
        <v>0.1</v>
      </c>
      <c r="M58" s="4">
        <v>0.15</v>
      </c>
      <c r="N58" s="4">
        <v>0.2</v>
      </c>
      <c r="O58" s="4">
        <v>0.2</v>
      </c>
      <c r="P58" s="4">
        <v>0.3</v>
      </c>
      <c r="Q58" s="4">
        <f t="shared" si="0"/>
        <v>1644.65</v>
      </c>
      <c r="R58" s="4">
        <v>1644.65</v>
      </c>
      <c r="T58" s="2">
        <v>0.7295454545454545</v>
      </c>
      <c r="U58" s="2">
        <v>0</v>
      </c>
      <c r="V58">
        <f>(193.050193050193)/180</f>
        <v>1.0725010725010722</v>
      </c>
      <c r="W58">
        <f>(401450)/400000</f>
        <v>1.003625</v>
      </c>
      <c r="X58">
        <v>0.3</v>
      </c>
      <c r="Y58">
        <v>-0.1</v>
      </c>
      <c r="Z58">
        <v>0.4</v>
      </c>
      <c r="AA58">
        <v>0.4</v>
      </c>
      <c r="AB58">
        <f t="shared" si="1"/>
        <v>1.0493140653640654</v>
      </c>
      <c r="AC58">
        <v>2728.2165699465822</v>
      </c>
      <c r="AG58" s="2">
        <v>2752</v>
      </c>
      <c r="AH58" s="2">
        <v>248</v>
      </c>
      <c r="AI58">
        <v>975.8</v>
      </c>
      <c r="AJ58">
        <v>2197.3000000000002</v>
      </c>
      <c r="AK58">
        <v>0.2</v>
      </c>
      <c r="AL58">
        <v>0.2</v>
      </c>
      <c r="AM58">
        <v>0.3</v>
      </c>
      <c r="AN58">
        <v>0.3</v>
      </c>
      <c r="AO58">
        <v>1819.2146077547338</v>
      </c>
      <c r="AP58">
        <v>1551.93</v>
      </c>
      <c r="AR58">
        <v>273755</v>
      </c>
      <c r="AS58">
        <v>36257.799999999996</v>
      </c>
      <c r="AT58">
        <v>5612</v>
      </c>
      <c r="AU58">
        <v>0.3</v>
      </c>
      <c r="AV58">
        <v>0.4</v>
      </c>
      <c r="AW58">
        <v>0.3</v>
      </c>
      <c r="AX58">
        <f t="shared" si="2"/>
        <v>98313.22</v>
      </c>
      <c r="AY58">
        <v>2661.2082205472138</v>
      </c>
      <c r="BB58">
        <v>1793</v>
      </c>
      <c r="BC58">
        <v>793.14999999999986</v>
      </c>
      <c r="BD58" s="2">
        <v>437</v>
      </c>
      <c r="BE58" s="4">
        <v>0.4</v>
      </c>
      <c r="BF58" s="4">
        <v>0.3</v>
      </c>
      <c r="BG58" s="4">
        <v>0.3</v>
      </c>
      <c r="BH58">
        <f t="shared" si="3"/>
        <v>1086.2449999999999</v>
      </c>
      <c r="BI58">
        <v>2206.4351562500001</v>
      </c>
      <c r="BN58">
        <v>99.938187083809495</v>
      </c>
      <c r="BO58">
        <v>82.815951182996599</v>
      </c>
      <c r="BW58" s="2">
        <v>81305</v>
      </c>
      <c r="BX58" s="2">
        <v>39305</v>
      </c>
      <c r="BY58" s="2">
        <v>256</v>
      </c>
      <c r="BZ58" s="2">
        <v>118</v>
      </c>
      <c r="CA58" s="3">
        <v>0.3</v>
      </c>
      <c r="CB58" s="3">
        <v>0.3</v>
      </c>
      <c r="CC58" s="3">
        <v>0.2</v>
      </c>
      <c r="CD58" s="3">
        <v>0.2</v>
      </c>
      <c r="CE58">
        <f t="shared" si="4"/>
        <v>36257.799999999996</v>
      </c>
      <c r="CJ58">
        <v>15864</v>
      </c>
      <c r="CM58">
        <v>11537</v>
      </c>
      <c r="CN58" s="2">
        <v>434962</v>
      </c>
      <c r="CS58">
        <v>336</v>
      </c>
      <c r="CT58">
        <v>1194</v>
      </c>
      <c r="CU58">
        <v>4870</v>
      </c>
      <c r="CV58">
        <v>3606</v>
      </c>
      <c r="CW58">
        <v>86</v>
      </c>
      <c r="CX58">
        <v>0.5</v>
      </c>
      <c r="CY58">
        <v>0.1</v>
      </c>
      <c r="CZ58">
        <v>0.2</v>
      </c>
      <c r="DA58">
        <v>0.25</v>
      </c>
      <c r="DB58">
        <v>0.4</v>
      </c>
      <c r="DC58">
        <f t="shared" si="5"/>
        <v>2197.3000000000002</v>
      </c>
      <c r="DE58" s="2">
        <v>1871</v>
      </c>
      <c r="DF58" s="2">
        <v>457</v>
      </c>
      <c r="DG58" s="4">
        <v>0.6</v>
      </c>
      <c r="DH58" s="4">
        <v>0.4</v>
      </c>
      <c r="DI58" s="4">
        <f t="shared" si="6"/>
        <v>1305.3999999999999</v>
      </c>
      <c r="DK58" s="2">
        <v>1286</v>
      </c>
      <c r="DL58" s="2">
        <v>326</v>
      </c>
      <c r="DM58" s="5">
        <v>0.6</v>
      </c>
      <c r="DN58" s="5">
        <v>0.4</v>
      </c>
      <c r="DO58">
        <f t="shared" si="7"/>
        <v>902</v>
      </c>
      <c r="DR58" s="2">
        <v>2405</v>
      </c>
      <c r="DS58" s="2">
        <v>791</v>
      </c>
      <c r="DT58">
        <v>0.35</v>
      </c>
      <c r="DU58">
        <v>0.65</v>
      </c>
      <c r="DV58">
        <f t="shared" si="8"/>
        <v>1355.9</v>
      </c>
      <c r="EB58">
        <v>251</v>
      </c>
      <c r="ED58">
        <v>5.5254529391317835</v>
      </c>
      <c r="EE58">
        <v>-12.9142660616287</v>
      </c>
      <c r="EF58">
        <v>7.3888131224969165</v>
      </c>
      <c r="EG58">
        <v>6.1812916190550099E-2</v>
      </c>
      <c r="EJ58">
        <v>6.1812916190550099E-2</v>
      </c>
      <c r="EO58" s="2">
        <v>35569</v>
      </c>
      <c r="EP58" s="2">
        <v>33987</v>
      </c>
      <c r="EQ58" s="2">
        <v>36602</v>
      </c>
      <c r="ER58" s="2">
        <v>35593</v>
      </c>
      <c r="ES58" s="2">
        <v>30322</v>
      </c>
      <c r="ET58" s="2">
        <v>20049</v>
      </c>
      <c r="EU58" s="2">
        <v>20221</v>
      </c>
      <c r="EV58" s="2">
        <v>20824</v>
      </c>
      <c r="EW58" s="2">
        <v>12758</v>
      </c>
      <c r="EX58" s="2">
        <v>34318</v>
      </c>
      <c r="EY58" s="2">
        <v>33077</v>
      </c>
      <c r="EZ58" s="2">
        <v>36177</v>
      </c>
      <c r="FA58" s="2">
        <v>36241</v>
      </c>
      <c r="FB58" s="2">
        <v>30774</v>
      </c>
      <c r="FC58" s="2">
        <v>20091</v>
      </c>
      <c r="FD58" s="2">
        <v>20083</v>
      </c>
      <c r="FE58" s="2">
        <v>21269</v>
      </c>
      <c r="FF58" s="2">
        <v>12366</v>
      </c>
      <c r="FG58">
        <f t="shared" si="9"/>
        <v>490321</v>
      </c>
      <c r="FI58">
        <v>-13.102815557642</v>
      </c>
      <c r="FJ58" s="2">
        <v>12.914266061628686</v>
      </c>
      <c r="FK58">
        <v>82.815951182996599</v>
      </c>
      <c r="FM58">
        <v>82.815951182996599</v>
      </c>
    </row>
    <row r="59" spans="1:169">
      <c r="A59" s="1" t="s">
        <v>0</v>
      </c>
      <c r="B59" s="1" t="s">
        <v>114</v>
      </c>
      <c r="C59" s="1" t="s">
        <v>2</v>
      </c>
      <c r="D59" s="1" t="s">
        <v>115</v>
      </c>
      <c r="E59" s="2">
        <v>2775</v>
      </c>
      <c r="F59" s="2">
        <v>1606</v>
      </c>
      <c r="G59" s="2">
        <v>2588</v>
      </c>
      <c r="H59" s="2">
        <v>3021</v>
      </c>
      <c r="I59" s="2">
        <v>1324</v>
      </c>
      <c r="J59" s="2">
        <v>3042</v>
      </c>
      <c r="K59" s="4">
        <v>0.05</v>
      </c>
      <c r="L59" s="4">
        <v>0.1</v>
      </c>
      <c r="M59" s="4">
        <v>0.15</v>
      </c>
      <c r="N59" s="4">
        <v>0.2</v>
      </c>
      <c r="O59" s="4">
        <v>0.2</v>
      </c>
      <c r="P59" s="4">
        <v>0.3</v>
      </c>
      <c r="Q59" s="4">
        <f t="shared" si="0"/>
        <v>2469.15</v>
      </c>
      <c r="R59" s="4">
        <v>2469.15</v>
      </c>
      <c r="T59" s="2">
        <v>0.96636363636363631</v>
      </c>
      <c r="U59" s="2">
        <v>4.041666666666667</v>
      </c>
      <c r="V59">
        <f>(256.93730729702)/180</f>
        <v>1.4274294849834446</v>
      </c>
      <c r="W59">
        <f>(284337)/400000</f>
        <v>0.71084250000000004</v>
      </c>
      <c r="X59">
        <v>0.3</v>
      </c>
      <c r="Y59">
        <v>-0.1</v>
      </c>
      <c r="Z59">
        <v>0.4</v>
      </c>
      <c r="AA59">
        <v>0.4</v>
      </c>
      <c r="AB59">
        <f t="shared" si="1"/>
        <v>0.741051218235802</v>
      </c>
      <c r="AC59">
        <v>1926.7331674130903</v>
      </c>
      <c r="AG59" s="2">
        <v>4096</v>
      </c>
      <c r="AH59" s="2">
        <v>685</v>
      </c>
      <c r="AI59">
        <v>596.20000000000005</v>
      </c>
      <c r="AJ59">
        <v>1338.9</v>
      </c>
      <c r="AK59">
        <v>0.2</v>
      </c>
      <c r="AL59">
        <v>0.2</v>
      </c>
      <c r="AM59">
        <v>0.3</v>
      </c>
      <c r="AN59">
        <v>0.3</v>
      </c>
      <c r="AO59">
        <v>1801.3967538322809</v>
      </c>
      <c r="AP59">
        <v>1536.73</v>
      </c>
      <c r="AR59">
        <v>177017</v>
      </c>
      <c r="AS59">
        <v>24880.3</v>
      </c>
      <c r="AT59">
        <v>2337</v>
      </c>
      <c r="AU59">
        <v>0.3</v>
      </c>
      <c r="AV59">
        <v>0.4</v>
      </c>
      <c r="AW59">
        <v>0.3</v>
      </c>
      <c r="AX59">
        <f t="shared" si="2"/>
        <v>63758.32</v>
      </c>
      <c r="AY59">
        <v>1725.8529962936755</v>
      </c>
      <c r="BB59">
        <v>563</v>
      </c>
      <c r="BC59">
        <v>1301.5</v>
      </c>
      <c r="BD59" s="2">
        <v>330</v>
      </c>
      <c r="BE59" s="4">
        <v>0.4</v>
      </c>
      <c r="BF59" s="4">
        <v>0.3</v>
      </c>
      <c r="BG59" s="4">
        <v>0.3</v>
      </c>
      <c r="BH59">
        <f t="shared" si="3"/>
        <v>714.65</v>
      </c>
      <c r="BI59">
        <v>1451.6328125</v>
      </c>
      <c r="BN59">
        <v>99.496047930623803</v>
      </c>
      <c r="BO59">
        <v>82.741631427067901</v>
      </c>
      <c r="BW59" s="2">
        <v>55820</v>
      </c>
      <c r="BX59" s="2">
        <v>26951</v>
      </c>
      <c r="BY59" s="2">
        <v>68</v>
      </c>
      <c r="BZ59" s="2">
        <v>177</v>
      </c>
      <c r="CA59" s="3">
        <v>0.3</v>
      </c>
      <c r="CB59" s="3">
        <v>0.3</v>
      </c>
      <c r="CC59" s="3">
        <v>0.2</v>
      </c>
      <c r="CD59" s="3">
        <v>0.2</v>
      </c>
      <c r="CE59">
        <f t="shared" si="4"/>
        <v>24880.3</v>
      </c>
      <c r="CJ59">
        <v>10194</v>
      </c>
      <c r="CM59">
        <v>6889</v>
      </c>
      <c r="CN59" s="2">
        <v>268909</v>
      </c>
      <c r="CS59">
        <v>95</v>
      </c>
      <c r="CT59">
        <v>327</v>
      </c>
      <c r="CU59">
        <v>3416</v>
      </c>
      <c r="CV59">
        <v>2262</v>
      </c>
      <c r="CW59">
        <v>25</v>
      </c>
      <c r="CX59">
        <v>0.5</v>
      </c>
      <c r="CY59">
        <v>0.1</v>
      </c>
      <c r="CZ59">
        <v>0.2</v>
      </c>
      <c r="DA59">
        <v>0.25</v>
      </c>
      <c r="DB59">
        <v>0.4</v>
      </c>
      <c r="DC59">
        <f t="shared" si="5"/>
        <v>1338.9</v>
      </c>
      <c r="DE59" s="2">
        <v>1457</v>
      </c>
      <c r="DF59" s="2">
        <v>254</v>
      </c>
      <c r="DG59" s="4">
        <v>0.6</v>
      </c>
      <c r="DH59" s="4">
        <v>0.4</v>
      </c>
      <c r="DI59" s="4">
        <f t="shared" si="6"/>
        <v>975.8</v>
      </c>
      <c r="DK59" s="2">
        <v>646</v>
      </c>
      <c r="DL59" s="2">
        <v>326</v>
      </c>
      <c r="DM59" s="5">
        <v>0.6</v>
      </c>
      <c r="DN59" s="5">
        <v>0.4</v>
      </c>
      <c r="DO59">
        <f t="shared" si="7"/>
        <v>518</v>
      </c>
      <c r="DR59" s="2">
        <v>1527</v>
      </c>
      <c r="DS59" s="2">
        <v>398</v>
      </c>
      <c r="DT59">
        <v>0.35</v>
      </c>
      <c r="DU59">
        <v>0.65</v>
      </c>
      <c r="DV59">
        <f t="shared" si="8"/>
        <v>793.14999999999986</v>
      </c>
      <c r="EB59">
        <v>2192</v>
      </c>
      <c r="ED59">
        <v>7.6925696480679058</v>
      </c>
      <c r="EE59">
        <v>-12.9830139499332</v>
      </c>
      <c r="EF59">
        <v>5.2904443018652945</v>
      </c>
      <c r="EG59">
        <v>0.50395206937617598</v>
      </c>
      <c r="EJ59">
        <v>0.50395206937617598</v>
      </c>
      <c r="EO59" s="2">
        <v>30439</v>
      </c>
      <c r="EP59" s="2">
        <v>30856</v>
      </c>
      <c r="EQ59" s="2">
        <v>31087</v>
      </c>
      <c r="ER59" s="2">
        <v>29125</v>
      </c>
      <c r="ES59" s="2">
        <v>26745</v>
      </c>
      <c r="ET59" s="2">
        <v>27314</v>
      </c>
      <c r="EU59" s="2">
        <v>28443</v>
      </c>
      <c r="EV59" s="2">
        <v>29104</v>
      </c>
      <c r="EW59" s="2">
        <v>20913</v>
      </c>
      <c r="EX59" s="2">
        <v>30934</v>
      </c>
      <c r="EY59" s="2">
        <v>31830</v>
      </c>
      <c r="EZ59" s="2">
        <v>32077</v>
      </c>
      <c r="FA59" s="2">
        <v>30363</v>
      </c>
      <c r="FB59" s="2">
        <v>27613</v>
      </c>
      <c r="FC59" s="2">
        <v>30678</v>
      </c>
      <c r="FD59" s="2">
        <v>32414</v>
      </c>
      <c r="FE59" s="2">
        <v>32064</v>
      </c>
      <c r="FF59" s="2">
        <v>23688</v>
      </c>
      <c r="FG59">
        <f t="shared" si="9"/>
        <v>525687</v>
      </c>
      <c r="FI59">
        <v>-13.1724612575689</v>
      </c>
      <c r="FJ59" s="2">
        <v>12.983013949933197</v>
      </c>
      <c r="FK59">
        <v>82.741631427067901</v>
      </c>
      <c r="FM59">
        <v>82.741631427067901</v>
      </c>
    </row>
    <row r="60" spans="1:169">
      <c r="A60" s="1" t="s">
        <v>0</v>
      </c>
      <c r="B60" s="1" t="s">
        <v>116</v>
      </c>
      <c r="C60" s="1" t="s">
        <v>2</v>
      </c>
      <c r="D60" s="1" t="s">
        <v>117</v>
      </c>
      <c r="E60" s="2">
        <v>4226</v>
      </c>
      <c r="F60" s="2">
        <v>2383</v>
      </c>
      <c r="G60" s="2">
        <v>2687</v>
      </c>
      <c r="H60" s="2">
        <v>4383</v>
      </c>
      <c r="I60" s="2">
        <v>1799</v>
      </c>
      <c r="J60" s="2">
        <v>4394</v>
      </c>
      <c r="K60" s="4">
        <v>0.05</v>
      </c>
      <c r="L60" s="4">
        <v>0.1</v>
      </c>
      <c r="M60" s="4">
        <v>0.15</v>
      </c>
      <c r="N60" s="4">
        <v>0.2</v>
      </c>
      <c r="O60" s="4">
        <v>0.2</v>
      </c>
      <c r="P60" s="4">
        <v>0.3</v>
      </c>
      <c r="Q60" s="4">
        <f t="shared" si="0"/>
        <v>3407.25</v>
      </c>
      <c r="R60" s="4">
        <v>3407.25</v>
      </c>
      <c r="T60" s="2">
        <v>1.4068181818181817</v>
      </c>
      <c r="U60" s="2">
        <v>1.375</v>
      </c>
      <c r="V60">
        <f>(151.011778918756)/180</f>
        <v>0.83895432732642217</v>
      </c>
      <c r="W60">
        <f>(403351)/400000</f>
        <v>1.0083774999999999</v>
      </c>
      <c r="X60">
        <v>0.3</v>
      </c>
      <c r="Y60">
        <v>-0.1</v>
      </c>
      <c r="Z60">
        <v>0.4</v>
      </c>
      <c r="AA60">
        <v>0.4</v>
      </c>
      <c r="AB60">
        <f t="shared" si="1"/>
        <v>1.0234781854760233</v>
      </c>
      <c r="AC60">
        <v>2661.043282237652</v>
      </c>
      <c r="AG60" s="2">
        <v>2154</v>
      </c>
      <c r="AH60" s="2">
        <v>206</v>
      </c>
      <c r="AI60">
        <v>1225</v>
      </c>
      <c r="AJ60">
        <v>1741.6000000000001</v>
      </c>
      <c r="AK60">
        <v>0.2</v>
      </c>
      <c r="AL60">
        <v>0.2</v>
      </c>
      <c r="AM60">
        <v>0.3</v>
      </c>
      <c r="AN60">
        <v>0.3</v>
      </c>
      <c r="AO60">
        <v>1596.550045085663</v>
      </c>
      <c r="AP60">
        <v>1361.98</v>
      </c>
      <c r="AR60">
        <v>288819</v>
      </c>
      <c r="AS60">
        <v>51511.6</v>
      </c>
      <c r="AT60">
        <v>5407</v>
      </c>
      <c r="AU60">
        <v>0.3</v>
      </c>
      <c r="AV60">
        <v>0.4</v>
      </c>
      <c r="AW60">
        <v>0.3</v>
      </c>
      <c r="AX60">
        <f t="shared" si="2"/>
        <v>108872.44</v>
      </c>
      <c r="AY60">
        <v>2947.032274184804</v>
      </c>
      <c r="BB60">
        <v>0</v>
      </c>
      <c r="BC60">
        <v>1926</v>
      </c>
      <c r="BD60" s="2">
        <v>570</v>
      </c>
      <c r="BE60" s="4">
        <v>0.4</v>
      </c>
      <c r="BF60" s="4">
        <v>0.3</v>
      </c>
      <c r="BG60" s="4">
        <v>0.3</v>
      </c>
      <c r="BH60">
        <f t="shared" si="3"/>
        <v>748.8</v>
      </c>
      <c r="BI60">
        <v>1521</v>
      </c>
      <c r="BN60">
        <v>99.754935684562398</v>
      </c>
      <c r="BO60">
        <v>77.149218061896491</v>
      </c>
      <c r="BW60" s="2">
        <v>123869</v>
      </c>
      <c r="BX60" s="2">
        <v>47823</v>
      </c>
      <c r="BY60" s="2">
        <v>0</v>
      </c>
      <c r="BZ60" s="2">
        <v>20</v>
      </c>
      <c r="CA60" s="3">
        <v>0.3</v>
      </c>
      <c r="CB60" s="3">
        <v>0.3</v>
      </c>
      <c r="CC60" s="3">
        <v>0.2</v>
      </c>
      <c r="CD60" s="3">
        <v>0.2</v>
      </c>
      <c r="CE60">
        <f t="shared" si="4"/>
        <v>51511.6</v>
      </c>
      <c r="CJ60">
        <v>15671</v>
      </c>
      <c r="CM60">
        <v>8644</v>
      </c>
      <c r="CN60" s="2">
        <v>528520</v>
      </c>
      <c r="CS60">
        <v>271</v>
      </c>
      <c r="CT60">
        <v>1074</v>
      </c>
      <c r="CU60">
        <v>3354</v>
      </c>
      <c r="CV60">
        <v>3230</v>
      </c>
      <c r="CW60">
        <v>51</v>
      </c>
      <c r="CX60">
        <v>0.5</v>
      </c>
      <c r="CY60">
        <v>0.1</v>
      </c>
      <c r="CZ60">
        <v>0.2</v>
      </c>
      <c r="DA60">
        <v>0.25</v>
      </c>
      <c r="DB60">
        <v>0.4</v>
      </c>
      <c r="DC60">
        <f t="shared" si="5"/>
        <v>1741.6000000000001</v>
      </c>
      <c r="DE60" s="2">
        <v>819</v>
      </c>
      <c r="DF60" s="2">
        <v>262</v>
      </c>
      <c r="DG60" s="4">
        <v>0.6</v>
      </c>
      <c r="DH60" s="4">
        <v>0.4</v>
      </c>
      <c r="DI60" s="4">
        <f t="shared" si="6"/>
        <v>596.20000000000005</v>
      </c>
      <c r="DK60" s="2">
        <v>492</v>
      </c>
      <c r="DL60" s="2">
        <v>235</v>
      </c>
      <c r="DM60" s="5">
        <v>0.6</v>
      </c>
      <c r="DN60" s="5">
        <v>0.4</v>
      </c>
      <c r="DO60">
        <f t="shared" si="7"/>
        <v>389.2</v>
      </c>
      <c r="DR60" s="2">
        <v>2153</v>
      </c>
      <c r="DS60" s="2">
        <v>843</v>
      </c>
      <c r="DT60">
        <v>0.35</v>
      </c>
      <c r="DU60">
        <v>0.65</v>
      </c>
      <c r="DV60">
        <f t="shared" si="8"/>
        <v>1301.5</v>
      </c>
      <c r="EB60">
        <v>659</v>
      </c>
      <c r="ED60">
        <v>6.4907235345025072</v>
      </c>
      <c r="EE60">
        <v>-12.5021283113882</v>
      </c>
      <c r="EF60">
        <v>6.0114047768856924</v>
      </c>
      <c r="EG60">
        <v>0.24506431543756402</v>
      </c>
      <c r="EJ60">
        <v>0.24506431543756402</v>
      </c>
      <c r="EO60" s="2">
        <v>21098</v>
      </c>
      <c r="EP60" s="2">
        <v>21210</v>
      </c>
      <c r="EQ60" s="2">
        <v>22064</v>
      </c>
      <c r="ER60" s="2">
        <v>20554</v>
      </c>
      <c r="ES60" s="2">
        <v>18442</v>
      </c>
      <c r="ET60" s="2">
        <v>16744</v>
      </c>
      <c r="EU60" s="2">
        <v>17066</v>
      </c>
      <c r="EV60" s="2">
        <v>17047</v>
      </c>
      <c r="EW60" s="2">
        <v>18398</v>
      </c>
      <c r="EX60" s="2">
        <v>20697</v>
      </c>
      <c r="EY60" s="2">
        <v>22019</v>
      </c>
      <c r="EZ60" s="2">
        <v>22951</v>
      </c>
      <c r="FA60" s="2">
        <v>21409</v>
      </c>
      <c r="FB60" s="2">
        <v>18745</v>
      </c>
      <c r="FC60" s="2">
        <v>17415</v>
      </c>
      <c r="FD60" s="2">
        <v>17623</v>
      </c>
      <c r="FE60" s="2">
        <v>17762</v>
      </c>
      <c r="FF60" s="2">
        <v>17313</v>
      </c>
      <c r="FG60">
        <f t="shared" si="9"/>
        <v>348557</v>
      </c>
      <c r="FI60">
        <v>-12.7615570539147</v>
      </c>
      <c r="FJ60" s="2">
        <v>12.502128311388194</v>
      </c>
      <c r="FK60">
        <v>77.149218061896491</v>
      </c>
      <c r="FM60">
        <v>77.149218061896491</v>
      </c>
    </row>
    <row r="61" spans="1:169">
      <c r="A61" s="1" t="s">
        <v>0</v>
      </c>
      <c r="B61" s="1" t="s">
        <v>118</v>
      </c>
      <c r="C61" s="1" t="s">
        <v>2</v>
      </c>
      <c r="D61" s="1" t="s">
        <v>119</v>
      </c>
      <c r="E61" s="2">
        <v>3974</v>
      </c>
      <c r="F61" s="2">
        <v>2385</v>
      </c>
      <c r="G61" s="2">
        <v>2488</v>
      </c>
      <c r="H61" s="2">
        <v>4014</v>
      </c>
      <c r="I61" s="2">
        <v>1316</v>
      </c>
      <c r="J61" s="2">
        <v>4128</v>
      </c>
      <c r="K61" s="4">
        <v>0.05</v>
      </c>
      <c r="L61" s="4">
        <v>0.1</v>
      </c>
      <c r="M61" s="4">
        <v>0.15</v>
      </c>
      <c r="N61" s="4">
        <v>0.2</v>
      </c>
      <c r="O61" s="4">
        <v>0.2</v>
      </c>
      <c r="P61" s="4">
        <v>0.3</v>
      </c>
      <c r="Q61" s="4">
        <f t="shared" si="0"/>
        <v>3114.8</v>
      </c>
      <c r="R61" s="4">
        <v>3114.8</v>
      </c>
      <c r="T61" s="2">
        <v>1.4313636363636364</v>
      </c>
      <c r="U61" s="2">
        <v>0.33333333333333331</v>
      </c>
      <c r="V61">
        <f>(109.697235629662)/180</f>
        <v>0.60942908683145558</v>
      </c>
      <c r="W61">
        <f>(613078)/400000</f>
        <v>1.5326949999999999</v>
      </c>
      <c r="X61">
        <v>0.3</v>
      </c>
      <c r="Y61">
        <v>-0.1</v>
      </c>
      <c r="Z61">
        <v>0.4</v>
      </c>
      <c r="AA61">
        <v>0.4</v>
      </c>
      <c r="AB61">
        <f t="shared" si="1"/>
        <v>1.2529253923083399</v>
      </c>
      <c r="AC61">
        <v>3257.6060200016841</v>
      </c>
      <c r="AG61" s="2">
        <v>2447</v>
      </c>
      <c r="AH61" s="2">
        <v>686</v>
      </c>
      <c r="AI61">
        <v>1234.8</v>
      </c>
      <c r="AJ61">
        <v>4071.65</v>
      </c>
      <c r="AK61">
        <v>0.2</v>
      </c>
      <c r="AL61">
        <v>0.2</v>
      </c>
      <c r="AM61">
        <v>0.3</v>
      </c>
      <c r="AN61">
        <v>0.3</v>
      </c>
      <c r="AO61">
        <v>2600.6271415689757</v>
      </c>
      <c r="AP61">
        <v>2218.5349999999999</v>
      </c>
      <c r="AR61">
        <v>395292</v>
      </c>
      <c r="AS61">
        <v>61483.000000000007</v>
      </c>
      <c r="AT61">
        <v>4506</v>
      </c>
      <c r="AU61">
        <v>0.3</v>
      </c>
      <c r="AV61">
        <v>0.4</v>
      </c>
      <c r="AW61">
        <v>0.3</v>
      </c>
      <c r="AX61">
        <f t="shared" si="2"/>
        <v>144532.59999999998</v>
      </c>
      <c r="AY61">
        <v>3912.305417898644</v>
      </c>
      <c r="BB61">
        <v>1604</v>
      </c>
      <c r="BC61">
        <v>1660.85</v>
      </c>
      <c r="BD61" s="2">
        <v>702</v>
      </c>
      <c r="BE61" s="4">
        <v>0.4</v>
      </c>
      <c r="BF61" s="4">
        <v>0.3</v>
      </c>
      <c r="BG61" s="4">
        <v>0.3</v>
      </c>
      <c r="BH61">
        <f t="shared" si="3"/>
        <v>1350.4549999999999</v>
      </c>
      <c r="BI61">
        <v>2743.1117187499999</v>
      </c>
      <c r="BN61">
        <v>99.999810792401405</v>
      </c>
      <c r="BO61">
        <v>94.543516098623797</v>
      </c>
      <c r="BW61" s="2">
        <v>144718</v>
      </c>
      <c r="BX61" s="2">
        <v>57900</v>
      </c>
      <c r="BY61" s="2">
        <v>2509</v>
      </c>
      <c r="BZ61" s="2">
        <v>979</v>
      </c>
      <c r="CA61" s="3">
        <v>0.3</v>
      </c>
      <c r="CB61" s="3">
        <v>0.3</v>
      </c>
      <c r="CC61" s="3">
        <v>0.2</v>
      </c>
      <c r="CD61" s="3">
        <v>0.2</v>
      </c>
      <c r="CE61">
        <f t="shared" si="4"/>
        <v>61483.000000000007</v>
      </c>
      <c r="CJ61">
        <v>23601</v>
      </c>
      <c r="CM61">
        <v>19884</v>
      </c>
      <c r="CN61" s="2">
        <v>613091</v>
      </c>
      <c r="CS61">
        <v>471</v>
      </c>
      <c r="CT61">
        <v>2007</v>
      </c>
      <c r="CU61">
        <v>7234</v>
      </c>
      <c r="CV61">
        <v>7113</v>
      </c>
      <c r="CW61">
        <v>1026</v>
      </c>
      <c r="CX61">
        <v>0.5</v>
      </c>
      <c r="CY61">
        <v>0.1</v>
      </c>
      <c r="CZ61">
        <v>0.2</v>
      </c>
      <c r="DA61">
        <v>0.25</v>
      </c>
      <c r="DB61">
        <v>0.4</v>
      </c>
      <c r="DC61">
        <f t="shared" si="5"/>
        <v>4071.65</v>
      </c>
      <c r="DE61" s="2">
        <v>1693</v>
      </c>
      <c r="DF61" s="2">
        <v>523</v>
      </c>
      <c r="DG61" s="4">
        <v>0.6</v>
      </c>
      <c r="DH61" s="4">
        <v>0.4</v>
      </c>
      <c r="DI61" s="4">
        <f t="shared" si="6"/>
        <v>1225</v>
      </c>
      <c r="DK61" s="2">
        <v>867</v>
      </c>
      <c r="DL61" s="2">
        <v>355</v>
      </c>
      <c r="DM61" s="5">
        <v>0.6</v>
      </c>
      <c r="DN61" s="5">
        <v>0.4</v>
      </c>
      <c r="DO61">
        <f t="shared" si="7"/>
        <v>662.19999999999993</v>
      </c>
      <c r="DR61" s="2">
        <v>3044</v>
      </c>
      <c r="DS61" s="2">
        <v>1324</v>
      </c>
      <c r="DT61">
        <v>0.35</v>
      </c>
      <c r="DU61">
        <v>0.65</v>
      </c>
      <c r="DV61">
        <f t="shared" si="8"/>
        <v>1926</v>
      </c>
      <c r="EB61">
        <v>0</v>
      </c>
      <c r="ED61">
        <v>0</v>
      </c>
      <c r="EE61">
        <v>-13.1778359265282</v>
      </c>
      <c r="EF61">
        <v>13.1778359265282</v>
      </c>
      <c r="EG61">
        <v>1.8920759857715E-4</v>
      </c>
      <c r="EJ61">
        <v>1.8920759857715E-4</v>
      </c>
      <c r="EO61" s="2">
        <v>36943</v>
      </c>
      <c r="EP61" s="2">
        <v>37397</v>
      </c>
      <c r="EQ61" s="2">
        <v>38756</v>
      </c>
      <c r="ER61" s="2">
        <v>37895</v>
      </c>
      <c r="ES61" s="2">
        <v>35011</v>
      </c>
      <c r="ET61" s="2">
        <v>23625</v>
      </c>
      <c r="EU61" s="2">
        <v>24154</v>
      </c>
      <c r="EV61" s="2">
        <v>26097</v>
      </c>
      <c r="EW61" s="2">
        <v>12872</v>
      </c>
      <c r="EX61" s="2">
        <v>39403</v>
      </c>
      <c r="EY61" s="2">
        <v>38007</v>
      </c>
      <c r="EZ61" s="2">
        <v>40739</v>
      </c>
      <c r="FA61" s="2">
        <v>38963</v>
      </c>
      <c r="FB61" s="2">
        <v>36340</v>
      </c>
      <c r="FC61" s="2">
        <v>25956</v>
      </c>
      <c r="FD61" s="2">
        <v>26381</v>
      </c>
      <c r="FE61" s="2">
        <v>27012</v>
      </c>
      <c r="FF61" s="2">
        <v>13472</v>
      </c>
      <c r="FG61">
        <f t="shared" si="9"/>
        <v>559023</v>
      </c>
      <c r="FI61">
        <v>-13.233945896192401</v>
      </c>
      <c r="FJ61" s="2">
        <v>13.177835926528154</v>
      </c>
      <c r="FK61">
        <v>94.543516098623797</v>
      </c>
      <c r="FM61">
        <v>94.543516098623797</v>
      </c>
    </row>
    <row r="62" spans="1:169">
      <c r="A62" s="1" t="s">
        <v>0</v>
      </c>
      <c r="B62" s="1" t="s">
        <v>120</v>
      </c>
      <c r="C62" s="1" t="s">
        <v>2</v>
      </c>
      <c r="D62" s="1" t="s">
        <v>121</v>
      </c>
      <c r="E62" s="2">
        <v>3795</v>
      </c>
      <c r="F62" s="2">
        <v>1884</v>
      </c>
      <c r="G62" s="2">
        <v>3354</v>
      </c>
      <c r="H62" s="2">
        <v>3736</v>
      </c>
      <c r="I62" s="2">
        <v>1274</v>
      </c>
      <c r="J62" s="2">
        <v>3916</v>
      </c>
      <c r="K62" s="4">
        <v>0.05</v>
      </c>
      <c r="L62" s="4">
        <v>0.1</v>
      </c>
      <c r="M62" s="4">
        <v>0.15</v>
      </c>
      <c r="N62" s="4">
        <v>0.2</v>
      </c>
      <c r="O62" s="4">
        <v>0.2</v>
      </c>
      <c r="P62" s="4">
        <v>0.3</v>
      </c>
      <c r="Q62" s="4">
        <f t="shared" si="0"/>
        <v>3058.05</v>
      </c>
      <c r="R62" s="4">
        <v>3058.05</v>
      </c>
      <c r="T62" s="2">
        <v>1.3336363636363637</v>
      </c>
      <c r="U62" s="2">
        <v>0.45833333333333331</v>
      </c>
      <c r="V62">
        <f>(137.13658804169)/180</f>
        <v>0.76186993356494448</v>
      </c>
      <c r="W62">
        <f>(639509)/400000</f>
        <v>1.5987724999999999</v>
      </c>
      <c r="X62">
        <v>0.3</v>
      </c>
      <c r="Y62">
        <v>-0.1</v>
      </c>
      <c r="Z62">
        <v>0.4</v>
      </c>
      <c r="AA62">
        <v>0.4</v>
      </c>
      <c r="AB62">
        <f t="shared" si="1"/>
        <v>1.2985145491835537</v>
      </c>
      <c r="AC62">
        <v>3376.1378278772299</v>
      </c>
      <c r="AG62" s="2">
        <v>8392</v>
      </c>
      <c r="AH62" s="2">
        <v>84</v>
      </c>
      <c r="AI62">
        <v>1475.4</v>
      </c>
      <c r="AJ62">
        <v>3100.05</v>
      </c>
      <c r="AK62">
        <v>0.2</v>
      </c>
      <c r="AL62">
        <v>0.2</v>
      </c>
      <c r="AM62">
        <v>0.3</v>
      </c>
      <c r="AN62">
        <v>0.3</v>
      </c>
      <c r="AO62">
        <v>3596.1997294860257</v>
      </c>
      <c r="AP62">
        <v>3067.835</v>
      </c>
      <c r="AR62">
        <v>364454</v>
      </c>
      <c r="AS62">
        <v>50569.899999999994</v>
      </c>
      <c r="AT62">
        <v>5722</v>
      </c>
      <c r="AU62">
        <v>0.3</v>
      </c>
      <c r="AV62">
        <v>0.4</v>
      </c>
      <c r="AW62">
        <v>0.3</v>
      </c>
      <c r="AX62">
        <f t="shared" si="2"/>
        <v>131280.76</v>
      </c>
      <c r="AY62">
        <v>3553.5957189855462</v>
      </c>
      <c r="BB62">
        <v>1736</v>
      </c>
      <c r="BC62">
        <v>1729.3</v>
      </c>
      <c r="BD62" s="2">
        <v>685</v>
      </c>
      <c r="BE62" s="4">
        <v>0.4</v>
      </c>
      <c r="BF62" s="4">
        <v>0.3</v>
      </c>
      <c r="BG62" s="4">
        <v>0.3</v>
      </c>
      <c r="BH62">
        <f t="shared" si="3"/>
        <v>1418.69</v>
      </c>
      <c r="BI62">
        <v>2881.7140625000002</v>
      </c>
      <c r="BN62">
        <v>99.675741447843805</v>
      </c>
      <c r="BO62">
        <v>79.580970380284398</v>
      </c>
      <c r="BW62" s="2">
        <v>128713</v>
      </c>
      <c r="BX62" s="2">
        <v>39836</v>
      </c>
      <c r="BY62" s="2">
        <v>11</v>
      </c>
      <c r="BZ62" s="2">
        <v>15</v>
      </c>
      <c r="CA62" s="3">
        <v>0.3</v>
      </c>
      <c r="CB62" s="3">
        <v>0.3</v>
      </c>
      <c r="CC62" s="3">
        <v>0.2</v>
      </c>
      <c r="CD62" s="3">
        <v>0.2</v>
      </c>
      <c r="CE62">
        <f t="shared" si="4"/>
        <v>50569.899999999994</v>
      </c>
      <c r="CJ62">
        <v>24879</v>
      </c>
      <c r="CM62">
        <v>15459</v>
      </c>
      <c r="CN62" s="2">
        <v>572881</v>
      </c>
      <c r="CS62">
        <v>3</v>
      </c>
      <c r="CT62">
        <v>17</v>
      </c>
      <c r="CU62">
        <v>9866</v>
      </c>
      <c r="CV62">
        <v>4285</v>
      </c>
      <c r="CW62">
        <v>131</v>
      </c>
      <c r="CX62">
        <v>0.5</v>
      </c>
      <c r="CY62">
        <v>0.1</v>
      </c>
      <c r="CZ62">
        <v>0.2</v>
      </c>
      <c r="DA62">
        <v>0.25</v>
      </c>
      <c r="DB62">
        <v>0.4</v>
      </c>
      <c r="DC62">
        <f t="shared" si="5"/>
        <v>3100.05</v>
      </c>
      <c r="DE62" s="2">
        <v>1770</v>
      </c>
      <c r="DF62" s="2">
        <v>432</v>
      </c>
      <c r="DG62" s="4">
        <v>0.6</v>
      </c>
      <c r="DH62" s="4">
        <v>0.4</v>
      </c>
      <c r="DI62" s="4">
        <f t="shared" si="6"/>
        <v>1234.8</v>
      </c>
      <c r="DK62" s="2">
        <v>1208</v>
      </c>
      <c r="DL62" s="2">
        <v>467</v>
      </c>
      <c r="DM62" s="5">
        <v>0.6</v>
      </c>
      <c r="DN62" s="5">
        <v>0.4</v>
      </c>
      <c r="DO62">
        <f t="shared" si="7"/>
        <v>911.59999999999991</v>
      </c>
      <c r="DR62" s="2">
        <v>3046</v>
      </c>
      <c r="DS62" s="2">
        <v>915</v>
      </c>
      <c r="DT62">
        <v>0.35</v>
      </c>
      <c r="DU62">
        <v>0.65</v>
      </c>
      <c r="DV62">
        <f t="shared" si="8"/>
        <v>1660.85</v>
      </c>
      <c r="EB62">
        <v>1988</v>
      </c>
      <c r="ED62">
        <v>7.5948843872165197</v>
      </c>
      <c r="EE62">
        <v>-13.3262686541454</v>
      </c>
      <c r="EF62">
        <v>5.7313842669288801</v>
      </c>
      <c r="EG62">
        <v>0.32425855215620503</v>
      </c>
      <c r="EJ62">
        <v>0.32425855215620503</v>
      </c>
      <c r="EO62" s="2">
        <v>51737</v>
      </c>
      <c r="EP62" s="2">
        <v>49183</v>
      </c>
      <c r="EQ62" s="2">
        <v>49831</v>
      </c>
      <c r="ER62" s="2">
        <v>47608</v>
      </c>
      <c r="ES62" s="2">
        <v>44697</v>
      </c>
      <c r="ET62" s="2">
        <v>35119</v>
      </c>
      <c r="EU62" s="2">
        <v>35833</v>
      </c>
      <c r="EV62" s="2">
        <v>37148</v>
      </c>
      <c r="EW62" s="2">
        <v>26043</v>
      </c>
      <c r="EX62" s="2">
        <v>52160</v>
      </c>
      <c r="EY62" s="2">
        <v>49889</v>
      </c>
      <c r="EZ62" s="2">
        <v>51615</v>
      </c>
      <c r="FA62" s="2">
        <v>49190</v>
      </c>
      <c r="FB62" s="2">
        <v>46681</v>
      </c>
      <c r="FC62" s="2">
        <v>38025</v>
      </c>
      <c r="FD62" s="2">
        <v>38717</v>
      </c>
      <c r="FE62" s="2">
        <v>40297</v>
      </c>
      <c r="FF62" s="2">
        <v>26626</v>
      </c>
      <c r="FG62">
        <f t="shared" si="9"/>
        <v>770399</v>
      </c>
      <c r="FI62">
        <v>-13.554663841438201</v>
      </c>
      <c r="FJ62" s="2">
        <v>13.3262686541454</v>
      </c>
      <c r="FK62">
        <v>79.580970380284398</v>
      </c>
      <c r="FM62">
        <v>79.580970380284398</v>
      </c>
    </row>
    <row r="63" spans="1:169">
      <c r="A63" s="1" t="s">
        <v>0</v>
      </c>
      <c r="B63" s="1" t="s">
        <v>122</v>
      </c>
      <c r="C63" s="1" t="s">
        <v>2</v>
      </c>
      <c r="D63" s="1" t="s">
        <v>123</v>
      </c>
      <c r="E63" s="2">
        <v>5142</v>
      </c>
      <c r="F63" s="2">
        <v>3415</v>
      </c>
      <c r="G63" s="2">
        <v>3026</v>
      </c>
      <c r="H63" s="2">
        <v>5342</v>
      </c>
      <c r="I63" s="2">
        <v>1858</v>
      </c>
      <c r="J63" s="2">
        <v>5325</v>
      </c>
      <c r="K63" s="4">
        <v>0.05</v>
      </c>
      <c r="L63" s="4">
        <v>0.1</v>
      </c>
      <c r="M63" s="4">
        <v>0.15</v>
      </c>
      <c r="N63" s="4">
        <v>0.2</v>
      </c>
      <c r="O63" s="4">
        <v>0.2</v>
      </c>
      <c r="P63" s="4">
        <v>0.3</v>
      </c>
      <c r="Q63" s="4">
        <f t="shared" si="0"/>
        <v>4090</v>
      </c>
      <c r="R63" s="4">
        <v>4090</v>
      </c>
      <c r="T63" s="2">
        <v>1.5418181818181818</v>
      </c>
      <c r="U63" s="2">
        <v>1.5416666666666667</v>
      </c>
      <c r="V63">
        <f>(151.011778918756)/180</f>
        <v>0.83895432732642217</v>
      </c>
      <c r="W63">
        <f>(479896)/400000</f>
        <v>1.19974</v>
      </c>
      <c r="X63">
        <v>0.3</v>
      </c>
      <c r="Y63">
        <v>-0.1</v>
      </c>
      <c r="Z63">
        <v>0.4</v>
      </c>
      <c r="AA63">
        <v>0.4</v>
      </c>
      <c r="AB63">
        <f t="shared" si="1"/>
        <v>1.1238565188093568</v>
      </c>
      <c r="AC63">
        <v>2922.0269489043362</v>
      </c>
      <c r="AG63" s="2">
        <v>4532</v>
      </c>
      <c r="AH63" s="2">
        <v>372</v>
      </c>
      <c r="AI63">
        <v>813.8</v>
      </c>
      <c r="AJ63">
        <v>4054.95</v>
      </c>
      <c r="AK63">
        <v>0.2</v>
      </c>
      <c r="AL63">
        <v>0.2</v>
      </c>
      <c r="AM63">
        <v>0.3</v>
      </c>
      <c r="AN63">
        <v>0.3</v>
      </c>
      <c r="AO63">
        <v>2861.9048692515839</v>
      </c>
      <c r="AP63">
        <v>2441.4250000000002</v>
      </c>
      <c r="AR63">
        <v>329261</v>
      </c>
      <c r="AS63">
        <v>46164.600000000006</v>
      </c>
      <c r="AT63">
        <v>4790</v>
      </c>
      <c r="AU63">
        <v>0.3</v>
      </c>
      <c r="AV63">
        <v>0.4</v>
      </c>
      <c r="AW63">
        <v>0.3</v>
      </c>
      <c r="AX63">
        <f t="shared" si="2"/>
        <v>118681.14000000001</v>
      </c>
      <c r="AY63">
        <v>3212.5407487610837</v>
      </c>
      <c r="BB63">
        <v>4418</v>
      </c>
      <c r="BC63">
        <v>2396.35</v>
      </c>
      <c r="BD63" s="2">
        <v>426</v>
      </c>
      <c r="BE63" s="4">
        <v>0.4</v>
      </c>
      <c r="BF63" s="4">
        <v>0.3</v>
      </c>
      <c r="BG63" s="4">
        <v>0.3</v>
      </c>
      <c r="BH63">
        <f t="shared" si="3"/>
        <v>2613.9050000000002</v>
      </c>
      <c r="BI63">
        <v>5309.4945312499995</v>
      </c>
      <c r="BN63">
        <v>99.628195035269101</v>
      </c>
      <c r="BO63">
        <v>81.363238048975688</v>
      </c>
      <c r="BW63" s="2">
        <v>87100</v>
      </c>
      <c r="BX63" s="2">
        <v>39702</v>
      </c>
      <c r="BY63" s="2">
        <v>26096</v>
      </c>
      <c r="BZ63" s="2">
        <v>14524</v>
      </c>
      <c r="CA63" s="3">
        <v>0.3</v>
      </c>
      <c r="CB63" s="3">
        <v>0.3</v>
      </c>
      <c r="CC63" s="3">
        <v>0.2</v>
      </c>
      <c r="CD63" s="3">
        <v>0.2</v>
      </c>
      <c r="CE63">
        <f t="shared" si="4"/>
        <v>46164.600000000006</v>
      </c>
      <c r="CJ63">
        <v>20979</v>
      </c>
      <c r="CM63">
        <v>19636</v>
      </c>
      <c r="CN63" s="2">
        <v>474767</v>
      </c>
      <c r="CS63">
        <v>898</v>
      </c>
      <c r="CT63">
        <v>2374</v>
      </c>
      <c r="CU63">
        <v>9073</v>
      </c>
      <c r="CV63">
        <v>5891</v>
      </c>
      <c r="CW63">
        <v>203</v>
      </c>
      <c r="CX63">
        <v>0.5</v>
      </c>
      <c r="CY63">
        <v>0.1</v>
      </c>
      <c r="CZ63">
        <v>0.2</v>
      </c>
      <c r="DA63">
        <v>0.25</v>
      </c>
      <c r="DB63">
        <v>0.4</v>
      </c>
      <c r="DC63">
        <f t="shared" si="5"/>
        <v>4054.95</v>
      </c>
      <c r="DE63" s="2">
        <v>2215</v>
      </c>
      <c r="DF63" s="2">
        <v>366</v>
      </c>
      <c r="DG63" s="4">
        <v>0.6</v>
      </c>
      <c r="DH63" s="4">
        <v>0.4</v>
      </c>
      <c r="DI63" s="4">
        <f t="shared" si="6"/>
        <v>1475.4</v>
      </c>
      <c r="DK63" s="2">
        <v>1008</v>
      </c>
      <c r="DL63" s="2">
        <v>311</v>
      </c>
      <c r="DM63" s="5">
        <v>0.6</v>
      </c>
      <c r="DN63" s="5">
        <v>0.4</v>
      </c>
      <c r="DO63">
        <f t="shared" si="7"/>
        <v>729.19999999999993</v>
      </c>
      <c r="DR63" s="2">
        <v>2716</v>
      </c>
      <c r="DS63" s="2">
        <v>1198</v>
      </c>
      <c r="DT63">
        <v>0.35</v>
      </c>
      <c r="DU63">
        <v>0.65</v>
      </c>
      <c r="DV63">
        <f t="shared" si="8"/>
        <v>1729.3</v>
      </c>
      <c r="EB63">
        <v>2130</v>
      </c>
      <c r="ED63">
        <v>7.6638772587034705</v>
      </c>
      <c r="EE63">
        <v>-13.258433295245601</v>
      </c>
      <c r="EF63">
        <v>5.5945560365421301</v>
      </c>
      <c r="EG63">
        <v>0.37180496473087998</v>
      </c>
      <c r="EJ63">
        <v>0.37180496473087998</v>
      </c>
      <c r="EO63" s="2">
        <v>61242</v>
      </c>
      <c r="EP63" s="2">
        <v>51096</v>
      </c>
      <c r="EQ63" s="2">
        <v>47577</v>
      </c>
      <c r="ER63" s="2">
        <v>41439</v>
      </c>
      <c r="ES63" s="2">
        <v>35568</v>
      </c>
      <c r="ET63" s="2">
        <v>27223</v>
      </c>
      <c r="EU63" s="2">
        <v>27308</v>
      </c>
      <c r="EV63" s="2">
        <v>28679</v>
      </c>
      <c r="EW63" s="2">
        <v>22009</v>
      </c>
      <c r="EX63" s="2">
        <v>61025</v>
      </c>
      <c r="EY63" s="2">
        <v>52904</v>
      </c>
      <c r="EZ63" s="2">
        <v>49895</v>
      </c>
      <c r="FA63" s="2">
        <v>44155</v>
      </c>
      <c r="FB63" s="2">
        <v>38608</v>
      </c>
      <c r="FC63" s="2">
        <v>29675</v>
      </c>
      <c r="FD63" s="2">
        <v>30268</v>
      </c>
      <c r="FE63" s="2">
        <v>31248</v>
      </c>
      <c r="FF63" s="2">
        <v>24184</v>
      </c>
      <c r="FG63">
        <f t="shared" si="9"/>
        <v>704103</v>
      </c>
      <c r="FI63">
        <v>-13.464679931256599</v>
      </c>
      <c r="FJ63" s="2">
        <v>13.25843329524556</v>
      </c>
      <c r="FK63">
        <v>81.363238048975688</v>
      </c>
      <c r="FM63">
        <v>81.363238048975688</v>
      </c>
    </row>
    <row r="64" spans="1:169">
      <c r="A64" s="1" t="s">
        <v>0</v>
      </c>
      <c r="B64" s="1" t="s">
        <v>124</v>
      </c>
      <c r="C64" s="1" t="s">
        <v>2</v>
      </c>
      <c r="D64" s="1" t="s">
        <v>125</v>
      </c>
      <c r="E64" s="2">
        <v>2050</v>
      </c>
      <c r="F64" s="2">
        <v>1538</v>
      </c>
      <c r="G64" s="2">
        <v>1675</v>
      </c>
      <c r="H64" s="2">
        <v>2360</v>
      </c>
      <c r="I64" s="2">
        <v>1113</v>
      </c>
      <c r="J64" s="2">
        <v>2374</v>
      </c>
      <c r="K64" s="4">
        <v>0.05</v>
      </c>
      <c r="L64" s="4">
        <v>0.1</v>
      </c>
      <c r="M64" s="4">
        <v>0.15</v>
      </c>
      <c r="N64" s="4">
        <v>0.2</v>
      </c>
      <c r="O64" s="4">
        <v>0.2</v>
      </c>
      <c r="P64" s="4">
        <v>0.3</v>
      </c>
      <c r="Q64" s="4">
        <f t="shared" si="0"/>
        <v>1914.35</v>
      </c>
      <c r="R64" s="4">
        <v>1914.35</v>
      </c>
      <c r="T64" s="2">
        <v>0.68772727272727274</v>
      </c>
      <c r="U64" s="2">
        <v>1.8333333333333333</v>
      </c>
      <c r="V64">
        <f>(84.3454790823212)/180</f>
        <v>0.46858599490178449</v>
      </c>
      <c r="W64">
        <f>(733624)/400000</f>
        <v>1.83406</v>
      </c>
      <c r="X64">
        <v>0.3</v>
      </c>
      <c r="Y64">
        <v>-0.1</v>
      </c>
      <c r="Z64">
        <v>0.4</v>
      </c>
      <c r="AA64">
        <v>0.4</v>
      </c>
      <c r="AB64">
        <f t="shared" si="1"/>
        <v>0.94404324644556237</v>
      </c>
      <c r="AC64">
        <v>2454.5124407584563</v>
      </c>
      <c r="AG64" s="2">
        <v>6882</v>
      </c>
      <c r="AH64" s="2">
        <v>204</v>
      </c>
      <c r="AI64">
        <v>1469.2</v>
      </c>
      <c r="AJ64">
        <v>4918.05</v>
      </c>
      <c r="AK64">
        <v>0.2</v>
      </c>
      <c r="AL64">
        <v>0.2</v>
      </c>
      <c r="AM64">
        <v>0.3</v>
      </c>
      <c r="AN64">
        <v>0.3</v>
      </c>
      <c r="AO64">
        <v>3907.4729486023398</v>
      </c>
      <c r="AP64">
        <v>3333.375</v>
      </c>
      <c r="AR64">
        <v>519679</v>
      </c>
      <c r="AS64">
        <v>108096.9</v>
      </c>
      <c r="AT64">
        <v>4631</v>
      </c>
      <c r="AU64">
        <v>0.3</v>
      </c>
      <c r="AV64">
        <v>0.4</v>
      </c>
      <c r="AW64">
        <v>0.3</v>
      </c>
      <c r="AX64">
        <f t="shared" si="2"/>
        <v>200531.75999999998</v>
      </c>
      <c r="AY64">
        <v>5428.1282638570783</v>
      </c>
      <c r="BB64">
        <v>4473</v>
      </c>
      <c r="BC64">
        <v>1038.75</v>
      </c>
      <c r="BD64" s="2">
        <v>348</v>
      </c>
      <c r="BE64" s="4">
        <v>0.4</v>
      </c>
      <c r="BF64" s="4">
        <v>0.3</v>
      </c>
      <c r="BG64" s="4">
        <v>0.3</v>
      </c>
      <c r="BH64">
        <f t="shared" si="3"/>
        <v>2205.2249999999999</v>
      </c>
      <c r="BI64">
        <v>4479.36328125</v>
      </c>
      <c r="BN64">
        <v>98.994243492070893</v>
      </c>
      <c r="BO64">
        <v>75.130870996328809</v>
      </c>
      <c r="BW64" s="2">
        <v>254879</v>
      </c>
      <c r="BX64" s="2">
        <v>103676</v>
      </c>
      <c r="BY64" s="2">
        <v>2087</v>
      </c>
      <c r="BZ64" s="2">
        <v>565</v>
      </c>
      <c r="CA64" s="3">
        <v>0.3</v>
      </c>
      <c r="CB64" s="3">
        <v>0.3</v>
      </c>
      <c r="CC64" s="3">
        <v>0.2</v>
      </c>
      <c r="CD64" s="3">
        <v>0.2</v>
      </c>
      <c r="CE64">
        <f t="shared" si="4"/>
        <v>108096.9</v>
      </c>
      <c r="CJ64">
        <v>29540</v>
      </c>
      <c r="CM64">
        <v>25020</v>
      </c>
      <c r="CN64" s="2">
        <v>801910</v>
      </c>
      <c r="CS64">
        <v>1294</v>
      </c>
      <c r="CT64">
        <v>3471</v>
      </c>
      <c r="CU64">
        <v>8812</v>
      </c>
      <c r="CV64">
        <v>8283</v>
      </c>
      <c r="CW64">
        <v>227</v>
      </c>
      <c r="CX64">
        <v>0.5</v>
      </c>
      <c r="CY64">
        <v>0.1</v>
      </c>
      <c r="CZ64">
        <v>0.2</v>
      </c>
      <c r="DA64">
        <v>0.25</v>
      </c>
      <c r="DB64">
        <v>0.4</v>
      </c>
      <c r="DC64">
        <f t="shared" si="5"/>
        <v>4918.05</v>
      </c>
      <c r="DE64" s="2">
        <v>1203</v>
      </c>
      <c r="DF64" s="2">
        <v>230</v>
      </c>
      <c r="DG64" s="4">
        <v>0.6</v>
      </c>
      <c r="DH64" s="4">
        <v>0.4</v>
      </c>
      <c r="DI64" s="4">
        <f t="shared" si="6"/>
        <v>813.8</v>
      </c>
      <c r="DK64" s="2">
        <v>877</v>
      </c>
      <c r="DL64" s="2">
        <v>340</v>
      </c>
      <c r="DM64" s="5">
        <v>0.6</v>
      </c>
      <c r="DN64" s="5">
        <v>0.4</v>
      </c>
      <c r="DO64">
        <f t="shared" si="7"/>
        <v>662.19999999999993</v>
      </c>
      <c r="DR64" s="2">
        <v>3359</v>
      </c>
      <c r="DS64" s="2">
        <v>1878</v>
      </c>
      <c r="DT64">
        <v>0.35</v>
      </c>
      <c r="DU64">
        <v>0.65</v>
      </c>
      <c r="DV64">
        <f t="shared" si="8"/>
        <v>2396.35</v>
      </c>
      <c r="EB64">
        <v>4775</v>
      </c>
      <c r="ED64">
        <v>8.4711492529148309</v>
      </c>
      <c r="EE64">
        <v>-13.070579436353601</v>
      </c>
      <c r="EF64">
        <v>4.5994301834387699</v>
      </c>
      <c r="EG64">
        <v>1.0057565079291499</v>
      </c>
      <c r="EJ64">
        <v>1.0057565079291499</v>
      </c>
      <c r="EO64" s="2">
        <v>38819</v>
      </c>
      <c r="EP64" s="2">
        <v>36011</v>
      </c>
      <c r="EQ64" s="2">
        <v>37066</v>
      </c>
      <c r="ER64" s="2">
        <v>34712</v>
      </c>
      <c r="ES64" s="2">
        <v>31648</v>
      </c>
      <c r="ET64" s="2">
        <v>27167</v>
      </c>
      <c r="EU64" s="2">
        <v>28597</v>
      </c>
      <c r="EV64" s="2">
        <v>30216</v>
      </c>
      <c r="EW64" s="2">
        <v>40419</v>
      </c>
      <c r="EX64" s="2">
        <v>39501</v>
      </c>
      <c r="EY64" s="2">
        <v>38017</v>
      </c>
      <c r="EZ64" s="2">
        <v>39583</v>
      </c>
      <c r="FA64" s="2">
        <v>37414</v>
      </c>
      <c r="FB64" s="2">
        <v>34496</v>
      </c>
      <c r="FC64" s="2">
        <v>31687</v>
      </c>
      <c r="FD64" s="2">
        <v>32554</v>
      </c>
      <c r="FE64" s="2">
        <v>35496</v>
      </c>
      <c r="FF64" s="2">
        <v>38517</v>
      </c>
      <c r="FG64">
        <f t="shared" si="9"/>
        <v>631920</v>
      </c>
      <c r="FI64">
        <v>-13.356518082838299</v>
      </c>
      <c r="FJ64" s="2">
        <v>13.070579436353599</v>
      </c>
      <c r="FK64">
        <v>75.130870996328809</v>
      </c>
      <c r="FM64">
        <v>75.130870996328809</v>
      </c>
    </row>
    <row r="65" spans="1:169">
      <c r="A65" s="1" t="s">
        <v>0</v>
      </c>
      <c r="B65" s="1" t="s">
        <v>126</v>
      </c>
      <c r="C65" s="1" t="s">
        <v>2</v>
      </c>
      <c r="D65" s="1" t="s">
        <v>127</v>
      </c>
      <c r="E65" s="2">
        <v>3455</v>
      </c>
      <c r="F65" s="2">
        <v>1860</v>
      </c>
      <c r="G65" s="2">
        <v>2991</v>
      </c>
      <c r="H65" s="2">
        <v>3534</v>
      </c>
      <c r="I65" s="2">
        <v>944</v>
      </c>
      <c r="J65" s="2">
        <v>3600</v>
      </c>
      <c r="K65" s="4">
        <v>0.05</v>
      </c>
      <c r="L65" s="4">
        <v>0.1</v>
      </c>
      <c r="M65" s="4">
        <v>0.15</v>
      </c>
      <c r="N65" s="4">
        <v>0.2</v>
      </c>
      <c r="O65" s="4">
        <v>0.2</v>
      </c>
      <c r="P65" s="4">
        <v>0.3</v>
      </c>
      <c r="Q65" s="4">
        <f t="shared" si="0"/>
        <v>2783</v>
      </c>
      <c r="R65" s="4">
        <v>2783</v>
      </c>
      <c r="T65" s="2">
        <v>1.2695454545454545</v>
      </c>
      <c r="U65" s="2">
        <v>1.375</v>
      </c>
      <c r="V65">
        <f>(182.215743440233)/180</f>
        <v>1.0123096857790723</v>
      </c>
      <c r="W65">
        <f>(262646)/400000</f>
        <v>0.65661499999999995</v>
      </c>
      <c r="X65">
        <v>0.3</v>
      </c>
      <c r="Y65">
        <v>-0.1</v>
      </c>
      <c r="Z65">
        <v>0.4</v>
      </c>
      <c r="AA65">
        <v>0.4</v>
      </c>
      <c r="AB65">
        <f t="shared" si="1"/>
        <v>0.91093351067526518</v>
      </c>
      <c r="AC65">
        <v>2368.4271277556863</v>
      </c>
      <c r="AG65" s="2">
        <v>9033</v>
      </c>
      <c r="AH65" s="2">
        <v>129</v>
      </c>
      <c r="AI65">
        <v>599.79999999999995</v>
      </c>
      <c r="AJ65">
        <v>2009.3</v>
      </c>
      <c r="AK65">
        <v>0.2</v>
      </c>
      <c r="AL65">
        <v>0.2</v>
      </c>
      <c r="AM65">
        <v>0.3</v>
      </c>
      <c r="AN65">
        <v>0.3</v>
      </c>
      <c r="AO65">
        <v>3065.5266005410276</v>
      </c>
      <c r="AP65">
        <v>2615.13</v>
      </c>
      <c r="AR65">
        <v>244072</v>
      </c>
      <c r="AS65">
        <v>43388.2</v>
      </c>
      <c r="AT65">
        <v>2593</v>
      </c>
      <c r="AU65">
        <v>0.3</v>
      </c>
      <c r="AV65">
        <v>0.4</v>
      </c>
      <c r="AW65">
        <v>0.3</v>
      </c>
      <c r="AX65">
        <f t="shared" si="2"/>
        <v>91354.779999999984</v>
      </c>
      <c r="AY65">
        <v>2472.8524965643614</v>
      </c>
      <c r="BB65">
        <v>0</v>
      </c>
      <c r="BC65">
        <v>1507.1</v>
      </c>
      <c r="BD65" s="2">
        <v>375</v>
      </c>
      <c r="BE65" s="4">
        <v>0.4</v>
      </c>
      <c r="BF65" s="4">
        <v>0.3</v>
      </c>
      <c r="BG65" s="4">
        <v>0.3</v>
      </c>
      <c r="BH65">
        <f t="shared" si="3"/>
        <v>564.62999999999988</v>
      </c>
      <c r="BI65">
        <v>1146.9046874999999</v>
      </c>
      <c r="BN65">
        <v>99.324363083139005</v>
      </c>
      <c r="BO65">
        <v>78.4135989525398</v>
      </c>
      <c r="BW65" s="2">
        <v>87669</v>
      </c>
      <c r="BX65" s="2">
        <v>56953</v>
      </c>
      <c r="BY65" s="2">
        <v>8</v>
      </c>
      <c r="BZ65" s="2">
        <v>0</v>
      </c>
      <c r="CA65" s="3">
        <v>0.3</v>
      </c>
      <c r="CB65" s="3">
        <v>0.3</v>
      </c>
      <c r="CC65" s="3">
        <v>0.2</v>
      </c>
      <c r="CD65" s="3">
        <v>0.2</v>
      </c>
      <c r="CE65">
        <f t="shared" si="4"/>
        <v>43388.2</v>
      </c>
      <c r="CJ65">
        <v>10824</v>
      </c>
      <c r="CM65">
        <v>9506</v>
      </c>
      <c r="CN65" s="2">
        <v>403031</v>
      </c>
      <c r="CS65">
        <v>0</v>
      </c>
      <c r="CT65">
        <v>0</v>
      </c>
      <c r="CU65">
        <v>2918</v>
      </c>
      <c r="CV65">
        <v>5594</v>
      </c>
      <c r="CW65">
        <v>68</v>
      </c>
      <c r="CX65">
        <v>0.5</v>
      </c>
      <c r="CY65">
        <v>0.1</v>
      </c>
      <c r="CZ65">
        <v>0.2</v>
      </c>
      <c r="DA65">
        <v>0.25</v>
      </c>
      <c r="DB65">
        <v>0.4</v>
      </c>
      <c r="DC65">
        <f t="shared" si="5"/>
        <v>2009.3</v>
      </c>
      <c r="DE65" s="2">
        <v>2128</v>
      </c>
      <c r="DF65" s="2">
        <v>481</v>
      </c>
      <c r="DG65" s="4">
        <v>0.6</v>
      </c>
      <c r="DH65" s="4">
        <v>0.4</v>
      </c>
      <c r="DI65" s="4">
        <f t="shared" si="6"/>
        <v>1469.2</v>
      </c>
      <c r="DK65" s="2">
        <v>1600</v>
      </c>
      <c r="DL65" s="2">
        <v>564</v>
      </c>
      <c r="DM65" s="5">
        <v>0.6</v>
      </c>
      <c r="DN65" s="5">
        <v>0.4</v>
      </c>
      <c r="DO65">
        <f t="shared" si="7"/>
        <v>1185.5999999999999</v>
      </c>
      <c r="DR65" s="2">
        <v>1575</v>
      </c>
      <c r="DS65" s="2">
        <v>750</v>
      </c>
      <c r="DT65">
        <v>0.35</v>
      </c>
      <c r="DU65">
        <v>0.65</v>
      </c>
      <c r="DV65">
        <f t="shared" si="8"/>
        <v>1038.75</v>
      </c>
      <c r="EB65">
        <v>5418</v>
      </c>
      <c r="ED65">
        <v>8.5974820226450408</v>
      </c>
      <c r="EE65">
        <v>-13.594751661100201</v>
      </c>
      <c r="EF65">
        <v>4.99726963845516</v>
      </c>
      <c r="EG65">
        <v>0.67563691686099803</v>
      </c>
      <c r="EJ65">
        <v>0.67563691686099803</v>
      </c>
      <c r="EO65" s="2">
        <v>67912</v>
      </c>
      <c r="EP65" s="2">
        <v>62809</v>
      </c>
      <c r="EQ65" s="2">
        <v>65496</v>
      </c>
      <c r="ER65" s="2">
        <v>63328</v>
      </c>
      <c r="ES65" s="2">
        <v>58801</v>
      </c>
      <c r="ET65" s="2">
        <v>43460</v>
      </c>
      <c r="EU65" s="2">
        <v>43263</v>
      </c>
      <c r="EV65" s="2">
        <v>43951</v>
      </c>
      <c r="EW65" s="2">
        <v>56026</v>
      </c>
      <c r="EX65" s="2">
        <v>65309</v>
      </c>
      <c r="EY65" s="2">
        <v>61676</v>
      </c>
      <c r="EZ65" s="2">
        <v>64978</v>
      </c>
      <c r="FA65" s="2">
        <v>62148</v>
      </c>
      <c r="FB65" s="2">
        <v>59556</v>
      </c>
      <c r="FC65" s="2">
        <v>48149</v>
      </c>
      <c r="FD65" s="2">
        <v>48115</v>
      </c>
      <c r="FE65" s="2">
        <v>48113</v>
      </c>
      <c r="FF65" s="2">
        <v>59577</v>
      </c>
      <c r="FG65">
        <f t="shared" si="9"/>
        <v>1022667</v>
      </c>
      <c r="FI65">
        <v>-13.8379244787464</v>
      </c>
      <c r="FJ65" s="2">
        <v>13.594751661100206</v>
      </c>
      <c r="FK65">
        <v>78.4135989525398</v>
      </c>
      <c r="FM65">
        <v>78.4135989525398</v>
      </c>
    </row>
    <row r="66" spans="1:169">
      <c r="A66" s="1" t="s">
        <v>0</v>
      </c>
      <c r="B66" s="1" t="s">
        <v>128</v>
      </c>
      <c r="C66" s="1" t="s">
        <v>2</v>
      </c>
      <c r="D66" s="1" t="s">
        <v>129</v>
      </c>
      <c r="E66" s="2">
        <v>5467</v>
      </c>
      <c r="F66" s="2">
        <v>3503</v>
      </c>
      <c r="G66" s="2">
        <v>2600</v>
      </c>
      <c r="H66" s="2">
        <v>5531</v>
      </c>
      <c r="I66" s="2">
        <v>1930</v>
      </c>
      <c r="J66" s="2">
        <v>5565</v>
      </c>
      <c r="K66" s="4">
        <v>0.05</v>
      </c>
      <c r="L66" s="4">
        <v>0.1</v>
      </c>
      <c r="M66" s="4">
        <v>0.15</v>
      </c>
      <c r="N66" s="4">
        <v>0.2</v>
      </c>
      <c r="O66" s="4">
        <v>0.2</v>
      </c>
      <c r="P66" s="4">
        <v>0.3</v>
      </c>
      <c r="Q66" s="4">
        <f t="shared" si="0"/>
        <v>4175.3500000000004</v>
      </c>
      <c r="R66" s="4">
        <v>4175.3500000000004</v>
      </c>
      <c r="T66" s="2">
        <v>1.5786363636363636</v>
      </c>
      <c r="U66" s="2">
        <v>1.125</v>
      </c>
      <c r="V66">
        <f>(102.040816326531)/180</f>
        <v>0.56689342403628329</v>
      </c>
      <c r="W66">
        <f>(537866)/400000</f>
        <v>1.344665</v>
      </c>
      <c r="X66">
        <v>0.3</v>
      </c>
      <c r="Y66">
        <v>-0.1</v>
      </c>
      <c r="Z66">
        <v>0.4</v>
      </c>
      <c r="AA66">
        <v>0.4</v>
      </c>
      <c r="AB66">
        <f t="shared" si="1"/>
        <v>1.1257142787054226</v>
      </c>
      <c r="AC66">
        <v>2926.8571246340921</v>
      </c>
      <c r="AG66" s="2">
        <v>3697</v>
      </c>
      <c r="AH66" s="2">
        <v>318</v>
      </c>
      <c r="AI66">
        <v>887.40000000000009</v>
      </c>
      <c r="AJ66">
        <v>3604.8500000000004</v>
      </c>
      <c r="AK66">
        <v>0.2</v>
      </c>
      <c r="AL66">
        <v>0.2</v>
      </c>
      <c r="AM66">
        <v>0.3</v>
      </c>
      <c r="AN66">
        <v>0.3</v>
      </c>
      <c r="AO66">
        <v>2521.0798016230842</v>
      </c>
      <c r="AP66">
        <v>2150.6750000000002</v>
      </c>
      <c r="AR66">
        <v>335100</v>
      </c>
      <c r="AS66">
        <v>46521.299999999996</v>
      </c>
      <c r="AT66">
        <v>4352</v>
      </c>
      <c r="AU66">
        <v>0.3</v>
      </c>
      <c r="AV66">
        <v>0.4</v>
      </c>
      <c r="AW66">
        <v>0.3</v>
      </c>
      <c r="AX66">
        <f t="shared" si="2"/>
        <v>120444.12000000001</v>
      </c>
      <c r="AY66">
        <v>3260.2622746012544</v>
      </c>
      <c r="BB66">
        <v>621</v>
      </c>
      <c r="BC66">
        <v>2558.8999999999996</v>
      </c>
      <c r="BD66" s="2">
        <v>563</v>
      </c>
      <c r="BE66" s="4">
        <v>0.4</v>
      </c>
      <c r="BF66" s="4">
        <v>0.3</v>
      </c>
      <c r="BG66" s="4">
        <v>0.3</v>
      </c>
      <c r="BH66">
        <f t="shared" si="3"/>
        <v>1184.9699999999998</v>
      </c>
      <c r="BI66">
        <v>2406.9703125000001</v>
      </c>
      <c r="BN66">
        <v>99.998263160898304</v>
      </c>
      <c r="BO66">
        <v>85.654323191621501</v>
      </c>
      <c r="BW66" s="2">
        <v>94007</v>
      </c>
      <c r="BX66" s="2">
        <v>37440</v>
      </c>
      <c r="BY66" s="2">
        <v>23450</v>
      </c>
      <c r="BZ66" s="2">
        <v>11986</v>
      </c>
      <c r="CA66" s="3">
        <v>0.3</v>
      </c>
      <c r="CB66" s="3">
        <v>0.3</v>
      </c>
      <c r="CC66" s="3">
        <v>0.2</v>
      </c>
      <c r="CD66" s="3">
        <v>0.2</v>
      </c>
      <c r="CE66">
        <f t="shared" si="4"/>
        <v>46521.299999999996</v>
      </c>
      <c r="CJ66">
        <v>16676</v>
      </c>
      <c r="CM66">
        <v>18574</v>
      </c>
      <c r="CN66" s="2">
        <v>529588</v>
      </c>
      <c r="CS66">
        <v>779</v>
      </c>
      <c r="CT66">
        <v>2067</v>
      </c>
      <c r="CU66">
        <v>7052</v>
      </c>
      <c r="CV66">
        <v>6153</v>
      </c>
      <c r="CW66">
        <v>150</v>
      </c>
      <c r="CX66">
        <v>0.5</v>
      </c>
      <c r="CY66">
        <v>0.1</v>
      </c>
      <c r="CZ66">
        <v>0.2</v>
      </c>
      <c r="DA66">
        <v>0.25</v>
      </c>
      <c r="DB66">
        <v>0.4</v>
      </c>
      <c r="DC66">
        <f t="shared" si="5"/>
        <v>3604.8500000000004</v>
      </c>
      <c r="DE66" s="2">
        <v>831</v>
      </c>
      <c r="DF66" s="2">
        <v>253</v>
      </c>
      <c r="DG66" s="4">
        <v>0.6</v>
      </c>
      <c r="DH66" s="4">
        <v>0.4</v>
      </c>
      <c r="DI66" s="4">
        <f t="shared" si="6"/>
        <v>599.79999999999995</v>
      </c>
      <c r="DK66" s="2">
        <v>676</v>
      </c>
      <c r="DL66" s="2">
        <v>358</v>
      </c>
      <c r="DM66" s="5">
        <v>0.6</v>
      </c>
      <c r="DN66" s="5">
        <v>0.4</v>
      </c>
      <c r="DO66">
        <f t="shared" si="7"/>
        <v>548.79999999999995</v>
      </c>
      <c r="DR66" s="2">
        <v>2733</v>
      </c>
      <c r="DS66" s="2">
        <v>847</v>
      </c>
      <c r="DT66">
        <v>0.35</v>
      </c>
      <c r="DU66">
        <v>0.65</v>
      </c>
      <c r="DV66">
        <f t="shared" si="8"/>
        <v>1507.1</v>
      </c>
      <c r="EB66">
        <v>7</v>
      </c>
      <c r="ED66">
        <v>1.9459101490553132</v>
      </c>
      <c r="EE66">
        <v>-12.906768761047299</v>
      </c>
      <c r="EF66">
        <v>10.960858611991986</v>
      </c>
      <c r="EG66">
        <v>1.7368391017068198E-3</v>
      </c>
      <c r="EJ66">
        <v>1.7368391017068198E-3</v>
      </c>
      <c r="EO66" s="2">
        <v>23324</v>
      </c>
      <c r="EP66" s="2">
        <v>25030</v>
      </c>
      <c r="EQ66" s="2">
        <v>26595</v>
      </c>
      <c r="ER66" s="2">
        <v>26057</v>
      </c>
      <c r="ES66" s="2">
        <v>23705</v>
      </c>
      <c r="ET66" s="2">
        <v>22866</v>
      </c>
      <c r="EU66" s="2">
        <v>24647</v>
      </c>
      <c r="EV66" s="2">
        <v>26259</v>
      </c>
      <c r="EW66" s="2">
        <v>29252</v>
      </c>
      <c r="EX66" s="2">
        <v>26101</v>
      </c>
      <c r="EY66" s="2">
        <v>26006</v>
      </c>
      <c r="EZ66" s="2">
        <v>27177</v>
      </c>
      <c r="FA66" s="2">
        <v>26180</v>
      </c>
      <c r="FB66" s="2">
        <v>24198</v>
      </c>
      <c r="FC66" s="2">
        <v>26601</v>
      </c>
      <c r="FD66" s="2">
        <v>28036</v>
      </c>
      <c r="FE66" s="2">
        <v>27824</v>
      </c>
      <c r="FF66" s="2">
        <v>30674</v>
      </c>
      <c r="FG66">
        <f t="shared" si="9"/>
        <v>470532</v>
      </c>
      <c r="FI66">
        <v>-13.061619248447199</v>
      </c>
      <c r="FJ66" s="2">
        <v>12.906768761047315</v>
      </c>
      <c r="FK66">
        <v>85.654323191621501</v>
      </c>
      <c r="FM66">
        <v>85.654323191621501</v>
      </c>
    </row>
    <row r="67" spans="1:169">
      <c r="A67" s="1" t="s">
        <v>0</v>
      </c>
      <c r="B67" s="1" t="s">
        <v>130</v>
      </c>
      <c r="C67" s="1" t="s">
        <v>2</v>
      </c>
      <c r="D67" s="1" t="s">
        <v>131</v>
      </c>
      <c r="E67" s="2">
        <v>5389</v>
      </c>
      <c r="F67" s="2">
        <v>3920</v>
      </c>
      <c r="G67" s="2">
        <v>4014</v>
      </c>
      <c r="H67" s="2">
        <v>5564</v>
      </c>
      <c r="I67" s="2">
        <v>2229</v>
      </c>
      <c r="J67" s="2">
        <v>5554</v>
      </c>
      <c r="K67" s="4">
        <v>0.05</v>
      </c>
      <c r="L67" s="4">
        <v>0.1</v>
      </c>
      <c r="M67" s="4">
        <v>0.15</v>
      </c>
      <c r="N67" s="4">
        <v>0.2</v>
      </c>
      <c r="O67" s="4">
        <v>0.2</v>
      </c>
      <c r="P67" s="4">
        <v>0.3</v>
      </c>
      <c r="Q67" s="4">
        <f t="shared" si="0"/>
        <v>4488.3500000000004</v>
      </c>
      <c r="R67" s="4">
        <v>4488.3500000000004</v>
      </c>
      <c r="T67" s="2">
        <v>1.3154545454545454</v>
      </c>
      <c r="U67" s="2">
        <v>5</v>
      </c>
      <c r="V67">
        <f>(72.5478816018572)/180</f>
        <v>0.40304378667698443</v>
      </c>
      <c r="W67">
        <f>(783504)/400000</f>
        <v>1.9587600000000001</v>
      </c>
      <c r="X67">
        <v>0.3</v>
      </c>
      <c r="Y67">
        <v>-0.1</v>
      </c>
      <c r="Z67">
        <v>0.4</v>
      </c>
      <c r="AA67">
        <v>0.4</v>
      </c>
      <c r="AB67">
        <f t="shared" si="1"/>
        <v>0.83935787830715747</v>
      </c>
      <c r="AC67">
        <v>2182.3304835986055</v>
      </c>
      <c r="AG67" s="2">
        <v>6048</v>
      </c>
      <c r="AH67" s="2">
        <v>851</v>
      </c>
      <c r="AI67">
        <v>1822</v>
      </c>
      <c r="AJ67">
        <v>4561.3999999999996</v>
      </c>
      <c r="AK67">
        <v>0.2</v>
      </c>
      <c r="AL67">
        <v>0.2</v>
      </c>
      <c r="AM67">
        <v>0.3</v>
      </c>
      <c r="AN67">
        <v>0.3</v>
      </c>
      <c r="AO67">
        <v>3862.2777276826082</v>
      </c>
      <c r="AP67">
        <v>3294.8199999999997</v>
      </c>
      <c r="AR67">
        <v>462976</v>
      </c>
      <c r="AS67">
        <v>77288.5</v>
      </c>
      <c r="AT67">
        <v>3043</v>
      </c>
      <c r="AU67">
        <v>0.3</v>
      </c>
      <c r="AV67">
        <v>0.4</v>
      </c>
      <c r="AW67">
        <v>0.3</v>
      </c>
      <c r="AX67">
        <f t="shared" si="2"/>
        <v>170721.09999999998</v>
      </c>
      <c r="AY67">
        <v>4621.1933119560263</v>
      </c>
      <c r="BB67">
        <v>4417</v>
      </c>
      <c r="BC67">
        <v>2748.7</v>
      </c>
      <c r="BD67" s="2">
        <v>740</v>
      </c>
      <c r="BE67" s="4">
        <v>0.4</v>
      </c>
      <c r="BF67" s="4">
        <v>0.3</v>
      </c>
      <c r="BG67" s="4">
        <v>0.3</v>
      </c>
      <c r="BH67">
        <f t="shared" si="3"/>
        <v>2813.41</v>
      </c>
      <c r="BI67">
        <v>5714.7390624999998</v>
      </c>
      <c r="BN67">
        <v>99.860835215299403</v>
      </c>
      <c r="BO67">
        <v>80.523414051165204</v>
      </c>
      <c r="BW67" s="2">
        <v>179283</v>
      </c>
      <c r="BX67" s="2">
        <v>76814</v>
      </c>
      <c r="BY67" s="2">
        <v>1295</v>
      </c>
      <c r="BZ67" s="2">
        <v>1002</v>
      </c>
      <c r="CA67" s="3">
        <v>0.3</v>
      </c>
      <c r="CB67" s="3">
        <v>0.3</v>
      </c>
      <c r="CC67" s="3">
        <v>0.2</v>
      </c>
      <c r="CD67" s="3">
        <v>0.2</v>
      </c>
      <c r="CE67">
        <f t="shared" si="4"/>
        <v>77288.5</v>
      </c>
      <c r="CJ67">
        <v>27824</v>
      </c>
      <c r="CM67">
        <v>23212</v>
      </c>
      <c r="CN67" s="2">
        <v>786127</v>
      </c>
      <c r="CS67">
        <v>493</v>
      </c>
      <c r="CT67">
        <v>1122</v>
      </c>
      <c r="CU67">
        <v>11570</v>
      </c>
      <c r="CV67">
        <v>5662</v>
      </c>
      <c r="CW67">
        <v>1183</v>
      </c>
      <c r="CX67">
        <v>0.5</v>
      </c>
      <c r="CY67">
        <v>0.1</v>
      </c>
      <c r="CZ67">
        <v>0.2</v>
      </c>
      <c r="DA67">
        <v>0.25</v>
      </c>
      <c r="DB67">
        <v>0.4</v>
      </c>
      <c r="DC67">
        <f t="shared" si="5"/>
        <v>4561.3999999999996</v>
      </c>
      <c r="DE67" s="2">
        <v>1321</v>
      </c>
      <c r="DF67" s="2">
        <v>237</v>
      </c>
      <c r="DG67" s="4">
        <v>0.6</v>
      </c>
      <c r="DH67" s="4">
        <v>0.4</v>
      </c>
      <c r="DI67" s="4">
        <f t="shared" si="6"/>
        <v>887.40000000000009</v>
      </c>
      <c r="DK67" s="2">
        <v>1346</v>
      </c>
      <c r="DL67" s="2">
        <v>431</v>
      </c>
      <c r="DM67" s="5">
        <v>0.6</v>
      </c>
      <c r="DN67" s="5">
        <v>0.4</v>
      </c>
      <c r="DO67">
        <f t="shared" si="7"/>
        <v>980</v>
      </c>
      <c r="DR67" s="2">
        <v>3361</v>
      </c>
      <c r="DS67" s="2">
        <v>2127</v>
      </c>
      <c r="DT67">
        <v>0.35</v>
      </c>
      <c r="DU67">
        <v>0.65</v>
      </c>
      <c r="DV67">
        <f t="shared" si="8"/>
        <v>2558.8999999999996</v>
      </c>
      <c r="EB67">
        <v>737</v>
      </c>
      <c r="ED67">
        <v>6.6025878921893364</v>
      </c>
      <c r="EE67">
        <v>-13.179854624738001</v>
      </c>
      <c r="EF67">
        <v>6.5772667325486642</v>
      </c>
      <c r="EG67">
        <v>0.13916478470055399</v>
      </c>
      <c r="EJ67">
        <v>0.13916478470055399</v>
      </c>
      <c r="EO67" s="2">
        <v>38827</v>
      </c>
      <c r="EP67" s="2">
        <v>40115</v>
      </c>
      <c r="EQ67" s="2">
        <v>41181</v>
      </c>
      <c r="ER67" s="2">
        <v>39448</v>
      </c>
      <c r="ES67" s="2">
        <v>37187</v>
      </c>
      <c r="ET67" s="2">
        <v>27734</v>
      </c>
      <c r="EU67" s="2">
        <v>27487</v>
      </c>
      <c r="EV67" s="2">
        <v>29694</v>
      </c>
      <c r="EW67" s="2">
        <v>42806</v>
      </c>
      <c r="EX67" s="2">
        <v>39353</v>
      </c>
      <c r="EY67" s="2">
        <v>40455</v>
      </c>
      <c r="EZ67" s="2">
        <v>42498</v>
      </c>
      <c r="FA67" s="2">
        <v>39971</v>
      </c>
      <c r="FB67" s="2">
        <v>38029</v>
      </c>
      <c r="FC67" s="2">
        <v>31003</v>
      </c>
      <c r="FD67" s="2">
        <v>31090</v>
      </c>
      <c r="FE67" s="2">
        <v>32643</v>
      </c>
      <c r="FF67" s="2">
        <v>38161</v>
      </c>
      <c r="FG67">
        <f t="shared" si="9"/>
        <v>657682</v>
      </c>
      <c r="FI67">
        <v>-13.396476810814001</v>
      </c>
      <c r="FJ67" s="2">
        <v>13.179854624737953</v>
      </c>
      <c r="FK67">
        <v>80.523414051165204</v>
      </c>
      <c r="FM67">
        <v>80.523414051165204</v>
      </c>
    </row>
    <row r="68" spans="1:169">
      <c r="A68" s="1" t="s">
        <v>0</v>
      </c>
      <c r="B68" s="1" t="s">
        <v>132</v>
      </c>
      <c r="C68" s="1" t="s">
        <v>2</v>
      </c>
      <c r="D68" s="1" t="s">
        <v>133</v>
      </c>
      <c r="E68" s="2">
        <v>1944</v>
      </c>
      <c r="F68" s="2">
        <v>1610</v>
      </c>
      <c r="G68" s="2">
        <v>1013</v>
      </c>
      <c r="H68" s="2">
        <v>1992</v>
      </c>
      <c r="I68" s="2">
        <v>848</v>
      </c>
      <c r="J68" s="2">
        <v>2011</v>
      </c>
      <c r="K68" s="4">
        <v>0.05</v>
      </c>
      <c r="L68" s="4">
        <v>0.1</v>
      </c>
      <c r="M68" s="4">
        <v>0.15</v>
      </c>
      <c r="N68" s="4">
        <v>0.2</v>
      </c>
      <c r="O68" s="4">
        <v>0.2</v>
      </c>
      <c r="P68" s="4">
        <v>0.3</v>
      </c>
      <c r="Q68" s="4">
        <f t="shared" ref="Q68:Q77" si="10">SUMPRODUCT(E68:J68,K68:P68)</f>
        <v>1581.4499999999998</v>
      </c>
      <c r="R68" s="4">
        <v>1581.45</v>
      </c>
      <c r="T68" s="2">
        <v>0.69863636363636361</v>
      </c>
      <c r="U68" s="2">
        <v>0.16666666666666666</v>
      </c>
      <c r="V68">
        <f>(89.653935807782)/180</f>
        <v>0.4980774211543445</v>
      </c>
      <c r="W68">
        <f>(556593)/400000</f>
        <v>1.3914825</v>
      </c>
      <c r="X68">
        <v>0.3</v>
      </c>
      <c r="Y68">
        <v>-0.1</v>
      </c>
      <c r="Z68">
        <v>0.4</v>
      </c>
      <c r="AA68">
        <v>0.4</v>
      </c>
      <c r="AB68">
        <f t="shared" ref="AB68:AB77" si="11">SUMPRODUCT(T68:W68,X68:AA68)</f>
        <v>0.94874821088598027</v>
      </c>
      <c r="AC68">
        <v>2466.7453483035483</v>
      </c>
      <c r="AG68" s="2">
        <v>7906</v>
      </c>
      <c r="AH68" s="2">
        <v>33</v>
      </c>
      <c r="AI68">
        <v>1777.8</v>
      </c>
      <c r="AJ68">
        <v>3853.7000000000003</v>
      </c>
      <c r="AK68">
        <v>0.2</v>
      </c>
      <c r="AL68">
        <v>0.2</v>
      </c>
      <c r="AM68">
        <v>0.3</v>
      </c>
      <c r="AN68">
        <v>0.3</v>
      </c>
      <c r="AO68">
        <v>3841.6816952209283</v>
      </c>
      <c r="AP68">
        <v>3277.25</v>
      </c>
      <c r="AR68">
        <v>463945</v>
      </c>
      <c r="AS68">
        <v>74362.299999999988</v>
      </c>
      <c r="AT68">
        <v>7087</v>
      </c>
      <c r="AU68">
        <v>0.3</v>
      </c>
      <c r="AV68">
        <v>0.4</v>
      </c>
      <c r="AW68">
        <v>0.3</v>
      </c>
      <c r="AX68">
        <f t="shared" ref="AX68:AX77" si="12">SUMPRODUCT(AR68:AT68,AU68:AW68)</f>
        <v>171054.52</v>
      </c>
      <c r="AY68">
        <v>4630.2185482863433</v>
      </c>
      <c r="BB68">
        <v>799</v>
      </c>
      <c r="BC68">
        <v>852.59999999999991</v>
      </c>
      <c r="BD68" s="2">
        <v>122</v>
      </c>
      <c r="BE68" s="4">
        <v>0.4</v>
      </c>
      <c r="BF68" s="4">
        <v>0.3</v>
      </c>
      <c r="BG68" s="4">
        <v>0.3</v>
      </c>
      <c r="BH68">
        <f t="shared" ref="BH68:BH77" si="13">SUMPRODUCT(BB68:BD68,BE68:BG68)</f>
        <v>611.98</v>
      </c>
      <c r="BI68">
        <v>1243.0843749999999</v>
      </c>
      <c r="BN68">
        <v>99.343871918913806</v>
      </c>
      <c r="BO68">
        <v>85.241320831847702</v>
      </c>
      <c r="BW68" s="2">
        <v>161436</v>
      </c>
      <c r="BX68" s="2">
        <v>80223</v>
      </c>
      <c r="BY68" s="2">
        <v>5867</v>
      </c>
      <c r="BZ68" s="2">
        <v>3456</v>
      </c>
      <c r="CA68" s="3">
        <v>0.3</v>
      </c>
      <c r="CB68" s="3">
        <v>0.3</v>
      </c>
      <c r="CC68" s="3">
        <v>0.2</v>
      </c>
      <c r="CD68" s="3">
        <v>0.2</v>
      </c>
      <c r="CE68">
        <f t="shared" ref="CE68:CE77" si="14">SUMPRODUCT(BW68:BZ68,CA68:CD68)</f>
        <v>74362.299999999988</v>
      </c>
      <c r="CJ68">
        <v>29353</v>
      </c>
      <c r="CM68">
        <v>21351</v>
      </c>
      <c r="CN68" s="2">
        <v>733819</v>
      </c>
      <c r="CS68">
        <v>10</v>
      </c>
      <c r="CT68">
        <v>4988</v>
      </c>
      <c r="CU68">
        <v>9459</v>
      </c>
      <c r="CV68">
        <v>5650</v>
      </c>
      <c r="CW68">
        <v>114</v>
      </c>
      <c r="CX68">
        <v>0.5</v>
      </c>
      <c r="CY68">
        <v>0.1</v>
      </c>
      <c r="CZ68">
        <v>0.2</v>
      </c>
      <c r="DA68">
        <v>0.25</v>
      </c>
      <c r="DB68">
        <v>0.4</v>
      </c>
      <c r="DC68">
        <f t="shared" ref="DC68:DC77" si="15">SUMPRODUCT(CS68:CW68,CX68:DB68)</f>
        <v>3853.7000000000003</v>
      </c>
      <c r="DE68" s="2">
        <v>2580</v>
      </c>
      <c r="DF68" s="2">
        <v>685</v>
      </c>
      <c r="DG68" s="4">
        <v>0.6</v>
      </c>
      <c r="DH68" s="4">
        <v>0.4</v>
      </c>
      <c r="DI68" s="4">
        <f t="shared" si="6"/>
        <v>1822</v>
      </c>
      <c r="DK68" s="2">
        <v>1870</v>
      </c>
      <c r="DL68" s="2">
        <v>641</v>
      </c>
      <c r="DM68" s="5">
        <v>0.6</v>
      </c>
      <c r="DN68" s="5">
        <v>0.4</v>
      </c>
      <c r="DO68">
        <f t="shared" si="7"/>
        <v>1378.4</v>
      </c>
      <c r="DR68" s="2">
        <v>2841</v>
      </c>
      <c r="DS68" s="2">
        <v>2699</v>
      </c>
      <c r="DT68">
        <v>0.35</v>
      </c>
      <c r="DU68">
        <v>0.65</v>
      </c>
      <c r="DV68">
        <f t="shared" si="8"/>
        <v>2748.7</v>
      </c>
      <c r="EB68">
        <v>5158</v>
      </c>
      <c r="ED68">
        <v>8.5483041864412908</v>
      </c>
      <c r="EE68">
        <v>-13.574873635967201</v>
      </c>
      <c r="EF68">
        <v>5.0265694495259101</v>
      </c>
      <c r="EG68">
        <v>0.65612808108615495</v>
      </c>
      <c r="EJ68">
        <v>0.65612808108615495</v>
      </c>
      <c r="EO68" s="2">
        <v>57092</v>
      </c>
      <c r="EP68" s="2">
        <v>57011</v>
      </c>
      <c r="EQ68" s="2">
        <v>62696</v>
      </c>
      <c r="ER68" s="2">
        <v>59803</v>
      </c>
      <c r="ES68" s="2">
        <v>57136</v>
      </c>
      <c r="ET68" s="2">
        <v>43240</v>
      </c>
      <c r="EU68" s="2">
        <v>44321</v>
      </c>
      <c r="EV68" s="2">
        <v>45781</v>
      </c>
      <c r="EW68" s="2">
        <v>33565</v>
      </c>
      <c r="EX68" s="2">
        <v>55004</v>
      </c>
      <c r="EY68" s="2">
        <v>55748</v>
      </c>
      <c r="EZ68" s="2">
        <v>61774</v>
      </c>
      <c r="FA68" s="2">
        <v>59124</v>
      </c>
      <c r="FB68" s="2">
        <v>56885</v>
      </c>
      <c r="FC68" s="2">
        <v>45015</v>
      </c>
      <c r="FD68" s="2">
        <v>45783</v>
      </c>
      <c r="FE68" s="2">
        <v>48044</v>
      </c>
      <c r="FF68" s="2">
        <v>34215</v>
      </c>
      <c r="FG68">
        <f t="shared" si="9"/>
        <v>922237</v>
      </c>
      <c r="FI68">
        <v>-13.734557519398599</v>
      </c>
      <c r="FJ68" s="2">
        <v>13.574873635967231</v>
      </c>
      <c r="FK68">
        <v>85.241320831847702</v>
      </c>
      <c r="FM68">
        <v>85.241320831847702</v>
      </c>
    </row>
    <row r="69" spans="1:169">
      <c r="A69" s="1" t="s">
        <v>0</v>
      </c>
      <c r="B69" s="1" t="s">
        <v>134</v>
      </c>
      <c r="C69" s="1" t="s">
        <v>2</v>
      </c>
      <c r="D69" s="1" t="s">
        <v>135</v>
      </c>
      <c r="E69" s="2">
        <v>2470</v>
      </c>
      <c r="F69" s="2">
        <v>2014</v>
      </c>
      <c r="G69" s="2">
        <v>1511</v>
      </c>
      <c r="H69" s="2">
        <v>2485</v>
      </c>
      <c r="I69" s="2">
        <v>1151</v>
      </c>
      <c r="J69" s="2">
        <v>2447</v>
      </c>
      <c r="K69" s="4">
        <v>0.05</v>
      </c>
      <c r="L69" s="4">
        <v>0.1</v>
      </c>
      <c r="M69" s="4">
        <v>0.15</v>
      </c>
      <c r="N69" s="4">
        <v>0.2</v>
      </c>
      <c r="O69" s="4">
        <v>0.2</v>
      </c>
      <c r="P69" s="4">
        <v>0.3</v>
      </c>
      <c r="Q69" s="4">
        <f t="shared" si="10"/>
        <v>2012.85</v>
      </c>
      <c r="R69" s="4">
        <v>2012.85</v>
      </c>
      <c r="T69" s="2">
        <v>0.70181818181818179</v>
      </c>
      <c r="U69" s="2">
        <v>0.625</v>
      </c>
      <c r="V69">
        <f>(268.817204301075)/180</f>
        <v>1.4934289127837499</v>
      </c>
      <c r="W69">
        <f>(439278)/400000</f>
        <v>1.098195</v>
      </c>
      <c r="X69">
        <v>0.3</v>
      </c>
      <c r="Y69">
        <v>-0.1</v>
      </c>
      <c r="Z69">
        <v>0.4</v>
      </c>
      <c r="AA69">
        <v>0.4</v>
      </c>
      <c r="AB69">
        <f t="shared" si="11"/>
        <v>1.1846950196589545</v>
      </c>
      <c r="AC69">
        <v>3080.2070511132702</v>
      </c>
      <c r="AG69" s="2">
        <v>6824</v>
      </c>
      <c r="AH69" s="2">
        <v>24</v>
      </c>
      <c r="AI69">
        <v>688.8</v>
      </c>
      <c r="AJ69">
        <v>1709.85</v>
      </c>
      <c r="AK69">
        <v>0.2</v>
      </c>
      <c r="AL69">
        <v>0.2</v>
      </c>
      <c r="AM69">
        <v>0.3</v>
      </c>
      <c r="AN69">
        <v>0.3</v>
      </c>
      <c r="AO69">
        <v>2449.0112714156908</v>
      </c>
      <c r="AP69">
        <v>2089.1950000000002</v>
      </c>
      <c r="AR69">
        <v>197848</v>
      </c>
      <c r="AS69">
        <v>38957.600000000006</v>
      </c>
      <c r="AT69">
        <v>2620</v>
      </c>
      <c r="AU69">
        <v>0.3</v>
      </c>
      <c r="AV69">
        <v>0.4</v>
      </c>
      <c r="AW69">
        <v>0.3</v>
      </c>
      <c r="AX69">
        <f t="shared" si="12"/>
        <v>75723.44</v>
      </c>
      <c r="AY69">
        <v>2049.7328946820467</v>
      </c>
      <c r="BB69">
        <v>106</v>
      </c>
      <c r="BC69">
        <v>1154.95</v>
      </c>
      <c r="BD69" s="2">
        <v>195</v>
      </c>
      <c r="BE69" s="4">
        <v>0.4</v>
      </c>
      <c r="BF69" s="4">
        <v>0.3</v>
      </c>
      <c r="BG69" s="4">
        <v>0.3</v>
      </c>
      <c r="BH69">
        <f t="shared" si="13"/>
        <v>447.38499999999999</v>
      </c>
      <c r="BI69">
        <v>908.75078125000005</v>
      </c>
      <c r="BN69">
        <v>99.875582398384296</v>
      </c>
      <c r="BO69">
        <v>78.990544630981603</v>
      </c>
      <c r="BW69" s="2">
        <v>90509</v>
      </c>
      <c r="BX69" s="2">
        <v>38797</v>
      </c>
      <c r="BY69" s="2">
        <v>397</v>
      </c>
      <c r="BZ69" s="2">
        <v>432</v>
      </c>
      <c r="CA69" s="3">
        <v>0.3</v>
      </c>
      <c r="CB69" s="3">
        <v>0.3</v>
      </c>
      <c r="CC69" s="3">
        <v>0.2</v>
      </c>
      <c r="CD69" s="3">
        <v>0.2</v>
      </c>
      <c r="CE69">
        <f t="shared" si="14"/>
        <v>38957.600000000006</v>
      </c>
      <c r="CJ69">
        <v>12392</v>
      </c>
      <c r="CM69">
        <v>9265</v>
      </c>
      <c r="CN69" s="2">
        <v>309467</v>
      </c>
      <c r="CS69">
        <v>0</v>
      </c>
      <c r="CT69">
        <v>888</v>
      </c>
      <c r="CU69">
        <v>3556</v>
      </c>
      <c r="CV69">
        <v>3465</v>
      </c>
      <c r="CW69">
        <v>109</v>
      </c>
      <c r="CX69">
        <v>0.5</v>
      </c>
      <c r="CY69">
        <v>0.1</v>
      </c>
      <c r="CZ69">
        <v>0.2</v>
      </c>
      <c r="DA69">
        <v>0.25</v>
      </c>
      <c r="DB69">
        <v>0.4</v>
      </c>
      <c r="DC69">
        <f t="shared" si="15"/>
        <v>1709.85</v>
      </c>
      <c r="DE69" s="2">
        <v>2515</v>
      </c>
      <c r="DF69" s="2">
        <v>672</v>
      </c>
      <c r="DG69" s="4">
        <v>0.6</v>
      </c>
      <c r="DH69" s="4">
        <v>0.4</v>
      </c>
      <c r="DI69" s="4">
        <f t="shared" ref="DI69" si="16">SUMPRODUCT(DE69:DF69,DG69:DH69)</f>
        <v>1777.8</v>
      </c>
      <c r="DK69" s="2">
        <v>1445</v>
      </c>
      <c r="DL69" s="2">
        <v>621</v>
      </c>
      <c r="DM69" s="5">
        <v>0.6</v>
      </c>
      <c r="DN69" s="5">
        <v>0.4</v>
      </c>
      <c r="DO69">
        <f t="shared" ref="DO69:DO77" si="17">SUMPRODUCT(DK69:DL69,DM69:DN69)</f>
        <v>1115.4000000000001</v>
      </c>
      <c r="DR69" s="2">
        <v>1487</v>
      </c>
      <c r="DS69" s="2">
        <v>511</v>
      </c>
      <c r="DT69">
        <v>0.35</v>
      </c>
      <c r="DU69">
        <v>0.65</v>
      </c>
      <c r="DV69">
        <f t="shared" ref="DV69:DV78" si="18">SUMPRODUCT(DR69:DS69,DT69:DU69)</f>
        <v>852.59999999999991</v>
      </c>
      <c r="EB69">
        <v>913</v>
      </c>
      <c r="ED69">
        <v>6.816735880594968</v>
      </c>
      <c r="EE69">
        <v>-13.5060176831819</v>
      </c>
      <c r="EF69">
        <v>6.6892818025869323</v>
      </c>
      <c r="EG69">
        <v>0.124417601615658</v>
      </c>
      <c r="EJ69">
        <v>0.124417601615658</v>
      </c>
      <c r="EO69" s="2">
        <v>50074</v>
      </c>
      <c r="EP69" s="2">
        <v>51035</v>
      </c>
      <c r="EQ69" s="2">
        <v>54246</v>
      </c>
      <c r="ER69" s="2">
        <v>53091</v>
      </c>
      <c r="ES69" s="2">
        <v>48414</v>
      </c>
      <c r="ET69" s="2">
        <v>43999</v>
      </c>
      <c r="EU69" s="2">
        <v>45601</v>
      </c>
      <c r="EV69" s="2">
        <v>46886</v>
      </c>
      <c r="EW69" s="2">
        <v>74643</v>
      </c>
      <c r="EX69" s="2">
        <v>50149</v>
      </c>
      <c r="EY69" s="2">
        <v>51706</v>
      </c>
      <c r="EZ69" s="2">
        <v>54778</v>
      </c>
      <c r="FA69" s="2">
        <v>53994</v>
      </c>
      <c r="FB69" s="2">
        <v>48737</v>
      </c>
      <c r="FC69" s="2">
        <v>44536</v>
      </c>
      <c r="FD69" s="2">
        <v>45787</v>
      </c>
      <c r="FE69" s="2">
        <v>46817</v>
      </c>
      <c r="FF69" s="2">
        <v>64503</v>
      </c>
      <c r="FG69">
        <f t="shared" ref="FG69:FG78" si="19">SUM(EO69:FF69)</f>
        <v>928996</v>
      </c>
      <c r="FI69">
        <v>-13.741859712081601</v>
      </c>
      <c r="FJ69" s="2">
        <v>13.506017683181902</v>
      </c>
      <c r="FK69">
        <v>78.990544630981603</v>
      </c>
      <c r="FM69">
        <v>78.990544630981603</v>
      </c>
    </row>
    <row r="70" spans="1:169">
      <c r="A70" s="1" t="s">
        <v>0</v>
      </c>
      <c r="B70" s="1" t="s">
        <v>136</v>
      </c>
      <c r="C70" s="1" t="s">
        <v>2</v>
      </c>
      <c r="D70" s="1" t="s">
        <v>137</v>
      </c>
      <c r="E70" s="2">
        <v>2272</v>
      </c>
      <c r="F70" s="2">
        <v>1834</v>
      </c>
      <c r="G70" s="2">
        <v>1557</v>
      </c>
      <c r="H70" s="2">
        <v>2299</v>
      </c>
      <c r="I70" s="2">
        <v>830</v>
      </c>
      <c r="J70" s="2">
        <v>2291</v>
      </c>
      <c r="K70" s="4">
        <v>0.05</v>
      </c>
      <c r="L70" s="4">
        <v>0.1</v>
      </c>
      <c r="M70" s="4">
        <v>0.15</v>
      </c>
      <c r="N70" s="4">
        <v>0.2</v>
      </c>
      <c r="O70" s="4">
        <v>0.2</v>
      </c>
      <c r="P70" s="4">
        <v>0.3</v>
      </c>
      <c r="Q70" s="4">
        <f t="shared" si="10"/>
        <v>1843.6499999999999</v>
      </c>
      <c r="R70" s="4">
        <v>1843.65</v>
      </c>
      <c r="T70" s="2">
        <v>0.71227272727272728</v>
      </c>
      <c r="U70" s="2">
        <v>0.45833333333333331</v>
      </c>
      <c r="V70">
        <f>(187.055742611298)/180</f>
        <v>1.0391985700627666</v>
      </c>
      <c r="W70">
        <f>(507563)/400000</f>
        <v>1.2689075000000001</v>
      </c>
      <c r="X70">
        <v>0.3</v>
      </c>
      <c r="Y70">
        <v>-0.1</v>
      </c>
      <c r="Z70">
        <v>0.4</v>
      </c>
      <c r="AA70">
        <v>0.4</v>
      </c>
      <c r="AB70">
        <f t="shared" si="11"/>
        <v>1.0910909128735917</v>
      </c>
      <c r="AC70">
        <v>2836.8363734713339</v>
      </c>
      <c r="AG70" s="2">
        <v>3169</v>
      </c>
      <c r="AH70" s="2">
        <v>192</v>
      </c>
      <c r="AI70">
        <v>349.4</v>
      </c>
      <c r="AJ70">
        <v>4296.95</v>
      </c>
      <c r="AK70">
        <v>0.2</v>
      </c>
      <c r="AL70">
        <v>0.2</v>
      </c>
      <c r="AM70">
        <v>0.3</v>
      </c>
      <c r="AN70">
        <v>0.3</v>
      </c>
      <c r="AO70">
        <v>2421.944544634805</v>
      </c>
      <c r="AP70">
        <v>2066.1049999999996</v>
      </c>
      <c r="AR70">
        <v>286649</v>
      </c>
      <c r="AS70">
        <v>33519.199999999997</v>
      </c>
      <c r="AT70">
        <v>3041</v>
      </c>
      <c r="AU70">
        <v>0.3</v>
      </c>
      <c r="AV70">
        <v>0.4</v>
      </c>
      <c r="AW70">
        <v>0.3</v>
      </c>
      <c r="AX70">
        <f t="shared" si="12"/>
        <v>100314.68000000001</v>
      </c>
      <c r="AY70">
        <v>2715.3850830799938</v>
      </c>
      <c r="BB70">
        <v>693</v>
      </c>
      <c r="BC70">
        <v>1014.3999999999999</v>
      </c>
      <c r="BD70" s="2">
        <v>208</v>
      </c>
      <c r="BE70" s="4">
        <v>0.4</v>
      </c>
      <c r="BF70" s="4">
        <v>0.3</v>
      </c>
      <c r="BG70" s="4">
        <v>0.3</v>
      </c>
      <c r="BH70">
        <f t="shared" si="13"/>
        <v>643.91999999999996</v>
      </c>
      <c r="BI70">
        <v>1307.9624999999999</v>
      </c>
      <c r="BN70">
        <v>99.957022881276501</v>
      </c>
      <c r="BO70">
        <v>77.445938472085899</v>
      </c>
      <c r="BW70" s="2">
        <v>72566</v>
      </c>
      <c r="BX70" s="2">
        <v>37524</v>
      </c>
      <c r="BY70" s="2">
        <v>1388</v>
      </c>
      <c r="BZ70" s="2">
        <v>1073</v>
      </c>
      <c r="CA70" s="3">
        <v>0.3</v>
      </c>
      <c r="CB70" s="3">
        <v>0.3</v>
      </c>
      <c r="CC70" s="3">
        <v>0.2</v>
      </c>
      <c r="CD70" s="3">
        <v>0.2</v>
      </c>
      <c r="CE70">
        <f t="shared" si="14"/>
        <v>33519.199999999997</v>
      </c>
      <c r="CJ70">
        <v>17148</v>
      </c>
      <c r="CM70">
        <v>20383</v>
      </c>
      <c r="CN70" s="2">
        <v>430236</v>
      </c>
      <c r="CS70">
        <v>187</v>
      </c>
      <c r="CT70">
        <v>1376</v>
      </c>
      <c r="CU70">
        <v>7647</v>
      </c>
      <c r="CV70">
        <v>9317</v>
      </c>
      <c r="CW70">
        <v>518</v>
      </c>
      <c r="CX70">
        <v>0.5</v>
      </c>
      <c r="CY70">
        <v>0.1</v>
      </c>
      <c r="CZ70">
        <v>0.2</v>
      </c>
      <c r="DA70">
        <v>0.25</v>
      </c>
      <c r="DB70">
        <v>0.4</v>
      </c>
      <c r="DC70">
        <f t="shared" si="15"/>
        <v>4296.95</v>
      </c>
      <c r="DE70" s="2">
        <v>1028</v>
      </c>
      <c r="DF70" s="2">
        <v>180</v>
      </c>
      <c r="DG70" s="4">
        <v>0.6</v>
      </c>
      <c r="DH70" s="4">
        <v>0.4</v>
      </c>
      <c r="DI70" s="4">
        <f>SUMPRODUCT(DE70:DF70,DG70:DH70)</f>
        <v>688.8</v>
      </c>
      <c r="DK70" s="2">
        <v>490</v>
      </c>
      <c r="DL70" s="2">
        <v>195</v>
      </c>
      <c r="DM70" s="5">
        <v>0.6</v>
      </c>
      <c r="DN70" s="5">
        <v>0.4</v>
      </c>
      <c r="DO70">
        <f t="shared" si="17"/>
        <v>372</v>
      </c>
      <c r="DR70" s="2">
        <v>1400</v>
      </c>
      <c r="DS70" s="2">
        <v>1023</v>
      </c>
      <c r="DT70">
        <v>0.35</v>
      </c>
      <c r="DU70">
        <v>0.65</v>
      </c>
      <c r="DV70">
        <f t="shared" si="18"/>
        <v>1154.95</v>
      </c>
      <c r="EB70">
        <v>133</v>
      </c>
      <c r="ED70">
        <v>4.8903491282217537</v>
      </c>
      <c r="EE70">
        <v>-12.642606741835699</v>
      </c>
      <c r="EF70">
        <v>7.7522576136139456</v>
      </c>
      <c r="EG70">
        <v>4.2977118723480701E-2</v>
      </c>
      <c r="EJ70">
        <v>4.2977118723480701E-2</v>
      </c>
      <c r="EO70" s="2">
        <v>23304</v>
      </c>
      <c r="EP70" s="2">
        <v>23766</v>
      </c>
      <c r="EQ70" s="2">
        <v>25777</v>
      </c>
      <c r="ER70" s="2">
        <v>25056</v>
      </c>
      <c r="ES70" s="2">
        <v>25132</v>
      </c>
      <c r="ET70" s="2">
        <v>18688</v>
      </c>
      <c r="EU70" s="2">
        <v>18932</v>
      </c>
      <c r="EV70" s="2">
        <v>19337</v>
      </c>
      <c r="EW70" s="2">
        <v>22925</v>
      </c>
      <c r="EX70" s="2">
        <v>22688</v>
      </c>
      <c r="EY70" s="2">
        <v>22990</v>
      </c>
      <c r="EZ70" s="2">
        <v>24502</v>
      </c>
      <c r="FA70" s="2">
        <v>24614</v>
      </c>
      <c r="FB70" s="2">
        <v>23861</v>
      </c>
      <c r="FC70" s="2">
        <v>19384</v>
      </c>
      <c r="FD70" s="2">
        <v>19246</v>
      </c>
      <c r="FE70" s="2">
        <v>19561</v>
      </c>
      <c r="FF70" s="2">
        <v>19828</v>
      </c>
      <c r="FG70">
        <f t="shared" si="19"/>
        <v>399591</v>
      </c>
      <c r="FI70">
        <v>-12.898196802980401</v>
      </c>
      <c r="FJ70" s="2">
        <v>12.64260674183566</v>
      </c>
      <c r="FK70">
        <v>77.445938472085899</v>
      </c>
      <c r="FM70">
        <v>77.445938472085899</v>
      </c>
    </row>
    <row r="71" spans="1:169">
      <c r="A71" s="1" t="s">
        <v>0</v>
      </c>
      <c r="B71" s="1" t="s">
        <v>138</v>
      </c>
      <c r="C71" s="1" t="s">
        <v>2</v>
      </c>
      <c r="D71" s="1" t="s">
        <v>139</v>
      </c>
      <c r="E71" s="2">
        <v>2965</v>
      </c>
      <c r="F71" s="2">
        <v>2162</v>
      </c>
      <c r="G71" s="2">
        <v>2062</v>
      </c>
      <c r="H71" s="2">
        <v>3044</v>
      </c>
      <c r="I71" s="2">
        <v>974</v>
      </c>
      <c r="J71" s="2">
        <v>3064</v>
      </c>
      <c r="K71" s="4">
        <v>0.05</v>
      </c>
      <c r="L71" s="4">
        <v>0.1</v>
      </c>
      <c r="M71" s="4">
        <v>0.15</v>
      </c>
      <c r="N71" s="4">
        <v>0.2</v>
      </c>
      <c r="O71" s="4">
        <v>0.2</v>
      </c>
      <c r="P71" s="4">
        <v>0.3</v>
      </c>
      <c r="Q71" s="4">
        <f t="shared" si="10"/>
        <v>2396.5500000000002</v>
      </c>
      <c r="R71" s="4">
        <v>2396.5500000000002</v>
      </c>
      <c r="T71" s="2">
        <v>1.0290909090909091</v>
      </c>
      <c r="U71" s="2">
        <v>0.66666666666666663</v>
      </c>
      <c r="V71">
        <f>(179.920834832674)/180</f>
        <v>0.99956019351485548</v>
      </c>
      <c r="W71">
        <f>(352103)/400000</f>
        <v>0.88025750000000003</v>
      </c>
      <c r="X71">
        <v>0.3</v>
      </c>
      <c r="Y71">
        <v>-0.1</v>
      </c>
      <c r="Z71">
        <v>0.4</v>
      </c>
      <c r="AA71">
        <v>0.4</v>
      </c>
      <c r="AB71">
        <f t="shared" si="11"/>
        <v>0.99398768346654831</v>
      </c>
      <c r="AC71">
        <v>2584.3679770130248</v>
      </c>
      <c r="AG71" s="2">
        <v>9032</v>
      </c>
      <c r="AH71" s="2">
        <v>310</v>
      </c>
      <c r="AI71">
        <v>726</v>
      </c>
      <c r="AJ71">
        <v>2059</v>
      </c>
      <c r="AK71">
        <v>0.2</v>
      </c>
      <c r="AL71">
        <v>0.2</v>
      </c>
      <c r="AM71">
        <v>0.3</v>
      </c>
      <c r="AN71">
        <v>0.3</v>
      </c>
      <c r="AO71">
        <v>3169.5852119026158</v>
      </c>
      <c r="AP71">
        <v>2703.9</v>
      </c>
      <c r="AR71">
        <v>192665</v>
      </c>
      <c r="AS71">
        <v>23267.399999999998</v>
      </c>
      <c r="AT71">
        <v>4066</v>
      </c>
      <c r="AU71">
        <v>0.3</v>
      </c>
      <c r="AV71">
        <v>0.4</v>
      </c>
      <c r="AW71">
        <v>0.3</v>
      </c>
      <c r="AX71">
        <f t="shared" si="12"/>
        <v>68326.259999999995</v>
      </c>
      <c r="AY71">
        <v>1849.5010619247917</v>
      </c>
      <c r="BB71">
        <v>795</v>
      </c>
      <c r="BC71">
        <v>1295.6999999999998</v>
      </c>
      <c r="BD71" s="2">
        <v>227</v>
      </c>
      <c r="BE71" s="4">
        <v>0.4</v>
      </c>
      <c r="BF71" s="4">
        <v>0.3</v>
      </c>
      <c r="BG71" s="4">
        <v>0.3</v>
      </c>
      <c r="BH71">
        <f t="shared" si="13"/>
        <v>774.81</v>
      </c>
      <c r="BI71">
        <v>1573.8328124999998</v>
      </c>
      <c r="BN71">
        <v>99.833579709740704</v>
      </c>
      <c r="BO71">
        <v>74.209199997932998</v>
      </c>
      <c r="BW71" s="2">
        <v>56161</v>
      </c>
      <c r="BX71" s="2">
        <v>21267</v>
      </c>
      <c r="BY71" s="2">
        <v>100</v>
      </c>
      <c r="BZ71" s="2">
        <v>95</v>
      </c>
      <c r="CA71" s="3">
        <v>0.3</v>
      </c>
      <c r="CB71" s="3">
        <v>0.3</v>
      </c>
      <c r="CC71" s="3">
        <v>0.2</v>
      </c>
      <c r="CD71" s="3">
        <v>0.2</v>
      </c>
      <c r="CE71">
        <f t="shared" si="14"/>
        <v>23267.399999999998</v>
      </c>
      <c r="CJ71">
        <v>12707</v>
      </c>
      <c r="CM71">
        <v>10373</v>
      </c>
      <c r="CN71" s="2">
        <v>327298</v>
      </c>
      <c r="CS71">
        <v>261</v>
      </c>
      <c r="CT71">
        <v>1023</v>
      </c>
      <c r="CU71">
        <v>4321</v>
      </c>
      <c r="CV71">
        <v>3728</v>
      </c>
      <c r="CW71">
        <v>75</v>
      </c>
      <c r="CX71">
        <v>0.5</v>
      </c>
      <c r="CY71">
        <v>0.1</v>
      </c>
      <c r="CZ71">
        <v>0.2</v>
      </c>
      <c r="DA71">
        <v>0.25</v>
      </c>
      <c r="DB71">
        <v>0.4</v>
      </c>
      <c r="DC71">
        <f t="shared" si="15"/>
        <v>2059</v>
      </c>
      <c r="DE71" s="2">
        <v>445</v>
      </c>
      <c r="DF71" s="2">
        <v>206</v>
      </c>
      <c r="DG71" s="4">
        <v>0.6</v>
      </c>
      <c r="DH71" s="4">
        <v>0.4</v>
      </c>
      <c r="DI71" s="4">
        <f t="shared" ref="DI71:DI78" si="20">SUMPRODUCT(DE71:DF71,DG71:DH71)</f>
        <v>349.4</v>
      </c>
      <c r="DK71" s="2">
        <v>631</v>
      </c>
      <c r="DL71" s="2">
        <v>390</v>
      </c>
      <c r="DM71" s="5">
        <v>0.6</v>
      </c>
      <c r="DN71" s="5">
        <v>0.4</v>
      </c>
      <c r="DO71">
        <f t="shared" si="17"/>
        <v>534.59999999999991</v>
      </c>
      <c r="DR71" s="2">
        <v>1537</v>
      </c>
      <c r="DS71" s="2">
        <v>733</v>
      </c>
      <c r="DT71">
        <v>0.35</v>
      </c>
      <c r="DU71">
        <v>0.65</v>
      </c>
      <c r="DV71">
        <f t="shared" si="18"/>
        <v>1014.3999999999999</v>
      </c>
      <c r="EB71">
        <v>716</v>
      </c>
      <c r="ED71">
        <v>6.5736801669606457</v>
      </c>
      <c r="EE71">
        <v>-12.972089174322999</v>
      </c>
      <c r="EF71">
        <v>6.3984090073623534</v>
      </c>
      <c r="EG71">
        <v>0.166420290259299</v>
      </c>
      <c r="EJ71">
        <v>0.166420290259299</v>
      </c>
      <c r="EO71" s="2">
        <v>33262</v>
      </c>
      <c r="EP71" s="2">
        <v>32059</v>
      </c>
      <c r="EQ71" s="2">
        <v>33430</v>
      </c>
      <c r="ER71" s="2">
        <v>33528</v>
      </c>
      <c r="ES71" s="2">
        <v>32801</v>
      </c>
      <c r="ET71" s="2">
        <v>30411</v>
      </c>
      <c r="EU71" s="2">
        <v>31428</v>
      </c>
      <c r="EV71" s="2">
        <v>31642</v>
      </c>
      <c r="EW71" s="2">
        <v>35823</v>
      </c>
      <c r="EX71" s="2">
        <v>31025</v>
      </c>
      <c r="EY71" s="2">
        <v>29837</v>
      </c>
      <c r="EZ71" s="2">
        <v>32007</v>
      </c>
      <c r="FA71" s="2">
        <v>32392</v>
      </c>
      <c r="FB71" s="2">
        <v>31677</v>
      </c>
      <c r="FC71" s="2">
        <v>29819</v>
      </c>
      <c r="FD71" s="2">
        <v>31667</v>
      </c>
      <c r="FE71" s="2">
        <v>32312</v>
      </c>
      <c r="FF71" s="2">
        <v>34641</v>
      </c>
      <c r="FG71">
        <f t="shared" si="19"/>
        <v>579761</v>
      </c>
      <c r="FI71">
        <v>-13.2703712286333</v>
      </c>
      <c r="FJ71" s="2">
        <v>12.97208917432299</v>
      </c>
      <c r="FK71">
        <v>74.209199997932998</v>
      </c>
      <c r="FM71">
        <v>74.209199997932998</v>
      </c>
    </row>
    <row r="72" spans="1:169">
      <c r="A72" s="1" t="s">
        <v>0</v>
      </c>
      <c r="B72" s="1" t="s">
        <v>140</v>
      </c>
      <c r="C72" s="1" t="s">
        <v>2</v>
      </c>
      <c r="D72" s="1" t="s">
        <v>141</v>
      </c>
      <c r="E72" s="2">
        <v>2778</v>
      </c>
      <c r="F72" s="2">
        <v>2745</v>
      </c>
      <c r="G72" s="2">
        <v>1972</v>
      </c>
      <c r="H72" s="2">
        <v>2811</v>
      </c>
      <c r="I72" s="2">
        <v>598</v>
      </c>
      <c r="J72" s="2">
        <v>2952</v>
      </c>
      <c r="K72" s="4">
        <v>0.05</v>
      </c>
      <c r="L72" s="4">
        <v>0.1</v>
      </c>
      <c r="M72" s="4">
        <v>0.15</v>
      </c>
      <c r="N72" s="4">
        <v>0.2</v>
      </c>
      <c r="O72" s="4">
        <v>0.2</v>
      </c>
      <c r="P72" s="4">
        <v>0.3</v>
      </c>
      <c r="Q72" s="4">
        <f t="shared" si="10"/>
        <v>2276.6</v>
      </c>
      <c r="R72" s="4">
        <v>2276.6</v>
      </c>
      <c r="T72" s="2">
        <v>1.1368181818181817</v>
      </c>
      <c r="U72" s="2">
        <v>0.16666666666666666</v>
      </c>
      <c r="V72">
        <f>(167.841557569654)/180</f>
        <v>0.93245309760918882</v>
      </c>
      <c r="W72">
        <f>(572159)/400000</f>
        <v>1.4303975</v>
      </c>
      <c r="X72">
        <v>0.3</v>
      </c>
      <c r="Y72">
        <v>-0.1</v>
      </c>
      <c r="Z72">
        <v>0.4</v>
      </c>
      <c r="AA72">
        <v>0.4</v>
      </c>
      <c r="AB72">
        <f t="shared" si="11"/>
        <v>1.2695190269224632</v>
      </c>
      <c r="AC72">
        <v>3300.7494699983963</v>
      </c>
      <c r="AG72" s="2">
        <v>4113</v>
      </c>
      <c r="AH72" s="2">
        <v>819</v>
      </c>
      <c r="AI72">
        <v>1124.5999999999999</v>
      </c>
      <c r="AJ72">
        <v>2474.8500000000004</v>
      </c>
      <c r="AK72">
        <v>0.2</v>
      </c>
      <c r="AL72">
        <v>0.2</v>
      </c>
      <c r="AM72">
        <v>0.3</v>
      </c>
      <c r="AN72">
        <v>0.3</v>
      </c>
      <c r="AO72">
        <v>2422.0969341749337</v>
      </c>
      <c r="AP72">
        <v>2066.2350000000001</v>
      </c>
      <c r="AR72">
        <v>251949</v>
      </c>
      <c r="AS72">
        <v>48524</v>
      </c>
      <c r="AT72">
        <v>3767</v>
      </c>
      <c r="AU72">
        <v>0.3</v>
      </c>
      <c r="AV72">
        <v>0.4</v>
      </c>
      <c r="AW72">
        <v>0.3</v>
      </c>
      <c r="AX72">
        <f t="shared" si="12"/>
        <v>96124.400000000009</v>
      </c>
      <c r="AY72">
        <v>2601.9597717902884</v>
      </c>
      <c r="BB72">
        <v>4</v>
      </c>
      <c r="BC72">
        <v>1157.3</v>
      </c>
      <c r="BD72" s="2">
        <v>404</v>
      </c>
      <c r="BE72" s="4">
        <v>0.4</v>
      </c>
      <c r="BF72" s="4">
        <v>0.3</v>
      </c>
      <c r="BG72" s="4">
        <v>0.3</v>
      </c>
      <c r="BH72">
        <f t="shared" si="13"/>
        <v>469.99</v>
      </c>
      <c r="BI72">
        <v>954.66718750000007</v>
      </c>
      <c r="BN72">
        <v>99.703633997152394</v>
      </c>
      <c r="BO72">
        <v>80.710095358341704</v>
      </c>
      <c r="BW72" s="2">
        <v>113541</v>
      </c>
      <c r="BX72" s="2">
        <v>47683</v>
      </c>
      <c r="BY72" s="2">
        <v>690</v>
      </c>
      <c r="BZ72" s="2">
        <v>94</v>
      </c>
      <c r="CA72" s="3">
        <v>0.3</v>
      </c>
      <c r="CB72" s="3">
        <v>0.3</v>
      </c>
      <c r="CC72" s="3">
        <v>0.2</v>
      </c>
      <c r="CD72" s="3">
        <v>0.2</v>
      </c>
      <c r="CE72">
        <f t="shared" si="14"/>
        <v>48524</v>
      </c>
      <c r="CJ72">
        <v>16986</v>
      </c>
      <c r="CM72">
        <v>12766</v>
      </c>
      <c r="CN72" s="2">
        <v>471801</v>
      </c>
      <c r="CS72">
        <v>286</v>
      </c>
      <c r="CT72">
        <v>1302</v>
      </c>
      <c r="CU72">
        <v>5317</v>
      </c>
      <c r="CV72">
        <v>4337</v>
      </c>
      <c r="CW72">
        <v>135</v>
      </c>
      <c r="CX72">
        <v>0.5</v>
      </c>
      <c r="CY72">
        <v>0.1</v>
      </c>
      <c r="CZ72">
        <v>0.2</v>
      </c>
      <c r="DA72">
        <v>0.25</v>
      </c>
      <c r="DB72">
        <v>0.4</v>
      </c>
      <c r="DC72">
        <f t="shared" si="15"/>
        <v>2474.8500000000004</v>
      </c>
      <c r="DE72" s="2">
        <v>1066</v>
      </c>
      <c r="DF72" s="2">
        <v>216</v>
      </c>
      <c r="DG72" s="4">
        <v>0.6</v>
      </c>
      <c r="DH72" s="4">
        <v>0.4</v>
      </c>
      <c r="DI72" s="4">
        <f t="shared" si="20"/>
        <v>726</v>
      </c>
      <c r="DK72" s="2">
        <v>785</v>
      </c>
      <c r="DL72" s="2">
        <v>212</v>
      </c>
      <c r="DM72" s="5">
        <v>0.6</v>
      </c>
      <c r="DN72" s="5">
        <v>0.4</v>
      </c>
      <c r="DO72">
        <f t="shared" si="17"/>
        <v>555.79999999999995</v>
      </c>
      <c r="DR72" s="2">
        <v>2233</v>
      </c>
      <c r="DS72" s="2">
        <v>791</v>
      </c>
      <c r="DT72">
        <v>0.35</v>
      </c>
      <c r="DU72">
        <v>0.65</v>
      </c>
      <c r="DV72">
        <f t="shared" si="18"/>
        <v>1295.6999999999998</v>
      </c>
      <c r="EB72">
        <v>970</v>
      </c>
      <c r="ED72">
        <v>6.8772960714974287</v>
      </c>
      <c r="EE72">
        <v>-12.6986263498687</v>
      </c>
      <c r="EF72">
        <v>5.8213302783712715</v>
      </c>
      <c r="EG72">
        <v>0.29636600284756098</v>
      </c>
      <c r="EJ72">
        <v>0.29636600284756098</v>
      </c>
      <c r="EO72" s="2">
        <v>33745</v>
      </c>
      <c r="EP72" s="2">
        <v>30877</v>
      </c>
      <c r="EQ72" s="2">
        <v>29138</v>
      </c>
      <c r="ER72" s="2">
        <v>26452</v>
      </c>
      <c r="ES72" s="2">
        <v>24082</v>
      </c>
      <c r="ET72" s="2">
        <v>19571</v>
      </c>
      <c r="EU72" s="2">
        <v>18084</v>
      </c>
      <c r="EV72" s="2">
        <v>17834</v>
      </c>
      <c r="EW72" s="2">
        <v>14753</v>
      </c>
      <c r="EX72" s="2">
        <v>30000</v>
      </c>
      <c r="EY72" s="2">
        <v>27792</v>
      </c>
      <c r="EZ72" s="2">
        <v>26753</v>
      </c>
      <c r="FA72" s="2">
        <v>24908</v>
      </c>
      <c r="FB72" s="2">
        <v>22670</v>
      </c>
      <c r="FC72" s="2">
        <v>16726</v>
      </c>
      <c r="FD72" s="2">
        <v>15622</v>
      </c>
      <c r="FE72" s="2">
        <v>15657</v>
      </c>
      <c r="FF72" s="2">
        <v>10859</v>
      </c>
      <c r="FG72">
        <f t="shared" si="19"/>
        <v>405523</v>
      </c>
      <c r="FI72">
        <v>-12.912932871027699</v>
      </c>
      <c r="FJ72" s="2">
        <v>12.698626349868707</v>
      </c>
      <c r="FK72">
        <v>80.710095358341704</v>
      </c>
      <c r="FM72">
        <v>80.710095358341704</v>
      </c>
    </row>
    <row r="73" spans="1:169">
      <c r="A73" s="1" t="s">
        <v>0</v>
      </c>
      <c r="B73" s="1" t="s">
        <v>142</v>
      </c>
      <c r="C73" s="1" t="s">
        <v>2</v>
      </c>
      <c r="D73" s="1" t="s">
        <v>143</v>
      </c>
      <c r="E73" s="2">
        <v>1636</v>
      </c>
      <c r="F73" s="2">
        <v>1155</v>
      </c>
      <c r="G73" s="2">
        <v>966</v>
      </c>
      <c r="H73" s="2">
        <v>1668</v>
      </c>
      <c r="I73" s="2">
        <v>706</v>
      </c>
      <c r="J73" s="2">
        <v>1696</v>
      </c>
      <c r="K73" s="4">
        <v>0.05</v>
      </c>
      <c r="L73" s="4">
        <v>0.1</v>
      </c>
      <c r="M73" s="4">
        <v>0.15</v>
      </c>
      <c r="N73" s="4">
        <v>0.2</v>
      </c>
      <c r="O73" s="4">
        <v>0.2</v>
      </c>
      <c r="P73" s="4">
        <v>0.3</v>
      </c>
      <c r="Q73" s="4">
        <f t="shared" si="10"/>
        <v>1325.8000000000002</v>
      </c>
      <c r="R73" s="4">
        <v>1325.8</v>
      </c>
      <c r="T73" s="2">
        <v>0.52454545454545454</v>
      </c>
      <c r="U73" s="2">
        <v>8.3333333333333329E-2</v>
      </c>
      <c r="V73">
        <f>(157.728706624606)/180</f>
        <v>0.87627059235892213</v>
      </c>
      <c r="W73">
        <f>(498622)/400000</f>
        <v>1.2465550000000001</v>
      </c>
      <c r="X73">
        <v>0.3</v>
      </c>
      <c r="Y73">
        <v>-0.1</v>
      </c>
      <c r="Z73">
        <v>0.4</v>
      </c>
      <c r="AA73">
        <v>0.4</v>
      </c>
      <c r="AB73">
        <f t="shared" si="11"/>
        <v>0.998160539973872</v>
      </c>
      <c r="AC73">
        <v>2595.2174039320671</v>
      </c>
      <c r="AG73" s="2">
        <v>5348</v>
      </c>
      <c r="AH73" s="2">
        <v>122</v>
      </c>
      <c r="AI73">
        <v>1154.2</v>
      </c>
      <c r="AJ73">
        <v>1556</v>
      </c>
      <c r="AK73">
        <v>0.2</v>
      </c>
      <c r="AL73">
        <v>0.2</v>
      </c>
      <c r="AM73">
        <v>0.3</v>
      </c>
      <c r="AN73">
        <v>0.3</v>
      </c>
      <c r="AO73">
        <v>2235.5076645626687</v>
      </c>
      <c r="AP73">
        <v>1907.0600000000002</v>
      </c>
      <c r="AR73">
        <v>197634</v>
      </c>
      <c r="AS73">
        <v>48551.8</v>
      </c>
      <c r="AT73">
        <v>1127</v>
      </c>
      <c r="AU73">
        <v>0.3</v>
      </c>
      <c r="AV73">
        <v>0.4</v>
      </c>
      <c r="AW73">
        <v>0.3</v>
      </c>
      <c r="AX73">
        <f t="shared" si="12"/>
        <v>79049.02</v>
      </c>
      <c r="AY73">
        <v>2139.7519260400609</v>
      </c>
      <c r="BB73">
        <v>425</v>
      </c>
      <c r="BC73">
        <v>733.4</v>
      </c>
      <c r="BD73" s="2">
        <v>122</v>
      </c>
      <c r="BE73" s="4">
        <v>0.4</v>
      </c>
      <c r="BF73" s="4">
        <v>0.3</v>
      </c>
      <c r="BG73" s="4">
        <v>0.3</v>
      </c>
      <c r="BH73">
        <f t="shared" si="13"/>
        <v>426.62</v>
      </c>
      <c r="BI73">
        <v>866.57187499999998</v>
      </c>
      <c r="BN73">
        <v>99.999152184925407</v>
      </c>
      <c r="BO73">
        <v>91.506656426010807</v>
      </c>
      <c r="BW73" s="2">
        <v>69109</v>
      </c>
      <c r="BX73" s="2">
        <v>29435</v>
      </c>
      <c r="BY73" s="2">
        <v>72254</v>
      </c>
      <c r="BZ73" s="2">
        <v>22689</v>
      </c>
      <c r="CA73" s="3">
        <v>0.3</v>
      </c>
      <c r="CB73" s="3">
        <v>0.3</v>
      </c>
      <c r="CC73" s="3">
        <v>0.2</v>
      </c>
      <c r="CD73" s="3">
        <v>0.2</v>
      </c>
      <c r="CE73">
        <f t="shared" si="14"/>
        <v>48551.8</v>
      </c>
      <c r="CJ73">
        <v>13423</v>
      </c>
      <c r="CM73">
        <v>9345</v>
      </c>
      <c r="CN73" s="2">
        <v>336457</v>
      </c>
      <c r="CS73">
        <v>66</v>
      </c>
      <c r="CT73">
        <v>675</v>
      </c>
      <c r="CU73">
        <v>3690</v>
      </c>
      <c r="CV73">
        <v>2574</v>
      </c>
      <c r="CW73">
        <v>185</v>
      </c>
      <c r="CX73">
        <v>0.5</v>
      </c>
      <c r="CY73">
        <v>0.1</v>
      </c>
      <c r="CZ73">
        <v>0.2</v>
      </c>
      <c r="DA73">
        <v>0.25</v>
      </c>
      <c r="DB73">
        <v>0.4</v>
      </c>
      <c r="DC73">
        <f t="shared" si="15"/>
        <v>1556</v>
      </c>
      <c r="DE73" s="2">
        <v>1663</v>
      </c>
      <c r="DF73" s="2">
        <v>317</v>
      </c>
      <c r="DG73" s="4">
        <v>0.6</v>
      </c>
      <c r="DH73" s="4">
        <v>0.4</v>
      </c>
      <c r="DI73" s="4">
        <f t="shared" si="20"/>
        <v>1124.5999999999999</v>
      </c>
      <c r="DK73" s="2">
        <v>807</v>
      </c>
      <c r="DL73" s="2">
        <v>279</v>
      </c>
      <c r="DM73" s="5">
        <v>0.6</v>
      </c>
      <c r="DN73" s="5">
        <v>0.4</v>
      </c>
      <c r="DO73">
        <f t="shared" si="17"/>
        <v>595.79999999999995</v>
      </c>
      <c r="DR73" s="2">
        <v>2495</v>
      </c>
      <c r="DS73" s="2">
        <v>437</v>
      </c>
      <c r="DT73">
        <v>0.35</v>
      </c>
      <c r="DU73">
        <v>0.65</v>
      </c>
      <c r="DV73">
        <f t="shared" si="18"/>
        <v>1157.3</v>
      </c>
      <c r="EB73">
        <v>4</v>
      </c>
      <c r="ED73">
        <v>1.3862943611198906</v>
      </c>
      <c r="EE73">
        <v>-13.0643125654956</v>
      </c>
      <c r="EF73">
        <v>11.678018204375709</v>
      </c>
      <c r="EG73">
        <v>8.4781507457597899E-4</v>
      </c>
      <c r="EJ73">
        <v>8.4781507457597899E-4</v>
      </c>
      <c r="EO73" s="2">
        <v>32686</v>
      </c>
      <c r="EP73" s="2">
        <v>32404</v>
      </c>
      <c r="EQ73" s="2">
        <v>36425</v>
      </c>
      <c r="ER73" s="2">
        <v>36138</v>
      </c>
      <c r="ES73" s="2">
        <v>32556</v>
      </c>
      <c r="ET73" s="2">
        <v>24153</v>
      </c>
      <c r="EU73" s="2">
        <v>24415</v>
      </c>
      <c r="EV73" s="2">
        <v>24937</v>
      </c>
      <c r="EW73" s="2">
        <v>21520</v>
      </c>
      <c r="EX73" s="2">
        <v>29767</v>
      </c>
      <c r="EY73" s="2">
        <v>30108</v>
      </c>
      <c r="EZ73" s="2">
        <v>34140</v>
      </c>
      <c r="FA73" s="2">
        <v>34435</v>
      </c>
      <c r="FB73" s="2">
        <v>30666</v>
      </c>
      <c r="FC73" s="2">
        <v>23156</v>
      </c>
      <c r="FD73" s="2">
        <v>23870</v>
      </c>
      <c r="FE73" s="2">
        <v>24172</v>
      </c>
      <c r="FF73" s="2">
        <v>20044</v>
      </c>
      <c r="FG73">
        <f t="shared" si="19"/>
        <v>515592</v>
      </c>
      <c r="FI73">
        <v>-13.153071034023</v>
      </c>
      <c r="FJ73" s="2">
        <v>13.064312565495644</v>
      </c>
      <c r="FK73">
        <v>91.506656426010807</v>
      </c>
      <c r="FM73">
        <v>91.506656426010807</v>
      </c>
    </row>
    <row r="74" spans="1:169">
      <c r="A74" s="1" t="s">
        <v>0</v>
      </c>
      <c r="B74" s="1" t="s">
        <v>144</v>
      </c>
      <c r="C74" s="1" t="s">
        <v>2</v>
      </c>
      <c r="D74" s="1" t="s">
        <v>145</v>
      </c>
      <c r="E74" s="2">
        <v>2122</v>
      </c>
      <c r="F74" s="2">
        <v>1853</v>
      </c>
      <c r="G74" s="2">
        <v>1343</v>
      </c>
      <c r="H74" s="2">
        <v>2240</v>
      </c>
      <c r="I74" s="2">
        <v>738</v>
      </c>
      <c r="J74" s="2">
        <v>2236</v>
      </c>
      <c r="K74" s="4">
        <v>0.05</v>
      </c>
      <c r="L74" s="4">
        <v>0.1</v>
      </c>
      <c r="M74" s="4">
        <v>0.15</v>
      </c>
      <c r="N74" s="4">
        <v>0.2</v>
      </c>
      <c r="O74" s="4">
        <v>0.2</v>
      </c>
      <c r="P74" s="4">
        <v>0.3</v>
      </c>
      <c r="Q74" s="4">
        <f t="shared" si="10"/>
        <v>1759.25</v>
      </c>
      <c r="R74" s="4">
        <v>1759.25</v>
      </c>
      <c r="T74" s="2">
        <v>0.67954545454545456</v>
      </c>
      <c r="U74" s="2">
        <v>0.41666666666666669</v>
      </c>
      <c r="V74">
        <f>(360.230547550432)/180</f>
        <v>2.0012808197246224</v>
      </c>
      <c r="W74">
        <f>(306486)/400000</f>
        <v>0.76621499999999998</v>
      </c>
      <c r="X74">
        <v>0.3</v>
      </c>
      <c r="Y74">
        <v>-0.1</v>
      </c>
      <c r="Z74">
        <v>0.4</v>
      </c>
      <c r="AA74">
        <v>0.4</v>
      </c>
      <c r="AB74">
        <f t="shared" si="11"/>
        <v>1.2691952975868186</v>
      </c>
      <c r="AC74">
        <v>3299.9077737257317</v>
      </c>
      <c r="AG74" s="2">
        <v>3589</v>
      </c>
      <c r="AH74" s="2">
        <v>227</v>
      </c>
      <c r="AI74">
        <v>530.4</v>
      </c>
      <c r="AJ74">
        <v>1709.3500000000001</v>
      </c>
      <c r="AK74">
        <v>0.2</v>
      </c>
      <c r="AL74">
        <v>0.2</v>
      </c>
      <c r="AM74">
        <v>0.3</v>
      </c>
      <c r="AN74">
        <v>0.3</v>
      </c>
      <c r="AO74">
        <v>1682.2926059513079</v>
      </c>
      <c r="AP74">
        <v>1435.125</v>
      </c>
      <c r="AR74">
        <v>156682</v>
      </c>
      <c r="AS74">
        <v>25153.8</v>
      </c>
      <c r="AT74">
        <v>1099</v>
      </c>
      <c r="AU74">
        <v>0.3</v>
      </c>
      <c r="AV74">
        <v>0.4</v>
      </c>
      <c r="AW74">
        <v>0.3</v>
      </c>
      <c r="AX74">
        <f t="shared" si="12"/>
        <v>57395.819999999992</v>
      </c>
      <c r="AY74">
        <v>1553.6285761878987</v>
      </c>
      <c r="BB74">
        <v>12</v>
      </c>
      <c r="BC74">
        <v>1005.95</v>
      </c>
      <c r="BD74" s="2">
        <v>373</v>
      </c>
      <c r="BE74" s="4">
        <v>0.4</v>
      </c>
      <c r="BF74" s="4">
        <v>0.3</v>
      </c>
      <c r="BG74" s="4">
        <v>0.3</v>
      </c>
      <c r="BH74">
        <f t="shared" si="13"/>
        <v>418.48500000000001</v>
      </c>
      <c r="BI74">
        <v>850.04765625000005</v>
      </c>
      <c r="BN74">
        <v>99.872494850753597</v>
      </c>
      <c r="BO74">
        <v>83.038486408573092</v>
      </c>
      <c r="BW74" s="2">
        <v>58365</v>
      </c>
      <c r="BX74" s="2">
        <v>25481</v>
      </c>
      <c r="BY74" s="2">
        <v>0</v>
      </c>
      <c r="BZ74" s="2">
        <v>0</v>
      </c>
      <c r="CA74" s="3">
        <v>0.3</v>
      </c>
      <c r="CB74" s="3">
        <v>0.3</v>
      </c>
      <c r="CC74" s="3">
        <v>0.2</v>
      </c>
      <c r="CD74" s="3">
        <v>0.2</v>
      </c>
      <c r="CE74">
        <f t="shared" si="14"/>
        <v>25153.8</v>
      </c>
      <c r="CJ74">
        <v>11057</v>
      </c>
      <c r="CM74">
        <v>8592</v>
      </c>
      <c r="CN74" s="2">
        <v>243609</v>
      </c>
      <c r="CS74">
        <v>63</v>
      </c>
      <c r="CT74">
        <v>578</v>
      </c>
      <c r="CU74">
        <v>3713</v>
      </c>
      <c r="CV74">
        <v>3385</v>
      </c>
      <c r="CW74">
        <v>78</v>
      </c>
      <c r="CX74">
        <v>0.5</v>
      </c>
      <c r="CY74">
        <v>0.1</v>
      </c>
      <c r="CZ74">
        <v>0.2</v>
      </c>
      <c r="DA74">
        <v>0.25</v>
      </c>
      <c r="DB74">
        <v>0.4</v>
      </c>
      <c r="DC74">
        <f t="shared" si="15"/>
        <v>1709.3500000000001</v>
      </c>
      <c r="DE74" s="2">
        <v>1653</v>
      </c>
      <c r="DF74" s="2">
        <v>406</v>
      </c>
      <c r="DG74" s="4">
        <v>0.6</v>
      </c>
      <c r="DH74" s="4">
        <v>0.4</v>
      </c>
      <c r="DI74" s="4">
        <f t="shared" si="20"/>
        <v>1154.2</v>
      </c>
      <c r="DK74" s="2">
        <v>898</v>
      </c>
      <c r="DL74" s="2">
        <v>238</v>
      </c>
      <c r="DM74" s="5">
        <v>0.6</v>
      </c>
      <c r="DN74" s="5">
        <v>0.4</v>
      </c>
      <c r="DO74">
        <f t="shared" si="17"/>
        <v>634</v>
      </c>
      <c r="DR74" s="2">
        <v>1126</v>
      </c>
      <c r="DS74" s="2">
        <v>522</v>
      </c>
      <c r="DT74">
        <v>0.35</v>
      </c>
      <c r="DU74">
        <v>0.65</v>
      </c>
      <c r="DV74">
        <f t="shared" si="18"/>
        <v>733.4</v>
      </c>
      <c r="EB74">
        <v>429</v>
      </c>
      <c r="ED74">
        <v>6.061456918928017</v>
      </c>
      <c r="EE74">
        <v>-12.7262256338689</v>
      </c>
      <c r="EF74">
        <v>6.664768714940883</v>
      </c>
      <c r="EG74">
        <v>0.12750514924641199</v>
      </c>
      <c r="EJ74">
        <v>0.12750514924641199</v>
      </c>
      <c r="EO74" s="2">
        <v>25090</v>
      </c>
      <c r="EP74" s="2">
        <v>27245</v>
      </c>
      <c r="EQ74" s="2">
        <v>28536</v>
      </c>
      <c r="ER74" s="2">
        <v>29048</v>
      </c>
      <c r="ES74" s="2">
        <v>25349</v>
      </c>
      <c r="ET74" s="2">
        <v>19755</v>
      </c>
      <c r="EU74" s="2">
        <v>19289</v>
      </c>
      <c r="EV74" s="2">
        <v>18304</v>
      </c>
      <c r="EW74" s="2">
        <v>15392</v>
      </c>
      <c r="EX74" s="2">
        <v>23490</v>
      </c>
      <c r="EY74" s="2">
        <v>25838</v>
      </c>
      <c r="EZ74" s="2">
        <v>26938</v>
      </c>
      <c r="FA74" s="2">
        <v>27088</v>
      </c>
      <c r="FB74" s="2">
        <v>23279</v>
      </c>
      <c r="FC74" s="2">
        <v>18678</v>
      </c>
      <c r="FD74" s="2">
        <v>18793</v>
      </c>
      <c r="FE74" s="2">
        <v>17335</v>
      </c>
      <c r="FF74" s="2">
        <v>15735</v>
      </c>
      <c r="FG74">
        <f t="shared" si="19"/>
        <v>405182</v>
      </c>
      <c r="FI74">
        <v>-12.912091627862599</v>
      </c>
      <c r="FJ74" s="2">
        <v>12.7262256338689</v>
      </c>
      <c r="FK74">
        <v>83.038486408573092</v>
      </c>
      <c r="FM74">
        <v>83.038486408573092</v>
      </c>
    </row>
    <row r="75" spans="1:169">
      <c r="A75" s="1" t="s">
        <v>0</v>
      </c>
      <c r="B75" s="1" t="s">
        <v>146</v>
      </c>
      <c r="C75" s="1" t="s">
        <v>2</v>
      </c>
      <c r="D75" s="1" t="s">
        <v>147</v>
      </c>
      <c r="E75" s="2">
        <v>2321</v>
      </c>
      <c r="F75" s="2">
        <v>1307</v>
      </c>
      <c r="G75" s="2">
        <v>1075</v>
      </c>
      <c r="H75" s="2">
        <v>2425</v>
      </c>
      <c r="I75" s="2">
        <v>708</v>
      </c>
      <c r="J75" s="2">
        <v>2449</v>
      </c>
      <c r="K75" s="4">
        <v>0.05</v>
      </c>
      <c r="L75" s="4">
        <v>0.1</v>
      </c>
      <c r="M75" s="4">
        <v>0.15</v>
      </c>
      <c r="N75" s="4">
        <v>0.2</v>
      </c>
      <c r="O75" s="4">
        <v>0.2</v>
      </c>
      <c r="P75" s="4">
        <v>0.3</v>
      </c>
      <c r="Q75" s="4">
        <f t="shared" si="10"/>
        <v>1769.2999999999997</v>
      </c>
      <c r="R75" s="4">
        <v>1769.3</v>
      </c>
      <c r="T75" s="2">
        <v>0.80136363636363639</v>
      </c>
      <c r="U75" s="2">
        <v>0.5</v>
      </c>
      <c r="V75">
        <f>(217.864923747277)/180</f>
        <v>1.2103606874848722</v>
      </c>
      <c r="W75">
        <f>(264028)/400000</f>
        <v>0.66007000000000005</v>
      </c>
      <c r="X75">
        <v>0.3</v>
      </c>
      <c r="Y75">
        <v>-0.1</v>
      </c>
      <c r="Z75">
        <v>0.4</v>
      </c>
      <c r="AA75">
        <v>0.4</v>
      </c>
      <c r="AB75">
        <f t="shared" si="11"/>
        <v>0.93858136590303987</v>
      </c>
      <c r="AC75">
        <v>2440.3115513479038</v>
      </c>
      <c r="AG75" s="2">
        <v>2651</v>
      </c>
      <c r="AH75" s="2">
        <v>184</v>
      </c>
      <c r="AI75">
        <v>665.8</v>
      </c>
      <c r="AJ75">
        <v>1614.2</v>
      </c>
      <c r="AK75">
        <v>0.2</v>
      </c>
      <c r="AL75">
        <v>0.2</v>
      </c>
      <c r="AM75">
        <v>0.3</v>
      </c>
      <c r="AN75">
        <v>0.3</v>
      </c>
      <c r="AO75">
        <v>1466.4562669071224</v>
      </c>
      <c r="AP75">
        <v>1251</v>
      </c>
      <c r="AR75">
        <v>144307</v>
      </c>
      <c r="AS75">
        <v>18900.099999999999</v>
      </c>
      <c r="AT75">
        <v>1374</v>
      </c>
      <c r="AU75">
        <v>0.3</v>
      </c>
      <c r="AV75">
        <v>0.4</v>
      </c>
      <c r="AW75">
        <v>0.3</v>
      </c>
      <c r="AX75">
        <f t="shared" si="12"/>
        <v>51264.34</v>
      </c>
      <c r="AY75">
        <v>1387.6575604880688</v>
      </c>
      <c r="BB75">
        <v>3614</v>
      </c>
      <c r="BC75">
        <v>1049.1499999999999</v>
      </c>
      <c r="BD75" s="2">
        <v>471</v>
      </c>
      <c r="BE75" s="4">
        <v>0.4</v>
      </c>
      <c r="BF75" s="4">
        <v>0.3</v>
      </c>
      <c r="BG75" s="4">
        <v>0.3</v>
      </c>
      <c r="BH75">
        <f t="shared" si="13"/>
        <v>1901.645</v>
      </c>
      <c r="BI75">
        <v>3862.7164062500001</v>
      </c>
      <c r="BN75">
        <v>99.995074073617999</v>
      </c>
      <c r="BO75">
        <v>76.861600593162109</v>
      </c>
      <c r="BW75" s="2">
        <v>45988</v>
      </c>
      <c r="BX75" s="2">
        <v>16405</v>
      </c>
      <c r="BY75" s="2">
        <v>658</v>
      </c>
      <c r="BZ75" s="2">
        <v>253</v>
      </c>
      <c r="CA75" s="3">
        <v>0.3</v>
      </c>
      <c r="CB75" s="3">
        <v>0.3</v>
      </c>
      <c r="CC75" s="3">
        <v>0.2</v>
      </c>
      <c r="CD75" s="3">
        <v>0.2</v>
      </c>
      <c r="CE75">
        <f t="shared" si="14"/>
        <v>18900.099999999999</v>
      </c>
      <c r="CJ75">
        <v>10269</v>
      </c>
      <c r="CM75">
        <v>8307</v>
      </c>
      <c r="CN75" s="2">
        <v>238076</v>
      </c>
      <c r="CS75">
        <v>161</v>
      </c>
      <c r="CT75">
        <v>662</v>
      </c>
      <c r="CU75">
        <v>3509</v>
      </c>
      <c r="CV75">
        <v>2906</v>
      </c>
      <c r="CW75">
        <v>98</v>
      </c>
      <c r="CX75">
        <v>0.5</v>
      </c>
      <c r="CY75">
        <v>0.1</v>
      </c>
      <c r="CZ75">
        <v>0.2</v>
      </c>
      <c r="DA75">
        <v>0.25</v>
      </c>
      <c r="DB75">
        <v>0.4</v>
      </c>
      <c r="DC75">
        <f t="shared" si="15"/>
        <v>1614.2</v>
      </c>
      <c r="DE75" s="2">
        <v>778</v>
      </c>
      <c r="DF75" s="2">
        <v>159</v>
      </c>
      <c r="DG75" s="4">
        <v>0.6</v>
      </c>
      <c r="DH75" s="4">
        <v>0.4</v>
      </c>
      <c r="DI75" s="4">
        <f t="shared" si="20"/>
        <v>530.4</v>
      </c>
      <c r="DK75" s="2">
        <v>358</v>
      </c>
      <c r="DL75" s="2">
        <v>157</v>
      </c>
      <c r="DM75" s="5">
        <v>0.6</v>
      </c>
      <c r="DN75" s="5">
        <v>0.4</v>
      </c>
      <c r="DO75">
        <f t="shared" si="17"/>
        <v>277.59999999999997</v>
      </c>
      <c r="DR75" s="2">
        <v>1446</v>
      </c>
      <c r="DS75" s="2">
        <v>769</v>
      </c>
      <c r="DT75">
        <v>0.35</v>
      </c>
      <c r="DU75">
        <v>0.65</v>
      </c>
      <c r="DV75">
        <f t="shared" si="18"/>
        <v>1005.95</v>
      </c>
      <c r="EB75">
        <v>12</v>
      </c>
      <c r="ED75">
        <v>2.4849066497880004</v>
      </c>
      <c r="EE75">
        <v>-12.4033197599482</v>
      </c>
      <c r="EF75">
        <v>9.9184131101602002</v>
      </c>
      <c r="EG75">
        <v>4.9259263820302501E-3</v>
      </c>
      <c r="EJ75">
        <v>4.9259263820302501E-3</v>
      </c>
      <c r="EO75" s="2">
        <v>19462</v>
      </c>
      <c r="EP75" s="2">
        <v>19586</v>
      </c>
      <c r="EQ75" s="2">
        <v>20179</v>
      </c>
      <c r="ER75" s="2">
        <v>19316</v>
      </c>
      <c r="ES75" s="2">
        <v>19144</v>
      </c>
      <c r="ET75" s="2">
        <v>14907</v>
      </c>
      <c r="EU75" s="2">
        <v>15635</v>
      </c>
      <c r="EV75" s="2">
        <v>15914</v>
      </c>
      <c r="EW75" s="2">
        <v>16585</v>
      </c>
      <c r="EX75" s="2">
        <v>18344</v>
      </c>
      <c r="EY75" s="2">
        <v>18701</v>
      </c>
      <c r="EZ75" s="2">
        <v>19446</v>
      </c>
      <c r="FA75" s="2">
        <v>18781</v>
      </c>
      <c r="FB75" s="2">
        <v>18576</v>
      </c>
      <c r="FC75" s="2">
        <v>14694</v>
      </c>
      <c r="FD75" s="2">
        <v>15582</v>
      </c>
      <c r="FE75" s="2">
        <v>16191</v>
      </c>
      <c r="FF75" s="2">
        <v>15902</v>
      </c>
      <c r="FG75">
        <f t="shared" si="19"/>
        <v>316945</v>
      </c>
      <c r="FI75">
        <v>-12.666483536229</v>
      </c>
      <c r="FJ75" s="2">
        <v>12.403319759948207</v>
      </c>
      <c r="FK75">
        <v>76.861600593162109</v>
      </c>
      <c r="FM75">
        <v>76.861600593162109</v>
      </c>
    </row>
    <row r="76" spans="1:169">
      <c r="A76" s="1" t="s">
        <v>0</v>
      </c>
      <c r="B76" s="1" t="s">
        <v>148</v>
      </c>
      <c r="C76" s="1" t="s">
        <v>2</v>
      </c>
      <c r="D76" s="1" t="s">
        <v>149</v>
      </c>
      <c r="E76" s="2">
        <v>1466</v>
      </c>
      <c r="F76" s="2">
        <v>1413</v>
      </c>
      <c r="G76" s="2">
        <v>1286</v>
      </c>
      <c r="H76" s="2">
        <v>1500</v>
      </c>
      <c r="I76" s="2">
        <v>1113</v>
      </c>
      <c r="J76" s="2">
        <v>1482</v>
      </c>
      <c r="K76" s="4">
        <v>0.05</v>
      </c>
      <c r="L76" s="4">
        <v>0.1</v>
      </c>
      <c r="M76" s="4">
        <v>0.15</v>
      </c>
      <c r="N76" s="4">
        <v>0.2</v>
      </c>
      <c r="O76" s="4">
        <v>0.2</v>
      </c>
      <c r="P76" s="4">
        <v>0.3</v>
      </c>
      <c r="Q76" s="4">
        <f t="shared" si="10"/>
        <v>1374.7</v>
      </c>
      <c r="R76" s="4">
        <v>1374.7</v>
      </c>
      <c r="T76" s="2">
        <v>0.34909090909090912</v>
      </c>
      <c r="U76" s="2">
        <v>0.125</v>
      </c>
      <c r="V76">
        <f>(277.777777777778)/180</f>
        <v>1.5432098765432112</v>
      </c>
      <c r="W76">
        <f>(343872)/400000</f>
        <v>0.85968</v>
      </c>
      <c r="X76">
        <v>0.3</v>
      </c>
      <c r="Y76">
        <v>-0.1</v>
      </c>
      <c r="Z76">
        <v>0.4</v>
      </c>
      <c r="AA76">
        <v>0.4</v>
      </c>
      <c r="AB76">
        <f t="shared" si="11"/>
        <v>1.0533832233445573</v>
      </c>
      <c r="AC76">
        <v>2738.796380695856</v>
      </c>
      <c r="AG76" s="2">
        <v>2705</v>
      </c>
      <c r="AH76" s="2">
        <v>128</v>
      </c>
      <c r="AI76">
        <v>812.2</v>
      </c>
      <c r="AJ76">
        <v>1648.4</v>
      </c>
      <c r="AK76">
        <v>0.2</v>
      </c>
      <c r="AL76">
        <v>0.2</v>
      </c>
      <c r="AM76">
        <v>0.3</v>
      </c>
      <c r="AN76">
        <v>0.3</v>
      </c>
      <c r="AO76">
        <v>1529.498647430117</v>
      </c>
      <c r="AP76">
        <v>1304.78</v>
      </c>
      <c r="AR76">
        <v>163448</v>
      </c>
      <c r="AS76">
        <v>32136.5</v>
      </c>
      <c r="AT76">
        <v>2176</v>
      </c>
      <c r="AU76">
        <v>0.3</v>
      </c>
      <c r="AV76">
        <v>0.4</v>
      </c>
      <c r="AW76">
        <v>0.3</v>
      </c>
      <c r="AX76">
        <f t="shared" si="12"/>
        <v>62541.8</v>
      </c>
      <c r="AY76">
        <v>1692.9234164827376</v>
      </c>
      <c r="BB76">
        <v>886</v>
      </c>
      <c r="BC76">
        <v>744.05</v>
      </c>
      <c r="BD76" s="2">
        <v>288</v>
      </c>
      <c r="BE76" s="4">
        <v>0.4</v>
      </c>
      <c r="BF76" s="4">
        <v>0.3</v>
      </c>
      <c r="BG76" s="4">
        <v>0.3</v>
      </c>
      <c r="BH76">
        <f t="shared" si="13"/>
        <v>664.01499999999999</v>
      </c>
      <c r="BI76">
        <v>1348.78046875</v>
      </c>
      <c r="BN76">
        <v>98.464775953897103</v>
      </c>
      <c r="BO76">
        <v>78.054633916040899</v>
      </c>
      <c r="BW76" s="2">
        <v>77766</v>
      </c>
      <c r="BX76" s="2">
        <v>29155</v>
      </c>
      <c r="BY76" s="2">
        <v>242</v>
      </c>
      <c r="BZ76" s="2">
        <v>59</v>
      </c>
      <c r="CA76" s="3">
        <v>0.3</v>
      </c>
      <c r="CB76" s="3">
        <v>0.3</v>
      </c>
      <c r="CC76" s="3">
        <v>0.2</v>
      </c>
      <c r="CD76" s="3">
        <v>0.2</v>
      </c>
      <c r="CE76">
        <f t="shared" si="14"/>
        <v>32136.5</v>
      </c>
      <c r="CJ76">
        <v>12287</v>
      </c>
      <c r="CM76">
        <v>8162</v>
      </c>
      <c r="CN76" s="2">
        <v>242059</v>
      </c>
      <c r="CS76">
        <v>375</v>
      </c>
      <c r="CT76">
        <v>783</v>
      </c>
      <c r="CU76">
        <v>3277</v>
      </c>
      <c r="CV76">
        <v>2760</v>
      </c>
      <c r="CW76">
        <v>93</v>
      </c>
      <c r="CX76">
        <v>0.5</v>
      </c>
      <c r="CY76">
        <v>0.1</v>
      </c>
      <c r="CZ76">
        <v>0.2</v>
      </c>
      <c r="DA76">
        <v>0.25</v>
      </c>
      <c r="DB76">
        <v>0.4</v>
      </c>
      <c r="DC76">
        <f t="shared" si="15"/>
        <v>1648.4</v>
      </c>
      <c r="DE76" s="2">
        <v>987</v>
      </c>
      <c r="DF76" s="2">
        <v>184</v>
      </c>
      <c r="DG76" s="4">
        <v>0.6</v>
      </c>
      <c r="DH76" s="4">
        <v>0.4</v>
      </c>
      <c r="DI76" s="4">
        <f t="shared" si="20"/>
        <v>665.8</v>
      </c>
      <c r="DK76" s="2">
        <v>659</v>
      </c>
      <c r="DL76" s="2">
        <v>159</v>
      </c>
      <c r="DM76" s="5">
        <v>0.6</v>
      </c>
      <c r="DN76" s="5">
        <v>0.4</v>
      </c>
      <c r="DO76">
        <f t="shared" si="17"/>
        <v>459</v>
      </c>
      <c r="DR76" s="2">
        <v>1796</v>
      </c>
      <c r="DS76" s="2">
        <v>647</v>
      </c>
      <c r="DT76">
        <v>0.35</v>
      </c>
      <c r="DU76">
        <v>0.65</v>
      </c>
      <c r="DV76">
        <f t="shared" si="18"/>
        <v>1049.1499999999999</v>
      </c>
      <c r="EB76">
        <v>3655</v>
      </c>
      <c r="ED76">
        <v>8.2038513721838786</v>
      </c>
      <c r="EE76">
        <v>-12.3803452294105</v>
      </c>
      <c r="EF76">
        <v>4.176493857226621</v>
      </c>
      <c r="EG76">
        <v>1.5352240461028601</v>
      </c>
      <c r="EJ76">
        <v>1.5352240461028601</v>
      </c>
      <c r="EO76" s="2">
        <v>25130</v>
      </c>
      <c r="EP76" s="2">
        <v>21816</v>
      </c>
      <c r="EQ76" s="2">
        <v>21840</v>
      </c>
      <c r="ER76" s="2">
        <v>19661</v>
      </c>
      <c r="ES76" s="2">
        <v>17772</v>
      </c>
      <c r="ET76" s="2">
        <v>14575</v>
      </c>
      <c r="EU76" s="2">
        <v>14372</v>
      </c>
      <c r="EV76" s="2">
        <v>13716</v>
      </c>
      <c r="EW76" s="2">
        <v>12377</v>
      </c>
      <c r="EX76" s="2">
        <v>21507</v>
      </c>
      <c r="EY76" s="2">
        <v>19319</v>
      </c>
      <c r="EZ76" s="2">
        <v>19546</v>
      </c>
      <c r="FA76" s="2">
        <v>18553</v>
      </c>
      <c r="FB76" s="2">
        <v>16828</v>
      </c>
      <c r="FC76" s="2">
        <v>12952</v>
      </c>
      <c r="FD76" s="2">
        <v>12879</v>
      </c>
      <c r="FE76" s="2">
        <v>12554</v>
      </c>
      <c r="FF76" s="2">
        <v>9615</v>
      </c>
      <c r="FG76">
        <f t="shared" si="19"/>
        <v>305012</v>
      </c>
      <c r="FI76">
        <v>-12.6281063990779</v>
      </c>
      <c r="FJ76" s="2">
        <v>12.380345229410455</v>
      </c>
      <c r="FK76">
        <v>78.054633916040899</v>
      </c>
      <c r="FM76">
        <v>78.054633916040899</v>
      </c>
    </row>
    <row r="77" spans="1:169">
      <c r="A77" s="1" t="s">
        <v>0</v>
      </c>
      <c r="B77" s="1" t="s">
        <v>150</v>
      </c>
      <c r="C77" s="1" t="s">
        <v>2</v>
      </c>
      <c r="D77" s="1" t="s">
        <v>151</v>
      </c>
      <c r="E77" s="2">
        <v>1047</v>
      </c>
      <c r="F77" s="2">
        <v>931</v>
      </c>
      <c r="G77" s="2">
        <v>717</v>
      </c>
      <c r="H77" s="2">
        <v>1087</v>
      </c>
      <c r="I77" s="2">
        <v>584</v>
      </c>
      <c r="J77" s="2">
        <v>1083</v>
      </c>
      <c r="K77" s="4">
        <v>0.05</v>
      </c>
      <c r="L77" s="4">
        <v>0.1</v>
      </c>
      <c r="M77" s="4">
        <v>0.15</v>
      </c>
      <c r="N77" s="4">
        <v>0.2</v>
      </c>
      <c r="O77" s="4">
        <v>0.2</v>
      </c>
      <c r="P77" s="4">
        <v>0.3</v>
      </c>
      <c r="Q77" s="4">
        <f t="shared" si="10"/>
        <v>912.1</v>
      </c>
      <c r="R77" s="4">
        <v>912.1</v>
      </c>
      <c r="T77" s="2">
        <v>0.30818181818181817</v>
      </c>
      <c r="U77" s="2">
        <v>0.125</v>
      </c>
      <c r="V77">
        <f>(323.206205559147)/180</f>
        <v>1.7955900308841501</v>
      </c>
      <c r="W77">
        <f>(100628)/400000</f>
        <v>0.25157000000000002</v>
      </c>
      <c r="X77">
        <v>0.3</v>
      </c>
      <c r="Y77">
        <v>-0.1</v>
      </c>
      <c r="Z77">
        <v>0.4</v>
      </c>
      <c r="AA77">
        <v>0.4</v>
      </c>
      <c r="AB77">
        <f t="shared" si="11"/>
        <v>0.89881855780820563</v>
      </c>
      <c r="AC77">
        <v>2336.9282503013305</v>
      </c>
      <c r="AG77" s="2">
        <v>2987</v>
      </c>
      <c r="AH77" s="2">
        <v>32</v>
      </c>
      <c r="AI77">
        <v>403.59999999999997</v>
      </c>
      <c r="AJ77">
        <v>1303.4000000000001</v>
      </c>
      <c r="AK77">
        <v>0.2</v>
      </c>
      <c r="AL77">
        <v>0.2</v>
      </c>
      <c r="AM77">
        <v>0.3</v>
      </c>
      <c r="AN77">
        <v>0.3</v>
      </c>
      <c r="AO77">
        <v>1308.088367899009</v>
      </c>
      <c r="AP77">
        <v>1115.8999999999999</v>
      </c>
      <c r="AR77">
        <v>99042</v>
      </c>
      <c r="AS77">
        <v>13270</v>
      </c>
      <c r="AT77">
        <v>1022</v>
      </c>
      <c r="AU77">
        <v>0.3</v>
      </c>
      <c r="AV77">
        <v>0.4</v>
      </c>
      <c r="AW77">
        <v>0.3</v>
      </c>
      <c r="AX77">
        <f t="shared" si="12"/>
        <v>35327.199999999997</v>
      </c>
      <c r="AY77">
        <v>956.26035897222232</v>
      </c>
      <c r="BB77">
        <v>413</v>
      </c>
      <c r="BC77">
        <v>495.4</v>
      </c>
      <c r="BD77" s="2">
        <v>246</v>
      </c>
      <c r="BE77" s="4">
        <v>0.4</v>
      </c>
      <c r="BF77" s="4">
        <v>0.3</v>
      </c>
      <c r="BG77" s="4">
        <v>0.3</v>
      </c>
      <c r="BH77">
        <f t="shared" si="13"/>
        <v>387.62</v>
      </c>
      <c r="BI77">
        <v>787.35312499999998</v>
      </c>
      <c r="BN77">
        <v>99.618274883396197</v>
      </c>
      <c r="BO77">
        <v>74.168640440243507</v>
      </c>
      <c r="BW77" s="2">
        <v>31636</v>
      </c>
      <c r="BX77" s="2">
        <v>11848</v>
      </c>
      <c r="BY77" s="2">
        <v>653</v>
      </c>
      <c r="BZ77" s="2">
        <v>471</v>
      </c>
      <c r="CA77" s="3">
        <v>0.3</v>
      </c>
      <c r="CB77" s="3">
        <v>0.3</v>
      </c>
      <c r="CC77" s="3">
        <v>0.2</v>
      </c>
      <c r="CD77" s="3">
        <v>0.2</v>
      </c>
      <c r="CE77">
        <f t="shared" si="14"/>
        <v>13270</v>
      </c>
      <c r="CJ77">
        <v>7353</v>
      </c>
      <c r="CM77">
        <v>5807</v>
      </c>
      <c r="CN77" s="2">
        <v>172524</v>
      </c>
      <c r="CS77">
        <v>202</v>
      </c>
      <c r="CT77">
        <v>556</v>
      </c>
      <c r="CU77">
        <v>2032</v>
      </c>
      <c r="CV77">
        <v>2912</v>
      </c>
      <c r="CW77">
        <v>31</v>
      </c>
      <c r="CX77">
        <v>0.5</v>
      </c>
      <c r="CY77">
        <v>0.1</v>
      </c>
      <c r="CZ77">
        <v>0.2</v>
      </c>
      <c r="DA77">
        <v>0.25</v>
      </c>
      <c r="DB77">
        <v>0.4</v>
      </c>
      <c r="DC77">
        <f t="shared" si="15"/>
        <v>1303.4000000000001</v>
      </c>
      <c r="DE77" s="2">
        <v>1201</v>
      </c>
      <c r="DF77" s="2">
        <v>229</v>
      </c>
      <c r="DG77" s="4">
        <v>0.6</v>
      </c>
      <c r="DH77" s="4">
        <v>0.4</v>
      </c>
      <c r="DI77" s="4">
        <f t="shared" si="20"/>
        <v>812.2</v>
      </c>
      <c r="DK77" s="2">
        <v>494</v>
      </c>
      <c r="DL77" s="2">
        <v>159</v>
      </c>
      <c r="DM77" s="5">
        <v>0.6</v>
      </c>
      <c r="DN77" s="5">
        <v>0.4</v>
      </c>
      <c r="DO77">
        <f t="shared" si="17"/>
        <v>360</v>
      </c>
      <c r="DR77" s="2">
        <v>759</v>
      </c>
      <c r="DS77" s="2">
        <v>736</v>
      </c>
      <c r="DT77">
        <v>0.35</v>
      </c>
      <c r="DU77">
        <v>0.65</v>
      </c>
      <c r="DV77">
        <f t="shared" si="18"/>
        <v>744.05</v>
      </c>
      <c r="EB77">
        <v>924</v>
      </c>
      <c r="ED77">
        <v>6.828712071641684</v>
      </c>
      <c r="EE77">
        <v>-12.396936777076901</v>
      </c>
      <c r="EF77">
        <v>5.5682247054352167</v>
      </c>
      <c r="EG77">
        <v>0.38172511660381003</v>
      </c>
      <c r="EJ77">
        <v>0.38172511660381003</v>
      </c>
      <c r="EO77" s="2">
        <v>21832</v>
      </c>
      <c r="EP77" s="2">
        <v>22256</v>
      </c>
      <c r="EQ77" s="2">
        <v>23281</v>
      </c>
      <c r="ER77" s="2">
        <v>22178</v>
      </c>
      <c r="ES77" s="2">
        <v>19634</v>
      </c>
      <c r="ET77" s="2">
        <v>15520</v>
      </c>
      <c r="EU77" s="2">
        <v>14719</v>
      </c>
      <c r="EV77" s="2">
        <v>14507</v>
      </c>
      <c r="EW77" s="2">
        <v>9983</v>
      </c>
      <c r="EX77" s="2">
        <v>20858</v>
      </c>
      <c r="EY77" s="2">
        <v>21060</v>
      </c>
      <c r="EZ77" s="2">
        <v>22213</v>
      </c>
      <c r="FA77" s="2">
        <v>21706</v>
      </c>
      <c r="FB77" s="2">
        <v>19395</v>
      </c>
      <c r="FC77" s="2">
        <v>16162</v>
      </c>
      <c r="FD77" s="2">
        <v>15373</v>
      </c>
      <c r="FE77" s="2">
        <v>14966</v>
      </c>
      <c r="FF77" s="2">
        <v>10720</v>
      </c>
      <c r="FG77">
        <f t="shared" si="19"/>
        <v>326363</v>
      </c>
      <c r="FI77">
        <v>-12.695765537803499</v>
      </c>
      <c r="FJ77" s="2">
        <v>12.396936777076922</v>
      </c>
      <c r="FK77">
        <v>74.168640440243507</v>
      </c>
      <c r="FM77">
        <v>74.168640440243507</v>
      </c>
    </row>
    <row r="78" spans="1:169">
      <c r="BN78">
        <v>99.705548213581906</v>
      </c>
      <c r="BO78">
        <v>82.466086058713699</v>
      </c>
      <c r="DE78" s="2">
        <v>584</v>
      </c>
      <c r="DF78" s="2">
        <v>133</v>
      </c>
      <c r="DG78" s="4">
        <v>0.6</v>
      </c>
      <c r="DH78" s="4">
        <v>0.4</v>
      </c>
      <c r="DI78" s="4">
        <f t="shared" si="20"/>
        <v>403.59999999999997</v>
      </c>
      <c r="DK78" s="2">
        <v>441</v>
      </c>
      <c r="DL78" s="2">
        <v>112</v>
      </c>
      <c r="DM78" s="5">
        <v>0.6</v>
      </c>
      <c r="DN78" s="5">
        <v>0.4</v>
      </c>
      <c r="DO78">
        <f>SUMPRODUCT(DK78:DL78,DM78:DN78)</f>
        <v>309.39999999999998</v>
      </c>
      <c r="DR78" s="2">
        <v>680</v>
      </c>
      <c r="DS78" s="2">
        <v>396</v>
      </c>
      <c r="DT78">
        <v>0.35</v>
      </c>
      <c r="DU78">
        <v>0.65</v>
      </c>
      <c r="DV78">
        <f t="shared" si="18"/>
        <v>495.4</v>
      </c>
      <c r="EB78">
        <v>508</v>
      </c>
      <c r="ED78">
        <v>6.230481447578482</v>
      </c>
      <c r="EE78">
        <v>-12.058291636210599</v>
      </c>
      <c r="EF78">
        <v>5.8278101886321174</v>
      </c>
      <c r="EG78">
        <v>0.29445178641811898</v>
      </c>
      <c r="EJ78">
        <v>0.29445178641811898</v>
      </c>
      <c r="EO78" s="2">
        <v>17230</v>
      </c>
      <c r="EP78" s="2">
        <v>16374</v>
      </c>
      <c r="EQ78" s="2">
        <v>15221</v>
      </c>
      <c r="ER78" s="2">
        <v>14233</v>
      </c>
      <c r="ES78" s="2">
        <v>13188</v>
      </c>
      <c r="ET78" s="2">
        <v>8917</v>
      </c>
      <c r="EU78" s="2">
        <v>8752</v>
      </c>
      <c r="EV78" s="2">
        <v>9316</v>
      </c>
      <c r="EW78" s="2">
        <v>7367</v>
      </c>
      <c r="EX78" s="2">
        <v>15478</v>
      </c>
      <c r="EY78" s="2">
        <v>14612</v>
      </c>
      <c r="EZ78" s="2">
        <v>13864</v>
      </c>
      <c r="FA78" s="2">
        <v>12895</v>
      </c>
      <c r="FB78" s="2">
        <v>12053</v>
      </c>
      <c r="FC78" s="2">
        <v>8277</v>
      </c>
      <c r="FD78" s="2">
        <v>8264</v>
      </c>
      <c r="FE78" s="2">
        <v>7896</v>
      </c>
      <c r="FF78" s="2">
        <v>5269</v>
      </c>
      <c r="FG78">
        <f t="shared" si="19"/>
        <v>209206</v>
      </c>
      <c r="FI78">
        <v>-12.25107469145</v>
      </c>
      <c r="FJ78" s="2">
        <v>12.058291636210592</v>
      </c>
      <c r="FK78">
        <v>82.466086058713699</v>
      </c>
      <c r="FM78">
        <v>82.466086058713699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2018-06-23T10:35:40Z</dcterms:modified>
</cp:coreProperties>
</file>