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2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10" activeTab="16"/>
  </bookViews>
  <sheets>
    <sheet name="IP_linksErrorFree" sheetId="1" r:id="rId1"/>
    <sheet name="MPLS_Demands" sheetId="2" r:id="rId2"/>
    <sheet name="Shut-off lambda" sheetId="4" r:id="rId3"/>
    <sheet name="Selective 0&lt;alpha&lt;1" sheetId="16" r:id="rId4"/>
    <sheet name="Multiple-path Reroute" sheetId="15" r:id="rId5"/>
    <sheet name="BDF" sheetId="5" r:id="rId6"/>
    <sheet name="SDF" sheetId="6" r:id="rId7"/>
    <sheet name="Single-hop Reroute" sheetId="8" r:id="rId8"/>
    <sheet name="No-Rerouting" sheetId="9" r:id="rId9"/>
    <sheet name="ES-EP" sheetId="10" r:id="rId10"/>
    <sheet name="US-EP" sheetId="11" r:id="rId11"/>
    <sheet name="US-UP" sheetId="12" r:id="rId12"/>
    <sheet name="US" sheetId="13" r:id="rId13"/>
    <sheet name="FlowThinning" sheetId="17" r:id="rId14"/>
    <sheet name="FlowThinningModularCapacities" sheetId="18" r:id="rId15"/>
    <sheet name="AffineFlowThinning" sheetId="19" r:id="rId16"/>
    <sheet name="AffineFlowThinningModularCapaci" sheetId="20" r:id="rId17"/>
    <sheet name="conclusion" sheetId="7" r:id="rId18"/>
  </sheets>
  <calcPr calcId="162913"/>
</workbook>
</file>

<file path=xl/calcChain.xml><?xml version="1.0" encoding="utf-8"?>
<calcChain xmlns="http://schemas.openxmlformats.org/spreadsheetml/2006/main">
  <c r="AT60" i="16" l="1"/>
  <c r="AT59" i="16"/>
  <c r="AS60" i="16"/>
  <c r="AS59" i="16"/>
  <c r="AR60" i="16"/>
  <c r="AR59" i="16"/>
  <c r="AQ60" i="16"/>
  <c r="AQ59" i="16"/>
  <c r="AP60" i="16"/>
  <c r="AP59" i="16"/>
  <c r="AJ60" i="16"/>
  <c r="AJ59" i="16"/>
  <c r="AI60" i="16"/>
  <c r="AI59" i="16"/>
  <c r="AH60" i="16"/>
  <c r="AH59" i="16"/>
  <c r="AG60" i="16"/>
  <c r="AG59" i="16"/>
  <c r="AF60" i="16"/>
  <c r="AF59" i="16"/>
  <c r="AG79" i="16"/>
  <c r="AH79" i="16"/>
  <c r="AI79" i="16"/>
  <c r="AJ79" i="16"/>
  <c r="AG80" i="16"/>
  <c r="AH80" i="16"/>
  <c r="AI80" i="16"/>
  <c r="AJ80" i="16"/>
  <c r="AG81" i="16"/>
  <c r="AH81" i="16"/>
  <c r="AI81" i="16"/>
  <c r="AJ81" i="16"/>
  <c r="AG82" i="16"/>
  <c r="AK82" i="16" s="1"/>
  <c r="AH82" i="16"/>
  <c r="AI82" i="16"/>
  <c r="AJ82" i="16"/>
  <c r="AG83" i="16"/>
  <c r="AH83" i="16"/>
  <c r="AI83" i="16"/>
  <c r="AJ83" i="16"/>
  <c r="AG84" i="16"/>
  <c r="AK84" i="16" s="1"/>
  <c r="AH84" i="16"/>
  <c r="AI84" i="16"/>
  <c r="AJ84" i="16"/>
  <c r="AG85" i="16"/>
  <c r="AK85" i="16" s="1"/>
  <c r="AH85" i="16"/>
  <c r="AI85" i="16"/>
  <c r="AJ85" i="16"/>
  <c r="AG86" i="16"/>
  <c r="AH86" i="16"/>
  <c r="AI86" i="16"/>
  <c r="AJ86" i="16"/>
  <c r="AG87" i="16"/>
  <c r="AH87" i="16"/>
  <c r="AI87" i="16"/>
  <c r="AJ87" i="16"/>
  <c r="AG88" i="16"/>
  <c r="AH88" i="16"/>
  <c r="AI88" i="16"/>
  <c r="AJ88" i="16"/>
  <c r="AG89" i="16"/>
  <c r="AH89" i="16"/>
  <c r="AI89" i="16"/>
  <c r="AJ89" i="16"/>
  <c r="AG90" i="16"/>
  <c r="AK90" i="16" s="1"/>
  <c r="AH90" i="16"/>
  <c r="AI90" i="16"/>
  <c r="AJ90" i="16"/>
  <c r="AF80" i="16"/>
  <c r="AF81" i="16"/>
  <c r="AF82" i="16"/>
  <c r="AF83" i="16"/>
  <c r="AK83" i="16" s="1"/>
  <c r="AF84" i="16"/>
  <c r="AF85" i="16"/>
  <c r="AF86" i="16"/>
  <c r="AF87" i="16"/>
  <c r="AF88" i="16"/>
  <c r="AF89" i="16"/>
  <c r="AF90" i="16"/>
  <c r="AF79" i="16"/>
  <c r="X99" i="16"/>
  <c r="X98" i="16"/>
  <c r="AB99" i="16"/>
  <c r="AB98" i="16"/>
  <c r="AA99" i="16"/>
  <c r="AA98" i="16"/>
  <c r="Z98" i="16"/>
  <c r="Y98" i="16"/>
  <c r="Y99" i="16"/>
  <c r="Z99" i="16"/>
  <c r="AB79" i="16"/>
  <c r="AB78" i="16"/>
  <c r="AA79" i="16"/>
  <c r="AA78" i="16"/>
  <c r="Z79" i="16"/>
  <c r="Z78" i="16"/>
  <c r="Y79" i="16"/>
  <c r="Y78" i="16"/>
  <c r="X79" i="16"/>
  <c r="X78" i="16"/>
  <c r="X97" i="16"/>
  <c r="Z96" i="16"/>
  <c r="Y96" i="16"/>
  <c r="AC96" i="16" s="1"/>
  <c r="AA95" i="16"/>
  <c r="Z95" i="16"/>
  <c r="Y95" i="16"/>
  <c r="AC95" i="16" s="1"/>
  <c r="AC94" i="16"/>
  <c r="AA94" i="16"/>
  <c r="Z94" i="16"/>
  <c r="AC93" i="16"/>
  <c r="Z93" i="16"/>
  <c r="Y93" i="16"/>
  <c r="AA92" i="16"/>
  <c r="Z92" i="16"/>
  <c r="Y92" i="16"/>
  <c r="AB91" i="16"/>
  <c r="AC91" i="16" s="1"/>
  <c r="AA91" i="16"/>
  <c r="Z91" i="16"/>
  <c r="AA90" i="16"/>
  <c r="Z90" i="16"/>
  <c r="Y90" i="16"/>
  <c r="AA89" i="16"/>
  <c r="Z89" i="16"/>
  <c r="AA88" i="16"/>
  <c r="Z88" i="16"/>
  <c r="Y88" i="16"/>
  <c r="AC88" i="16" s="1"/>
  <c r="AB87" i="16"/>
  <c r="Z87" i="16"/>
  <c r="AC87" i="16" s="1"/>
  <c r="AB86" i="16"/>
  <c r="AB97" i="16" s="1"/>
  <c r="Z86" i="16"/>
  <c r="Y86" i="16"/>
  <c r="AC86" i="16" s="1"/>
  <c r="AC85" i="16"/>
  <c r="AA85" i="16"/>
  <c r="AA97" i="16" s="1"/>
  <c r="Z85" i="16"/>
  <c r="Y85" i="16"/>
  <c r="Y97" i="16" s="1"/>
  <c r="AK86" i="16"/>
  <c r="E42" i="7"/>
  <c r="AK89" i="16" l="1"/>
  <c r="AK88" i="16"/>
  <c r="AK87" i="16"/>
  <c r="AK81" i="16"/>
  <c r="AK80" i="16"/>
  <c r="AF91" i="16"/>
  <c r="AC90" i="16"/>
  <c r="AI91" i="16"/>
  <c r="AI93" i="16" s="1"/>
  <c r="AJ91" i="16"/>
  <c r="AJ92" i="16" s="1"/>
  <c r="AC92" i="16"/>
  <c r="Z97" i="16"/>
  <c r="AK79" i="16"/>
  <c r="AC89" i="16"/>
  <c r="AC97" i="16" s="1"/>
  <c r="AG91" i="16"/>
  <c r="AG93" i="16" s="1"/>
  <c r="AH91" i="16"/>
  <c r="AH92" i="16" s="1"/>
  <c r="AF92" i="16"/>
  <c r="AF93" i="16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AK91" i="16" l="1"/>
  <c r="AJ93" i="16"/>
  <c r="AH93" i="16"/>
  <c r="AK93" i="16" s="1"/>
  <c r="AG92" i="16"/>
  <c r="AI92" i="16"/>
  <c r="AC99" i="16"/>
  <c r="AC98" i="16"/>
  <c r="D35" i="20"/>
  <c r="C35" i="20"/>
  <c r="B35" i="20"/>
  <c r="C34" i="20"/>
  <c r="C33" i="20"/>
  <c r="C32" i="20"/>
  <c r="C31" i="20"/>
  <c r="C30" i="20"/>
  <c r="C29" i="20"/>
  <c r="H28" i="20"/>
  <c r="C28" i="20"/>
  <c r="H27" i="20"/>
  <c r="C27" i="20"/>
  <c r="C26" i="20"/>
  <c r="C25" i="20"/>
  <c r="C24" i="20"/>
  <c r="C23" i="20"/>
  <c r="C22" i="20"/>
  <c r="C21" i="20"/>
  <c r="C20" i="20"/>
  <c r="R19" i="20"/>
  <c r="Q19" i="20"/>
  <c r="P19" i="20"/>
  <c r="O19" i="20"/>
  <c r="N19" i="20"/>
  <c r="M19" i="20"/>
  <c r="C19" i="20"/>
  <c r="R18" i="20"/>
  <c r="Q18" i="20"/>
  <c r="P18" i="20"/>
  <c r="O18" i="20"/>
  <c r="N18" i="20"/>
  <c r="M18" i="20"/>
  <c r="C18" i="20"/>
  <c r="R17" i="20"/>
  <c r="Q17" i="20"/>
  <c r="P17" i="20"/>
  <c r="O17" i="20"/>
  <c r="N17" i="20"/>
  <c r="M17" i="20"/>
  <c r="C17" i="20"/>
  <c r="R16" i="20"/>
  <c r="Q16" i="20"/>
  <c r="N16" i="20"/>
  <c r="M16" i="20"/>
  <c r="C16" i="20"/>
  <c r="R15" i="20"/>
  <c r="Q15" i="20"/>
  <c r="P15" i="20"/>
  <c r="O15" i="20"/>
  <c r="M15" i="20"/>
  <c r="C15" i="20"/>
  <c r="R14" i="20"/>
  <c r="Q14" i="20"/>
  <c r="P14" i="20"/>
  <c r="M14" i="20"/>
  <c r="C14" i="20"/>
  <c r="R13" i="20"/>
  <c r="Q13" i="20"/>
  <c r="P13" i="20"/>
  <c r="C13" i="20"/>
  <c r="R12" i="20"/>
  <c r="Q12" i="20"/>
  <c r="P12" i="20"/>
  <c r="O12" i="20"/>
  <c r="N12" i="20"/>
  <c r="M12" i="20"/>
  <c r="C12" i="20"/>
  <c r="R11" i="20"/>
  <c r="Q11" i="20"/>
  <c r="M11" i="20"/>
  <c r="C11" i="20"/>
  <c r="R10" i="20"/>
  <c r="Q10" i="20"/>
  <c r="P10" i="20"/>
  <c r="O10" i="20"/>
  <c r="N10" i="20"/>
  <c r="C10" i="20"/>
  <c r="R9" i="20"/>
  <c r="Q9" i="20"/>
  <c r="P9" i="20"/>
  <c r="O9" i="20"/>
  <c r="N9" i="20"/>
  <c r="M9" i="20"/>
  <c r="C9" i="20"/>
  <c r="R8" i="20"/>
  <c r="Q8" i="20"/>
  <c r="P8" i="20"/>
  <c r="N8" i="20"/>
  <c r="M8" i="20"/>
  <c r="C8" i="20"/>
  <c r="R7" i="20"/>
  <c r="Q7" i="20"/>
  <c r="P7" i="20"/>
  <c r="M7" i="20"/>
  <c r="C7" i="20"/>
  <c r="R6" i="20"/>
  <c r="Q6" i="20"/>
  <c r="P6" i="20"/>
  <c r="O6" i="20"/>
  <c r="N6" i="20"/>
  <c r="M6" i="20"/>
  <c r="C6" i="20"/>
  <c r="R5" i="20"/>
  <c r="Q5" i="20"/>
  <c r="P5" i="20"/>
  <c r="N5" i="20"/>
  <c r="C5" i="20"/>
  <c r="C4" i="20"/>
  <c r="D35" i="19"/>
  <c r="C35" i="19"/>
  <c r="B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R19" i="19"/>
  <c r="Q19" i="19"/>
  <c r="P19" i="19"/>
  <c r="O19" i="19"/>
  <c r="N19" i="19"/>
  <c r="M19" i="19"/>
  <c r="C19" i="19"/>
  <c r="R18" i="19"/>
  <c r="Q18" i="19"/>
  <c r="P18" i="19"/>
  <c r="O18" i="19"/>
  <c r="N18" i="19"/>
  <c r="M18" i="19"/>
  <c r="C18" i="19"/>
  <c r="R17" i="19"/>
  <c r="Q17" i="19"/>
  <c r="P17" i="19"/>
  <c r="O17" i="19"/>
  <c r="N17" i="19"/>
  <c r="M17" i="19"/>
  <c r="G17" i="19"/>
  <c r="C17" i="19"/>
  <c r="R16" i="19"/>
  <c r="G16" i="19"/>
  <c r="C16" i="19"/>
  <c r="R15" i="19"/>
  <c r="H15" i="19"/>
  <c r="C15" i="19"/>
  <c r="R14" i="19"/>
  <c r="H14" i="19"/>
  <c r="C14" i="19"/>
  <c r="R13" i="19"/>
  <c r="H13" i="19"/>
  <c r="C13" i="19"/>
  <c r="R12" i="19"/>
  <c r="H12" i="19"/>
  <c r="C12" i="19"/>
  <c r="R11" i="19"/>
  <c r="H11" i="19"/>
  <c r="C11" i="19"/>
  <c r="R10" i="19"/>
  <c r="H10" i="19"/>
  <c r="C10" i="19"/>
  <c r="R9" i="19"/>
  <c r="H9" i="19"/>
  <c r="C9" i="19"/>
  <c r="R8" i="19"/>
  <c r="H8" i="19"/>
  <c r="C8" i="19"/>
  <c r="R7" i="19"/>
  <c r="H7" i="19"/>
  <c r="C7" i="19"/>
  <c r="R6" i="19"/>
  <c r="H6" i="19"/>
  <c r="C6" i="19"/>
  <c r="R5" i="19"/>
  <c r="C5" i="19"/>
  <c r="C4" i="19"/>
  <c r="D35" i="18"/>
  <c r="C35" i="18"/>
  <c r="B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P19" i="18"/>
  <c r="O19" i="18"/>
  <c r="N19" i="18"/>
  <c r="M19" i="18"/>
  <c r="L19" i="18"/>
  <c r="K19" i="18"/>
  <c r="C19" i="18"/>
  <c r="P18" i="18"/>
  <c r="O18" i="18"/>
  <c r="N18" i="18"/>
  <c r="M18" i="18"/>
  <c r="L18" i="18"/>
  <c r="K18" i="18"/>
  <c r="C18" i="18"/>
  <c r="P17" i="18"/>
  <c r="O17" i="18"/>
  <c r="N17" i="18"/>
  <c r="M17" i="18"/>
  <c r="L17" i="18"/>
  <c r="K17" i="18"/>
  <c r="C17" i="18"/>
  <c r="P16" i="18"/>
  <c r="O16" i="18"/>
  <c r="L16" i="18"/>
  <c r="K16" i="18"/>
  <c r="C16" i="18"/>
  <c r="P15" i="18"/>
  <c r="O15" i="18"/>
  <c r="N15" i="18"/>
  <c r="M15" i="18"/>
  <c r="K15" i="18"/>
  <c r="C15" i="18"/>
  <c r="P14" i="18"/>
  <c r="O14" i="18"/>
  <c r="N14" i="18"/>
  <c r="K14" i="18"/>
  <c r="C14" i="18"/>
  <c r="P13" i="18"/>
  <c r="O13" i="18"/>
  <c r="N13" i="18"/>
  <c r="C13" i="18"/>
  <c r="P12" i="18"/>
  <c r="O12" i="18"/>
  <c r="N12" i="18"/>
  <c r="M12" i="18"/>
  <c r="L12" i="18"/>
  <c r="K12" i="18"/>
  <c r="C12" i="18"/>
  <c r="P11" i="18"/>
  <c r="O11" i="18"/>
  <c r="K11" i="18"/>
  <c r="C11" i="18"/>
  <c r="P10" i="18"/>
  <c r="O10" i="18"/>
  <c r="N10" i="18"/>
  <c r="M10" i="18"/>
  <c r="L10" i="18"/>
  <c r="G10" i="18"/>
  <c r="C10" i="18"/>
  <c r="P9" i="18"/>
  <c r="O9" i="18"/>
  <c r="N9" i="18"/>
  <c r="M9" i="18"/>
  <c r="L9" i="18"/>
  <c r="K9" i="18"/>
  <c r="G9" i="18"/>
  <c r="C9" i="18"/>
  <c r="P8" i="18"/>
  <c r="O8" i="18"/>
  <c r="N8" i="18"/>
  <c r="L8" i="18"/>
  <c r="K8" i="18"/>
  <c r="C8" i="18"/>
  <c r="P7" i="18"/>
  <c r="O7" i="18"/>
  <c r="N7" i="18"/>
  <c r="K7" i="18"/>
  <c r="H7" i="18"/>
  <c r="C7" i="18"/>
  <c r="P6" i="18"/>
  <c r="O6" i="18"/>
  <c r="N6" i="18"/>
  <c r="M6" i="18"/>
  <c r="L6" i="18"/>
  <c r="K6" i="18"/>
  <c r="H6" i="18"/>
  <c r="C6" i="18"/>
  <c r="P5" i="18"/>
  <c r="O5" i="18"/>
  <c r="N5" i="18"/>
  <c r="L5" i="18"/>
  <c r="C5" i="18"/>
  <c r="C4" i="18"/>
  <c r="D35" i="17"/>
  <c r="C35" i="17"/>
  <c r="B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R19" i="17"/>
  <c r="Q19" i="17"/>
  <c r="P19" i="17"/>
  <c r="O19" i="17"/>
  <c r="N19" i="17"/>
  <c r="M19" i="17"/>
  <c r="C19" i="17"/>
  <c r="R18" i="17"/>
  <c r="Q18" i="17"/>
  <c r="P18" i="17"/>
  <c r="O18" i="17"/>
  <c r="N18" i="17"/>
  <c r="M18" i="17"/>
  <c r="C18" i="17"/>
  <c r="R17" i="17"/>
  <c r="Q17" i="17"/>
  <c r="P17" i="17"/>
  <c r="O17" i="17"/>
  <c r="N17" i="17"/>
  <c r="M17" i="17"/>
  <c r="C17" i="17"/>
  <c r="R16" i="17"/>
  <c r="C16" i="17"/>
  <c r="R15" i="17"/>
  <c r="C15" i="17"/>
  <c r="R14" i="17"/>
  <c r="C14" i="17"/>
  <c r="R13" i="17"/>
  <c r="C13" i="17"/>
  <c r="R12" i="17"/>
  <c r="C12" i="17"/>
  <c r="R11" i="17"/>
  <c r="C11" i="17"/>
  <c r="R10" i="17"/>
  <c r="C10" i="17"/>
  <c r="R9" i="17"/>
  <c r="H9" i="17"/>
  <c r="C9" i="17"/>
  <c r="R8" i="17"/>
  <c r="H8" i="17"/>
  <c r="C8" i="17"/>
  <c r="R7" i="17"/>
  <c r="C7" i="17"/>
  <c r="R6" i="17"/>
  <c r="I6" i="17"/>
  <c r="C6" i="17"/>
  <c r="R5" i="17"/>
  <c r="I5" i="17"/>
  <c r="C5" i="17"/>
  <c r="C4" i="17"/>
  <c r="E57" i="13"/>
  <c r="R56" i="13"/>
  <c r="Q56" i="13"/>
  <c r="P56" i="13"/>
  <c r="N56" i="13"/>
  <c r="J56" i="13"/>
  <c r="I56" i="13"/>
  <c r="H56" i="13"/>
  <c r="E56" i="13"/>
  <c r="R55" i="13"/>
  <c r="Q55" i="13"/>
  <c r="P55" i="13"/>
  <c r="N55" i="13"/>
  <c r="J55" i="13"/>
  <c r="I55" i="13"/>
  <c r="H55" i="13"/>
  <c r="E55" i="13"/>
  <c r="R54" i="13"/>
  <c r="Q54" i="13"/>
  <c r="P54" i="13"/>
  <c r="N54" i="13"/>
  <c r="J54" i="13"/>
  <c r="I54" i="13"/>
  <c r="H54" i="13"/>
  <c r="R53" i="13"/>
  <c r="Q53" i="13"/>
  <c r="P53" i="13"/>
  <c r="N53" i="13"/>
  <c r="J53" i="13"/>
  <c r="I53" i="13"/>
  <c r="H53" i="13"/>
  <c r="E53" i="13"/>
  <c r="R52" i="13"/>
  <c r="Q52" i="13"/>
  <c r="P52" i="13"/>
  <c r="N52" i="13"/>
  <c r="J52" i="13"/>
  <c r="I52" i="13"/>
  <c r="H52" i="13"/>
  <c r="R51" i="13"/>
  <c r="Q51" i="13"/>
  <c r="P51" i="13"/>
  <c r="N51" i="13"/>
  <c r="J51" i="13"/>
  <c r="I51" i="13"/>
  <c r="H51" i="13"/>
  <c r="E51" i="13"/>
  <c r="R50" i="13"/>
  <c r="Q50" i="13"/>
  <c r="P50" i="13"/>
  <c r="N50" i="13"/>
  <c r="J50" i="13"/>
  <c r="I50" i="13"/>
  <c r="H50" i="13"/>
  <c r="E50" i="13"/>
  <c r="R49" i="13"/>
  <c r="Q49" i="13"/>
  <c r="P49" i="13"/>
  <c r="N49" i="13"/>
  <c r="J49" i="13"/>
  <c r="I49" i="13"/>
  <c r="H49" i="13"/>
  <c r="E49" i="13"/>
  <c r="R48" i="13"/>
  <c r="Q48" i="13"/>
  <c r="P48" i="13"/>
  <c r="N48" i="13"/>
  <c r="J48" i="13"/>
  <c r="I48" i="13"/>
  <c r="H48" i="13"/>
  <c r="R47" i="13"/>
  <c r="Q47" i="13"/>
  <c r="P47" i="13"/>
  <c r="N47" i="13"/>
  <c r="J47" i="13"/>
  <c r="I47" i="13"/>
  <c r="H47" i="13"/>
  <c r="AG46" i="13"/>
  <c r="AF46" i="13"/>
  <c r="AE46" i="13"/>
  <c r="AD46" i="13"/>
  <c r="AC46" i="13"/>
  <c r="AB46" i="13"/>
  <c r="R46" i="13"/>
  <c r="Q46" i="13"/>
  <c r="P46" i="13"/>
  <c r="N46" i="13"/>
  <c r="J46" i="13"/>
  <c r="I46" i="13"/>
  <c r="H46" i="13"/>
  <c r="AG45" i="13"/>
  <c r="AF45" i="13"/>
  <c r="AE45" i="13"/>
  <c r="AD45" i="13"/>
  <c r="AC45" i="13"/>
  <c r="AB45" i="13"/>
  <c r="R45" i="13"/>
  <c r="Q45" i="13"/>
  <c r="P45" i="13"/>
  <c r="N45" i="13"/>
  <c r="J45" i="13"/>
  <c r="I45" i="13"/>
  <c r="H45" i="13"/>
  <c r="AI44" i="13"/>
  <c r="AG44" i="13"/>
  <c r="AF44" i="13"/>
  <c r="AE44" i="13"/>
  <c r="AD44" i="13"/>
  <c r="AC44" i="13"/>
  <c r="AB44" i="13"/>
  <c r="R44" i="13"/>
  <c r="Q44" i="13"/>
  <c r="P44" i="13"/>
  <c r="N44" i="13"/>
  <c r="J44" i="13"/>
  <c r="I44" i="13"/>
  <c r="H44" i="13"/>
  <c r="AI43" i="13"/>
  <c r="AG43" i="13"/>
  <c r="AD43" i="13"/>
  <c r="AC43" i="13"/>
  <c r="R43" i="13"/>
  <c r="Q43" i="13"/>
  <c r="P43" i="13"/>
  <c r="N43" i="13"/>
  <c r="J43" i="13"/>
  <c r="I43" i="13"/>
  <c r="H43" i="13"/>
  <c r="AI42" i="13"/>
  <c r="AG42" i="13"/>
  <c r="AE42" i="13"/>
  <c r="AD42" i="13"/>
  <c r="AC42" i="13"/>
  <c r="R42" i="13"/>
  <c r="Q42" i="13"/>
  <c r="P42" i="13"/>
  <c r="N42" i="13"/>
  <c r="J42" i="13"/>
  <c r="I42" i="13"/>
  <c r="H42" i="13"/>
  <c r="E42" i="13"/>
  <c r="AG41" i="13"/>
  <c r="AE41" i="13"/>
  <c r="AD41" i="13"/>
  <c r="R41" i="13"/>
  <c r="Q41" i="13"/>
  <c r="P41" i="13"/>
  <c r="N41" i="13"/>
  <c r="J41" i="13"/>
  <c r="I41" i="13"/>
  <c r="H41" i="13"/>
  <c r="E41" i="13"/>
  <c r="AG40" i="13"/>
  <c r="AD40" i="13"/>
  <c r="AC40" i="13"/>
  <c r="R40" i="13"/>
  <c r="Q40" i="13"/>
  <c r="P40" i="13"/>
  <c r="N40" i="13"/>
  <c r="J40" i="13"/>
  <c r="I40" i="13"/>
  <c r="H40" i="13"/>
  <c r="AO39" i="13"/>
  <c r="AN39" i="13"/>
  <c r="AM39" i="13"/>
  <c r="AL39" i="13"/>
  <c r="AK39" i="13"/>
  <c r="AJ39" i="13"/>
  <c r="AG39" i="13"/>
  <c r="AE39" i="13"/>
  <c r="AD39" i="13"/>
  <c r="AC39" i="13"/>
  <c r="R39" i="13"/>
  <c r="Q39" i="13"/>
  <c r="P39" i="13"/>
  <c r="N39" i="13"/>
  <c r="J39" i="13"/>
  <c r="I39" i="13"/>
  <c r="H39" i="13"/>
  <c r="AO38" i="13"/>
  <c r="AN38" i="13"/>
  <c r="AM38" i="13"/>
  <c r="AL38" i="13"/>
  <c r="AK38" i="13"/>
  <c r="AJ38" i="13"/>
  <c r="AG38" i="13"/>
  <c r="AF38" i="13"/>
  <c r="AE38" i="13"/>
  <c r="AD38" i="13"/>
  <c r="R38" i="13"/>
  <c r="Q38" i="13"/>
  <c r="P38" i="13"/>
  <c r="N38" i="13"/>
  <c r="J38" i="13"/>
  <c r="I38" i="13"/>
  <c r="H38" i="13"/>
  <c r="AO37" i="13"/>
  <c r="AN37" i="13"/>
  <c r="AM37" i="13"/>
  <c r="AL37" i="13"/>
  <c r="AK37" i="13"/>
  <c r="AJ37" i="13"/>
  <c r="AG37" i="13"/>
  <c r="AE37" i="13"/>
  <c r="AD37" i="13"/>
  <c r="AC37" i="13"/>
  <c r="R37" i="13"/>
  <c r="Q37" i="13"/>
  <c r="P37" i="13"/>
  <c r="N37" i="13"/>
  <c r="J37" i="13"/>
  <c r="I37" i="13"/>
  <c r="H37" i="13"/>
  <c r="AO36" i="13"/>
  <c r="AN36" i="13"/>
  <c r="AM36" i="13"/>
  <c r="AL36" i="13"/>
  <c r="AK36" i="13"/>
  <c r="AJ36" i="13"/>
  <c r="AG36" i="13"/>
  <c r="AE36" i="13"/>
  <c r="AD36" i="13"/>
  <c r="R36" i="13"/>
  <c r="Q36" i="13"/>
  <c r="P36" i="13"/>
  <c r="N36" i="13"/>
  <c r="J36" i="13"/>
  <c r="I36" i="13"/>
  <c r="H36" i="13"/>
  <c r="E36" i="13"/>
  <c r="AO35" i="13"/>
  <c r="AN35" i="13"/>
  <c r="AM35" i="13"/>
  <c r="AL35" i="13"/>
  <c r="AK35" i="13"/>
  <c r="AJ35" i="13"/>
  <c r="AG35" i="13"/>
  <c r="AE35" i="13"/>
  <c r="AD35" i="13"/>
  <c r="AC35" i="13"/>
  <c r="R35" i="13"/>
  <c r="Q35" i="13"/>
  <c r="P35" i="13"/>
  <c r="N35" i="13"/>
  <c r="J35" i="13"/>
  <c r="I35" i="13"/>
  <c r="H35" i="13"/>
  <c r="AO34" i="13"/>
  <c r="AN34" i="13"/>
  <c r="AM34" i="13"/>
  <c r="AL34" i="13"/>
  <c r="AK34" i="13"/>
  <c r="AJ34" i="13"/>
  <c r="AG34" i="13"/>
  <c r="AF34" i="13"/>
  <c r="AD34" i="13"/>
  <c r="R34" i="13"/>
  <c r="Q34" i="13"/>
  <c r="P34" i="13"/>
  <c r="N34" i="13"/>
  <c r="J34" i="13"/>
  <c r="I34" i="13"/>
  <c r="H34" i="13"/>
  <c r="E34" i="13"/>
  <c r="AO33" i="13"/>
  <c r="AN33" i="13"/>
  <c r="AM33" i="13"/>
  <c r="AL33" i="13"/>
  <c r="AK33" i="13"/>
  <c r="AJ33" i="13"/>
  <c r="AG33" i="13"/>
  <c r="AF33" i="13"/>
  <c r="AD33" i="13"/>
  <c r="AC33" i="13"/>
  <c r="W33" i="13"/>
  <c r="R33" i="13"/>
  <c r="Q33" i="13"/>
  <c r="P33" i="13"/>
  <c r="N33" i="13"/>
  <c r="J33" i="13"/>
  <c r="I33" i="13"/>
  <c r="H33" i="13"/>
  <c r="E33" i="13"/>
  <c r="AO32" i="13"/>
  <c r="AN32" i="13"/>
  <c r="AM32" i="13"/>
  <c r="AL32" i="13"/>
  <c r="AK32" i="13"/>
  <c r="AJ32" i="13"/>
  <c r="AG32" i="13"/>
  <c r="AE32" i="13"/>
  <c r="AD32" i="13"/>
  <c r="AC32" i="13"/>
  <c r="W32" i="13"/>
  <c r="R32" i="13"/>
  <c r="Q32" i="13"/>
  <c r="P32" i="13"/>
  <c r="N32" i="13"/>
  <c r="J32" i="13"/>
  <c r="I32" i="13"/>
  <c r="H32" i="13"/>
  <c r="AO31" i="13"/>
  <c r="AN31" i="13"/>
  <c r="AM31" i="13"/>
  <c r="AL31" i="13"/>
  <c r="AK31" i="13"/>
  <c r="AJ31" i="13"/>
  <c r="R31" i="13"/>
  <c r="Q31" i="13"/>
  <c r="P31" i="13"/>
  <c r="N31" i="13"/>
  <c r="J31" i="13"/>
  <c r="I31" i="13"/>
  <c r="H31" i="13"/>
  <c r="E31" i="13"/>
  <c r="AO30" i="13"/>
  <c r="AN30" i="13"/>
  <c r="AM30" i="13"/>
  <c r="AL30" i="13"/>
  <c r="AK30" i="13"/>
  <c r="AJ30" i="13"/>
  <c r="R30" i="13"/>
  <c r="Q30" i="13"/>
  <c r="P30" i="13"/>
  <c r="N30" i="13"/>
  <c r="J30" i="13"/>
  <c r="I30" i="13"/>
  <c r="H30" i="13"/>
  <c r="E30" i="13"/>
  <c r="AO29" i="13"/>
  <c r="AN29" i="13"/>
  <c r="AM29" i="13"/>
  <c r="AL29" i="13"/>
  <c r="AK29" i="13"/>
  <c r="AJ29" i="13"/>
  <c r="R29" i="13"/>
  <c r="Q29" i="13"/>
  <c r="P29" i="13"/>
  <c r="N29" i="13"/>
  <c r="J29" i="13"/>
  <c r="I29" i="13"/>
  <c r="H29" i="13"/>
  <c r="E29" i="13"/>
  <c r="AO28" i="13"/>
  <c r="AN28" i="13"/>
  <c r="AM28" i="13"/>
  <c r="AL28" i="13"/>
  <c r="AK28" i="13"/>
  <c r="AJ28" i="13"/>
  <c r="X28" i="13"/>
  <c r="R28" i="13"/>
  <c r="Q28" i="13"/>
  <c r="P28" i="13"/>
  <c r="N28" i="13"/>
  <c r="J28" i="13"/>
  <c r="I28" i="13"/>
  <c r="H28" i="13"/>
  <c r="E28" i="13"/>
  <c r="AO27" i="13"/>
  <c r="AN27" i="13"/>
  <c r="AM27" i="13"/>
  <c r="AL27" i="13"/>
  <c r="AK27" i="13"/>
  <c r="AJ27" i="13"/>
  <c r="X27" i="13"/>
  <c r="R27" i="13"/>
  <c r="Q27" i="13"/>
  <c r="P27" i="13"/>
  <c r="N27" i="13"/>
  <c r="J27" i="13"/>
  <c r="I27" i="13"/>
  <c r="H27" i="13"/>
  <c r="AO26" i="13"/>
  <c r="AN26" i="13"/>
  <c r="AM26" i="13"/>
  <c r="AL26" i="13"/>
  <c r="AK26" i="13"/>
  <c r="AJ26" i="13"/>
  <c r="AG26" i="13"/>
  <c r="AF26" i="13"/>
  <c r="AE26" i="13"/>
  <c r="AD26" i="13"/>
  <c r="AC26" i="13"/>
  <c r="AB26" i="13"/>
  <c r="R26" i="13"/>
  <c r="Q26" i="13"/>
  <c r="P26" i="13"/>
  <c r="N26" i="13"/>
  <c r="J26" i="13"/>
  <c r="I26" i="13"/>
  <c r="H26" i="13"/>
  <c r="AO25" i="13"/>
  <c r="AN25" i="13"/>
  <c r="AM25" i="13"/>
  <c r="AL25" i="13"/>
  <c r="AK25" i="13"/>
  <c r="AJ25" i="13"/>
  <c r="AG25" i="13"/>
  <c r="AF25" i="13"/>
  <c r="AE25" i="13"/>
  <c r="AD25" i="13"/>
  <c r="AC25" i="13"/>
  <c r="AB25" i="13"/>
  <c r="P25" i="13"/>
  <c r="H25" i="13"/>
  <c r="AG24" i="13"/>
  <c r="AF24" i="13"/>
  <c r="AE24" i="13"/>
  <c r="AD24" i="13"/>
  <c r="AC24" i="13"/>
  <c r="AB24" i="13"/>
  <c r="R24" i="13"/>
  <c r="Q24" i="13"/>
  <c r="P24" i="13"/>
  <c r="N24" i="13"/>
  <c r="J24" i="13"/>
  <c r="I24" i="13"/>
  <c r="H24" i="13"/>
  <c r="E24" i="13"/>
  <c r="AG23" i="13"/>
  <c r="R23" i="13"/>
  <c r="Q23" i="13"/>
  <c r="P23" i="13"/>
  <c r="N23" i="13"/>
  <c r="J23" i="13"/>
  <c r="I23" i="13"/>
  <c r="H23" i="13"/>
  <c r="AG22" i="13"/>
  <c r="R22" i="13"/>
  <c r="Q22" i="13"/>
  <c r="P22" i="13"/>
  <c r="N22" i="13"/>
  <c r="J22" i="13"/>
  <c r="I22" i="13"/>
  <c r="H22" i="13"/>
  <c r="E22" i="13"/>
  <c r="AG21" i="13"/>
  <c r="R21" i="13"/>
  <c r="Q21" i="13"/>
  <c r="P21" i="13"/>
  <c r="N21" i="13"/>
  <c r="J21" i="13"/>
  <c r="I21" i="13"/>
  <c r="H21" i="13"/>
  <c r="E21" i="13"/>
  <c r="AG20" i="13"/>
  <c r="R20" i="13"/>
  <c r="Q20" i="13"/>
  <c r="P20" i="13"/>
  <c r="N20" i="13"/>
  <c r="J20" i="13"/>
  <c r="I20" i="13"/>
  <c r="H20" i="13"/>
  <c r="E20" i="13"/>
  <c r="AG19" i="13"/>
  <c r="R19" i="13"/>
  <c r="Q19" i="13"/>
  <c r="P19" i="13"/>
  <c r="N19" i="13"/>
  <c r="J19" i="13"/>
  <c r="I19" i="13"/>
  <c r="H19" i="13"/>
  <c r="E19" i="13"/>
  <c r="AG18" i="13"/>
  <c r="R18" i="13"/>
  <c r="Q18" i="13"/>
  <c r="P18" i="13"/>
  <c r="N18" i="13"/>
  <c r="J18" i="13"/>
  <c r="I18" i="13"/>
  <c r="H18" i="13"/>
  <c r="AG17" i="13"/>
  <c r="R17" i="13"/>
  <c r="Q17" i="13"/>
  <c r="P17" i="13"/>
  <c r="N17" i="13"/>
  <c r="J17" i="13"/>
  <c r="I17" i="13"/>
  <c r="H17" i="13"/>
  <c r="AG16" i="13"/>
  <c r="R16" i="13"/>
  <c r="Q16" i="13"/>
  <c r="P16" i="13"/>
  <c r="N16" i="13"/>
  <c r="J16" i="13"/>
  <c r="I16" i="13"/>
  <c r="H16" i="13"/>
  <c r="AG15" i="13"/>
  <c r="R15" i="13"/>
  <c r="Q15" i="13"/>
  <c r="P15" i="13"/>
  <c r="N15" i="13"/>
  <c r="J15" i="13"/>
  <c r="I15" i="13"/>
  <c r="H15" i="13"/>
  <c r="AG14" i="13"/>
  <c r="P14" i="13"/>
  <c r="H14" i="13"/>
  <c r="AG13" i="13"/>
  <c r="R13" i="13"/>
  <c r="Q13" i="13"/>
  <c r="P13" i="13"/>
  <c r="N13" i="13"/>
  <c r="J13" i="13"/>
  <c r="I13" i="13"/>
  <c r="H13" i="13"/>
  <c r="AG12" i="13"/>
  <c r="R12" i="13"/>
  <c r="Q12" i="13"/>
  <c r="P12" i="13"/>
  <c r="N12" i="13"/>
  <c r="J12" i="13"/>
  <c r="I12" i="13"/>
  <c r="H12" i="13"/>
  <c r="R11" i="13"/>
  <c r="Q11" i="13"/>
  <c r="P11" i="13"/>
  <c r="N11" i="13"/>
  <c r="J11" i="13"/>
  <c r="I11" i="13"/>
  <c r="H11" i="13"/>
  <c r="Q10" i="13"/>
  <c r="P10" i="13"/>
  <c r="N10" i="13"/>
  <c r="J10" i="13"/>
  <c r="I10" i="13"/>
  <c r="H10" i="13"/>
  <c r="R9" i="13"/>
  <c r="Q9" i="13"/>
  <c r="P9" i="13"/>
  <c r="N9" i="13"/>
  <c r="J9" i="13"/>
  <c r="I9" i="13"/>
  <c r="H9" i="13"/>
  <c r="R8" i="13"/>
  <c r="Q8" i="13"/>
  <c r="P8" i="13"/>
  <c r="N8" i="13"/>
  <c r="J8" i="13"/>
  <c r="I8" i="13"/>
  <c r="H8" i="13"/>
  <c r="R7" i="13"/>
  <c r="Q7" i="13"/>
  <c r="P7" i="13"/>
  <c r="N7" i="13"/>
  <c r="J7" i="13"/>
  <c r="I7" i="13"/>
  <c r="H7" i="13"/>
  <c r="R6" i="13"/>
  <c r="Q6" i="13"/>
  <c r="P6" i="13"/>
  <c r="N6" i="13"/>
  <c r="J6" i="13"/>
  <c r="I6" i="13"/>
  <c r="H6" i="13"/>
  <c r="R5" i="13"/>
  <c r="Q5" i="13"/>
  <c r="P5" i="13"/>
  <c r="N5" i="13"/>
  <c r="J5" i="13"/>
  <c r="I5" i="13"/>
  <c r="H5" i="13"/>
  <c r="R4" i="13"/>
  <c r="Q4" i="13"/>
  <c r="P4" i="13"/>
  <c r="N4" i="13"/>
  <c r="J4" i="13"/>
  <c r="I4" i="13"/>
  <c r="H4" i="13"/>
  <c r="R3" i="13"/>
  <c r="Q3" i="13"/>
  <c r="P3" i="13"/>
  <c r="N3" i="13"/>
  <c r="J3" i="13"/>
  <c r="I3" i="13"/>
  <c r="H3" i="13"/>
  <c r="E57" i="12"/>
  <c r="R56" i="12"/>
  <c r="Q56" i="12"/>
  <c r="P56" i="12"/>
  <c r="N56" i="12"/>
  <c r="J56" i="12"/>
  <c r="I56" i="12"/>
  <c r="H56" i="12"/>
  <c r="E56" i="12"/>
  <c r="R55" i="12"/>
  <c r="Q55" i="12"/>
  <c r="P55" i="12"/>
  <c r="N55" i="12"/>
  <c r="J55" i="12"/>
  <c r="I55" i="12"/>
  <c r="H55" i="12"/>
  <c r="E55" i="12"/>
  <c r="R54" i="12"/>
  <c r="Q54" i="12"/>
  <c r="P54" i="12"/>
  <c r="N54" i="12"/>
  <c r="J54" i="12"/>
  <c r="I54" i="12"/>
  <c r="H54" i="12"/>
  <c r="R53" i="12"/>
  <c r="Q53" i="12"/>
  <c r="P53" i="12"/>
  <c r="N53" i="12"/>
  <c r="J53" i="12"/>
  <c r="I53" i="12"/>
  <c r="H53" i="12"/>
  <c r="E53" i="12"/>
  <c r="R52" i="12"/>
  <c r="Q52" i="12"/>
  <c r="P52" i="12"/>
  <c r="N52" i="12"/>
  <c r="J52" i="12"/>
  <c r="I52" i="12"/>
  <c r="H52" i="12"/>
  <c r="R51" i="12"/>
  <c r="Q51" i="12"/>
  <c r="P51" i="12"/>
  <c r="N51" i="12"/>
  <c r="J51" i="12"/>
  <c r="I51" i="12"/>
  <c r="H51" i="12"/>
  <c r="E51" i="12"/>
  <c r="R50" i="12"/>
  <c r="Q50" i="12"/>
  <c r="P50" i="12"/>
  <c r="N50" i="12"/>
  <c r="J50" i="12"/>
  <c r="I50" i="12"/>
  <c r="H50" i="12"/>
  <c r="E50" i="12"/>
  <c r="R49" i="12"/>
  <c r="Q49" i="12"/>
  <c r="P49" i="12"/>
  <c r="N49" i="12"/>
  <c r="J49" i="12"/>
  <c r="I49" i="12"/>
  <c r="H49" i="12"/>
  <c r="E49" i="12"/>
  <c r="R48" i="12"/>
  <c r="Q48" i="12"/>
  <c r="P48" i="12"/>
  <c r="N48" i="12"/>
  <c r="J48" i="12"/>
  <c r="I48" i="12"/>
  <c r="H48" i="12"/>
  <c r="R47" i="12"/>
  <c r="Q47" i="12"/>
  <c r="P47" i="12"/>
  <c r="N47" i="12"/>
  <c r="J47" i="12"/>
  <c r="I47" i="12"/>
  <c r="H47" i="12"/>
  <c r="AG46" i="12"/>
  <c r="AF46" i="12"/>
  <c r="AE46" i="12"/>
  <c r="AD46" i="12"/>
  <c r="AC46" i="12"/>
  <c r="AB46" i="12"/>
  <c r="R46" i="12"/>
  <c r="Q46" i="12"/>
  <c r="P46" i="12"/>
  <c r="N46" i="12"/>
  <c r="J46" i="12"/>
  <c r="I46" i="12"/>
  <c r="H46" i="12"/>
  <c r="AG45" i="12"/>
  <c r="AF45" i="12"/>
  <c r="AE45" i="12"/>
  <c r="AD45" i="12"/>
  <c r="AC45" i="12"/>
  <c r="AB45" i="12"/>
  <c r="R45" i="12"/>
  <c r="Q45" i="12"/>
  <c r="P45" i="12"/>
  <c r="N45" i="12"/>
  <c r="J45" i="12"/>
  <c r="I45" i="12"/>
  <c r="H45" i="12"/>
  <c r="AI44" i="12"/>
  <c r="AG44" i="12"/>
  <c r="AF44" i="12"/>
  <c r="AE44" i="12"/>
  <c r="AD44" i="12"/>
  <c r="AC44" i="12"/>
  <c r="AB44" i="12"/>
  <c r="R44" i="12"/>
  <c r="Q44" i="12"/>
  <c r="P44" i="12"/>
  <c r="N44" i="12"/>
  <c r="J44" i="12"/>
  <c r="I44" i="12"/>
  <c r="H44" i="12"/>
  <c r="AI43" i="12"/>
  <c r="AG43" i="12"/>
  <c r="AD43" i="12"/>
  <c r="AC43" i="12"/>
  <c r="R43" i="12"/>
  <c r="Q43" i="12"/>
  <c r="P43" i="12"/>
  <c r="N43" i="12"/>
  <c r="J43" i="12"/>
  <c r="I43" i="12"/>
  <c r="H43" i="12"/>
  <c r="AI42" i="12"/>
  <c r="AG42" i="12"/>
  <c r="AE42" i="12"/>
  <c r="AD42" i="12"/>
  <c r="AC42" i="12"/>
  <c r="R42" i="12"/>
  <c r="Q42" i="12"/>
  <c r="P42" i="12"/>
  <c r="N42" i="12"/>
  <c r="J42" i="12"/>
  <c r="I42" i="12"/>
  <c r="H42" i="12"/>
  <c r="E42" i="12"/>
  <c r="AG41" i="12"/>
  <c r="AE41" i="12"/>
  <c r="AD41" i="12"/>
  <c r="R41" i="12"/>
  <c r="Q41" i="12"/>
  <c r="P41" i="12"/>
  <c r="N41" i="12"/>
  <c r="J41" i="12"/>
  <c r="I41" i="12"/>
  <c r="H41" i="12"/>
  <c r="E41" i="12"/>
  <c r="AG40" i="12"/>
  <c r="AD40" i="12"/>
  <c r="AC40" i="12"/>
  <c r="R40" i="12"/>
  <c r="Q40" i="12"/>
  <c r="P40" i="12"/>
  <c r="N40" i="12"/>
  <c r="J40" i="12"/>
  <c r="I40" i="12"/>
  <c r="H40" i="12"/>
  <c r="AO39" i="12"/>
  <c r="AN39" i="12"/>
  <c r="AM39" i="12"/>
  <c r="AL39" i="12"/>
  <c r="AK39" i="12"/>
  <c r="AJ39" i="12"/>
  <c r="AG39" i="12"/>
  <c r="AE39" i="12"/>
  <c r="AD39" i="12"/>
  <c r="AC39" i="12"/>
  <c r="R39" i="12"/>
  <c r="Q39" i="12"/>
  <c r="P39" i="12"/>
  <c r="N39" i="12"/>
  <c r="J39" i="12"/>
  <c r="I39" i="12"/>
  <c r="H39" i="12"/>
  <c r="AO38" i="12"/>
  <c r="AN38" i="12"/>
  <c r="AM38" i="12"/>
  <c r="AL38" i="12"/>
  <c r="AK38" i="12"/>
  <c r="AJ38" i="12"/>
  <c r="AG38" i="12"/>
  <c r="AF38" i="12"/>
  <c r="AE38" i="12"/>
  <c r="AD38" i="12"/>
  <c r="R38" i="12"/>
  <c r="Q38" i="12"/>
  <c r="P38" i="12"/>
  <c r="N38" i="12"/>
  <c r="J38" i="12"/>
  <c r="I38" i="12"/>
  <c r="H38" i="12"/>
  <c r="AO37" i="12"/>
  <c r="AN37" i="12"/>
  <c r="AM37" i="12"/>
  <c r="AL37" i="12"/>
  <c r="AK37" i="12"/>
  <c r="AJ37" i="12"/>
  <c r="AG37" i="12"/>
  <c r="AE37" i="12"/>
  <c r="AD37" i="12"/>
  <c r="AC37" i="12"/>
  <c r="R37" i="12"/>
  <c r="Q37" i="12"/>
  <c r="P37" i="12"/>
  <c r="N37" i="12"/>
  <c r="J37" i="12"/>
  <c r="I37" i="12"/>
  <c r="H37" i="12"/>
  <c r="AO36" i="12"/>
  <c r="AN36" i="12"/>
  <c r="AM36" i="12"/>
  <c r="AL36" i="12"/>
  <c r="AK36" i="12"/>
  <c r="AJ36" i="12"/>
  <c r="AG36" i="12"/>
  <c r="AE36" i="12"/>
  <c r="AD36" i="12"/>
  <c r="R36" i="12"/>
  <c r="Q36" i="12"/>
  <c r="P36" i="12"/>
  <c r="N36" i="12"/>
  <c r="J36" i="12"/>
  <c r="I36" i="12"/>
  <c r="H36" i="12"/>
  <c r="E36" i="12"/>
  <c r="AO35" i="12"/>
  <c r="AN35" i="12"/>
  <c r="AM35" i="12"/>
  <c r="AL35" i="12"/>
  <c r="AK35" i="12"/>
  <c r="AJ35" i="12"/>
  <c r="AG35" i="12"/>
  <c r="AE35" i="12"/>
  <c r="AD35" i="12"/>
  <c r="AC35" i="12"/>
  <c r="R35" i="12"/>
  <c r="Q35" i="12"/>
  <c r="P35" i="12"/>
  <c r="N35" i="12"/>
  <c r="J35" i="12"/>
  <c r="I35" i="12"/>
  <c r="H35" i="12"/>
  <c r="AO34" i="12"/>
  <c r="AN34" i="12"/>
  <c r="AM34" i="12"/>
  <c r="AL34" i="12"/>
  <c r="AK34" i="12"/>
  <c r="AJ34" i="12"/>
  <c r="AG34" i="12"/>
  <c r="AF34" i="12"/>
  <c r="AD34" i="12"/>
  <c r="R34" i="12"/>
  <c r="Q34" i="12"/>
  <c r="P34" i="12"/>
  <c r="N34" i="12"/>
  <c r="J34" i="12"/>
  <c r="I34" i="12"/>
  <c r="H34" i="12"/>
  <c r="E34" i="12"/>
  <c r="AO33" i="12"/>
  <c r="AN33" i="12"/>
  <c r="AM33" i="12"/>
  <c r="AL33" i="12"/>
  <c r="AK33" i="12"/>
  <c r="AJ33" i="12"/>
  <c r="AG33" i="12"/>
  <c r="AF33" i="12"/>
  <c r="AD33" i="12"/>
  <c r="AC33" i="12"/>
  <c r="W33" i="12"/>
  <c r="R33" i="12"/>
  <c r="Q33" i="12"/>
  <c r="P33" i="12"/>
  <c r="N33" i="12"/>
  <c r="J33" i="12"/>
  <c r="I33" i="12"/>
  <c r="H33" i="12"/>
  <c r="E33" i="12"/>
  <c r="AO32" i="12"/>
  <c r="AN32" i="12"/>
  <c r="AM32" i="12"/>
  <c r="AL32" i="12"/>
  <c r="AK32" i="12"/>
  <c r="AJ32" i="12"/>
  <c r="AG32" i="12"/>
  <c r="AE32" i="12"/>
  <c r="AD32" i="12"/>
  <c r="AC32" i="12"/>
  <c r="W32" i="12"/>
  <c r="R32" i="12"/>
  <c r="Q32" i="12"/>
  <c r="P32" i="12"/>
  <c r="N32" i="12"/>
  <c r="J32" i="12"/>
  <c r="I32" i="12"/>
  <c r="H32" i="12"/>
  <c r="AO31" i="12"/>
  <c r="AN31" i="12"/>
  <c r="AM31" i="12"/>
  <c r="AL31" i="12"/>
  <c r="AK31" i="12"/>
  <c r="AJ31" i="12"/>
  <c r="R31" i="12"/>
  <c r="Q31" i="12"/>
  <c r="P31" i="12"/>
  <c r="N31" i="12"/>
  <c r="J31" i="12"/>
  <c r="I31" i="12"/>
  <c r="H31" i="12"/>
  <c r="E31" i="12"/>
  <c r="AO30" i="12"/>
  <c r="AN30" i="12"/>
  <c r="AM30" i="12"/>
  <c r="AL30" i="12"/>
  <c r="AK30" i="12"/>
  <c r="AJ30" i="12"/>
  <c r="R30" i="12"/>
  <c r="Q30" i="12"/>
  <c r="P30" i="12"/>
  <c r="N30" i="12"/>
  <c r="J30" i="12"/>
  <c r="I30" i="12"/>
  <c r="H30" i="12"/>
  <c r="E30" i="12"/>
  <c r="AO29" i="12"/>
  <c r="AN29" i="12"/>
  <c r="AM29" i="12"/>
  <c r="AL29" i="12"/>
  <c r="AK29" i="12"/>
  <c r="AJ29" i="12"/>
  <c r="R29" i="12"/>
  <c r="Q29" i="12"/>
  <c r="P29" i="12"/>
  <c r="N29" i="12"/>
  <c r="J29" i="12"/>
  <c r="I29" i="12"/>
  <c r="H29" i="12"/>
  <c r="E29" i="12"/>
  <c r="AO28" i="12"/>
  <c r="AN28" i="12"/>
  <c r="AM28" i="12"/>
  <c r="AL28" i="12"/>
  <c r="AK28" i="12"/>
  <c r="AJ28" i="12"/>
  <c r="X28" i="12"/>
  <c r="R28" i="12"/>
  <c r="Q28" i="12"/>
  <c r="P28" i="12"/>
  <c r="N28" i="12"/>
  <c r="J28" i="12"/>
  <c r="I28" i="12"/>
  <c r="H28" i="12"/>
  <c r="E28" i="12"/>
  <c r="AO27" i="12"/>
  <c r="AN27" i="12"/>
  <c r="AM27" i="12"/>
  <c r="AL27" i="12"/>
  <c r="AK27" i="12"/>
  <c r="AJ27" i="12"/>
  <c r="X27" i="12"/>
  <c r="R27" i="12"/>
  <c r="Q27" i="12"/>
  <c r="P27" i="12"/>
  <c r="N27" i="12"/>
  <c r="J27" i="12"/>
  <c r="I27" i="12"/>
  <c r="H27" i="12"/>
  <c r="AO26" i="12"/>
  <c r="AN26" i="12"/>
  <c r="AM26" i="12"/>
  <c r="AL26" i="12"/>
  <c r="AK26" i="12"/>
  <c r="AJ26" i="12"/>
  <c r="AG26" i="12"/>
  <c r="AF26" i="12"/>
  <c r="AE26" i="12"/>
  <c r="AD26" i="12"/>
  <c r="AC26" i="12"/>
  <c r="AB26" i="12"/>
  <c r="R26" i="12"/>
  <c r="Q26" i="12"/>
  <c r="P26" i="12"/>
  <c r="N26" i="12"/>
  <c r="J26" i="12"/>
  <c r="I26" i="12"/>
  <c r="H26" i="12"/>
  <c r="AO25" i="12"/>
  <c r="AN25" i="12"/>
  <c r="AM25" i="12"/>
  <c r="AL25" i="12"/>
  <c r="AK25" i="12"/>
  <c r="AJ25" i="12"/>
  <c r="AG25" i="12"/>
  <c r="AF25" i="12"/>
  <c r="AE25" i="12"/>
  <c r="AD25" i="12"/>
  <c r="AC25" i="12"/>
  <c r="AB25" i="12"/>
  <c r="P25" i="12"/>
  <c r="H25" i="12"/>
  <c r="AG24" i="12"/>
  <c r="AF24" i="12"/>
  <c r="AE24" i="12"/>
  <c r="AD24" i="12"/>
  <c r="AC24" i="12"/>
  <c r="AB24" i="12"/>
  <c r="R24" i="12"/>
  <c r="Q24" i="12"/>
  <c r="P24" i="12"/>
  <c r="N24" i="12"/>
  <c r="J24" i="12"/>
  <c r="I24" i="12"/>
  <c r="H24" i="12"/>
  <c r="E24" i="12"/>
  <c r="AG23" i="12"/>
  <c r="R23" i="12"/>
  <c r="Q23" i="12"/>
  <c r="P23" i="12"/>
  <c r="N23" i="12"/>
  <c r="J23" i="12"/>
  <c r="I23" i="12"/>
  <c r="H23" i="12"/>
  <c r="AG22" i="12"/>
  <c r="R22" i="12"/>
  <c r="Q22" i="12"/>
  <c r="P22" i="12"/>
  <c r="N22" i="12"/>
  <c r="J22" i="12"/>
  <c r="I22" i="12"/>
  <c r="H22" i="12"/>
  <c r="E22" i="12"/>
  <c r="AG21" i="12"/>
  <c r="R21" i="12"/>
  <c r="Q21" i="12"/>
  <c r="P21" i="12"/>
  <c r="N21" i="12"/>
  <c r="J21" i="12"/>
  <c r="I21" i="12"/>
  <c r="H21" i="12"/>
  <c r="E21" i="12"/>
  <c r="AG20" i="12"/>
  <c r="R20" i="12"/>
  <c r="Q20" i="12"/>
  <c r="P20" i="12"/>
  <c r="N20" i="12"/>
  <c r="J20" i="12"/>
  <c r="I20" i="12"/>
  <c r="H20" i="12"/>
  <c r="E20" i="12"/>
  <c r="AG19" i="12"/>
  <c r="R19" i="12"/>
  <c r="Q19" i="12"/>
  <c r="P19" i="12"/>
  <c r="N19" i="12"/>
  <c r="J19" i="12"/>
  <c r="I19" i="12"/>
  <c r="H19" i="12"/>
  <c r="E19" i="12"/>
  <c r="AG18" i="12"/>
  <c r="R18" i="12"/>
  <c r="Q18" i="12"/>
  <c r="P18" i="12"/>
  <c r="N18" i="12"/>
  <c r="J18" i="12"/>
  <c r="I18" i="12"/>
  <c r="H18" i="12"/>
  <c r="AG17" i="12"/>
  <c r="R17" i="12"/>
  <c r="Q17" i="12"/>
  <c r="P17" i="12"/>
  <c r="N17" i="12"/>
  <c r="J17" i="12"/>
  <c r="I17" i="12"/>
  <c r="H17" i="12"/>
  <c r="AG16" i="12"/>
  <c r="R16" i="12"/>
  <c r="Q16" i="12"/>
  <c r="P16" i="12"/>
  <c r="N16" i="12"/>
  <c r="J16" i="12"/>
  <c r="I16" i="12"/>
  <c r="H16" i="12"/>
  <c r="AG15" i="12"/>
  <c r="R15" i="12"/>
  <c r="Q15" i="12"/>
  <c r="P15" i="12"/>
  <c r="N15" i="12"/>
  <c r="J15" i="12"/>
  <c r="I15" i="12"/>
  <c r="H15" i="12"/>
  <c r="AG14" i="12"/>
  <c r="P14" i="12"/>
  <c r="H14" i="12"/>
  <c r="AG13" i="12"/>
  <c r="R13" i="12"/>
  <c r="Q13" i="12"/>
  <c r="P13" i="12"/>
  <c r="N13" i="12"/>
  <c r="J13" i="12"/>
  <c r="I13" i="12"/>
  <c r="H13" i="12"/>
  <c r="AG12" i="12"/>
  <c r="R12" i="12"/>
  <c r="Q12" i="12"/>
  <c r="P12" i="12"/>
  <c r="N12" i="12"/>
  <c r="J12" i="12"/>
  <c r="I12" i="12"/>
  <c r="H12" i="12"/>
  <c r="R11" i="12"/>
  <c r="Q11" i="12"/>
  <c r="P11" i="12"/>
  <c r="N11" i="12"/>
  <c r="J11" i="12"/>
  <c r="I11" i="12"/>
  <c r="H11" i="12"/>
  <c r="Q10" i="12"/>
  <c r="P10" i="12"/>
  <c r="N10" i="12"/>
  <c r="J10" i="12"/>
  <c r="I10" i="12"/>
  <c r="H10" i="12"/>
  <c r="R9" i="12"/>
  <c r="Q9" i="12"/>
  <c r="P9" i="12"/>
  <c r="N9" i="12"/>
  <c r="J9" i="12"/>
  <c r="I9" i="12"/>
  <c r="H9" i="12"/>
  <c r="R8" i="12"/>
  <c r="Q8" i="12"/>
  <c r="P8" i="12"/>
  <c r="N8" i="12"/>
  <c r="J8" i="12"/>
  <c r="I8" i="12"/>
  <c r="H8" i="12"/>
  <c r="R7" i="12"/>
  <c r="Q7" i="12"/>
  <c r="P7" i="12"/>
  <c r="N7" i="12"/>
  <c r="J7" i="12"/>
  <c r="I7" i="12"/>
  <c r="H7" i="12"/>
  <c r="R6" i="12"/>
  <c r="Q6" i="12"/>
  <c r="P6" i="12"/>
  <c r="N6" i="12"/>
  <c r="J6" i="12"/>
  <c r="I6" i="12"/>
  <c r="H6" i="12"/>
  <c r="R5" i="12"/>
  <c r="Q5" i="12"/>
  <c r="P5" i="12"/>
  <c r="N5" i="12"/>
  <c r="J5" i="12"/>
  <c r="I5" i="12"/>
  <c r="H5" i="12"/>
  <c r="R4" i="12"/>
  <c r="Q4" i="12"/>
  <c r="P4" i="12"/>
  <c r="N4" i="12"/>
  <c r="J4" i="12"/>
  <c r="I4" i="12"/>
  <c r="H4" i="12"/>
  <c r="R3" i="12"/>
  <c r="Q3" i="12"/>
  <c r="P3" i="12"/>
  <c r="N3" i="12"/>
  <c r="J3" i="12"/>
  <c r="I3" i="12"/>
  <c r="H3" i="12"/>
  <c r="E57" i="11"/>
  <c r="R56" i="11"/>
  <c r="Q56" i="11"/>
  <c r="P56" i="11"/>
  <c r="N56" i="11"/>
  <c r="J56" i="11"/>
  <c r="I56" i="11"/>
  <c r="H56" i="11"/>
  <c r="E56" i="11"/>
  <c r="R55" i="11"/>
  <c r="Q55" i="11"/>
  <c r="P55" i="11"/>
  <c r="N55" i="11"/>
  <c r="J55" i="11"/>
  <c r="I55" i="11"/>
  <c r="H55" i="11"/>
  <c r="E55" i="11"/>
  <c r="R54" i="11"/>
  <c r="Q54" i="11"/>
  <c r="P54" i="11"/>
  <c r="N54" i="11"/>
  <c r="J54" i="11"/>
  <c r="I54" i="11"/>
  <c r="H54" i="11"/>
  <c r="R53" i="11"/>
  <c r="Q53" i="11"/>
  <c r="P53" i="11"/>
  <c r="N53" i="11"/>
  <c r="J53" i="11"/>
  <c r="I53" i="11"/>
  <c r="H53" i="11"/>
  <c r="E53" i="11"/>
  <c r="R52" i="11"/>
  <c r="Q52" i="11"/>
  <c r="P52" i="11"/>
  <c r="N52" i="11"/>
  <c r="J52" i="11"/>
  <c r="I52" i="11"/>
  <c r="H52" i="11"/>
  <c r="R51" i="11"/>
  <c r="Q51" i="11"/>
  <c r="P51" i="11"/>
  <c r="N51" i="11"/>
  <c r="J51" i="11"/>
  <c r="I51" i="11"/>
  <c r="H51" i="11"/>
  <c r="E51" i="11"/>
  <c r="R50" i="11"/>
  <c r="Q50" i="11"/>
  <c r="P50" i="11"/>
  <c r="N50" i="11"/>
  <c r="J50" i="11"/>
  <c r="I50" i="11"/>
  <c r="H50" i="11"/>
  <c r="E50" i="11"/>
  <c r="R49" i="11"/>
  <c r="Q49" i="11"/>
  <c r="P49" i="11"/>
  <c r="N49" i="11"/>
  <c r="J49" i="11"/>
  <c r="I49" i="11"/>
  <c r="H49" i="11"/>
  <c r="E49" i="11"/>
  <c r="R48" i="11"/>
  <c r="Q48" i="11"/>
  <c r="P48" i="11"/>
  <c r="N48" i="11"/>
  <c r="J48" i="11"/>
  <c r="I48" i="11"/>
  <c r="H48" i="11"/>
  <c r="R47" i="11"/>
  <c r="Q47" i="11"/>
  <c r="P47" i="11"/>
  <c r="N47" i="11"/>
  <c r="J47" i="11"/>
  <c r="I47" i="11"/>
  <c r="H47" i="11"/>
  <c r="AG46" i="11"/>
  <c r="AF46" i="11"/>
  <c r="AE46" i="11"/>
  <c r="AD46" i="11"/>
  <c r="AC46" i="11"/>
  <c r="AB46" i="11"/>
  <c r="R46" i="11"/>
  <c r="Q46" i="11"/>
  <c r="P46" i="11"/>
  <c r="N46" i="11"/>
  <c r="J46" i="11"/>
  <c r="I46" i="11"/>
  <c r="H46" i="11"/>
  <c r="AG45" i="11"/>
  <c r="AF45" i="11"/>
  <c r="AE45" i="11"/>
  <c r="AD45" i="11"/>
  <c r="AC45" i="11"/>
  <c r="AB45" i="11"/>
  <c r="R45" i="11"/>
  <c r="Q45" i="11"/>
  <c r="P45" i="11"/>
  <c r="N45" i="11"/>
  <c r="J45" i="11"/>
  <c r="I45" i="11"/>
  <c r="H45" i="11"/>
  <c r="AI44" i="11"/>
  <c r="AG44" i="11"/>
  <c r="AF44" i="11"/>
  <c r="AE44" i="11"/>
  <c r="AD44" i="11"/>
  <c r="AC44" i="11"/>
  <c r="AB44" i="11"/>
  <c r="R44" i="11"/>
  <c r="Q44" i="11"/>
  <c r="P44" i="11"/>
  <c r="N44" i="11"/>
  <c r="J44" i="11"/>
  <c r="I44" i="11"/>
  <c r="H44" i="11"/>
  <c r="AI43" i="11"/>
  <c r="AG43" i="11"/>
  <c r="AD43" i="11"/>
  <c r="AC43" i="11"/>
  <c r="R43" i="11"/>
  <c r="Q43" i="11"/>
  <c r="P43" i="11"/>
  <c r="N43" i="11"/>
  <c r="J43" i="11"/>
  <c r="I43" i="11"/>
  <c r="H43" i="11"/>
  <c r="AI42" i="11"/>
  <c r="AG42" i="11"/>
  <c r="AE42" i="11"/>
  <c r="AD42" i="11"/>
  <c r="AC42" i="11"/>
  <c r="R42" i="11"/>
  <c r="Q42" i="11"/>
  <c r="P42" i="11"/>
  <c r="N42" i="11"/>
  <c r="J42" i="11"/>
  <c r="I42" i="11"/>
  <c r="H42" i="11"/>
  <c r="E42" i="11"/>
  <c r="AG41" i="11"/>
  <c r="AE41" i="11"/>
  <c r="AD41" i="11"/>
  <c r="R41" i="11"/>
  <c r="Q41" i="11"/>
  <c r="P41" i="11"/>
  <c r="N41" i="11"/>
  <c r="J41" i="11"/>
  <c r="I41" i="11"/>
  <c r="H41" i="11"/>
  <c r="E41" i="11"/>
  <c r="AG40" i="11"/>
  <c r="AD40" i="11"/>
  <c r="AC40" i="11"/>
  <c r="R40" i="11"/>
  <c r="Q40" i="11"/>
  <c r="P40" i="11"/>
  <c r="N40" i="11"/>
  <c r="J40" i="11"/>
  <c r="I40" i="11"/>
  <c r="H40" i="11"/>
  <c r="AO39" i="11"/>
  <c r="AN39" i="11"/>
  <c r="AM39" i="11"/>
  <c r="AL39" i="11"/>
  <c r="AK39" i="11"/>
  <c r="AJ39" i="11"/>
  <c r="AG39" i="11"/>
  <c r="AE39" i="11"/>
  <c r="AD39" i="11"/>
  <c r="AC39" i="11"/>
  <c r="R39" i="11"/>
  <c r="Q39" i="11"/>
  <c r="P39" i="11"/>
  <c r="N39" i="11"/>
  <c r="J39" i="11"/>
  <c r="I39" i="11"/>
  <c r="H39" i="11"/>
  <c r="AO38" i="11"/>
  <c r="AN38" i="11"/>
  <c r="AM38" i="11"/>
  <c r="AL38" i="11"/>
  <c r="AK38" i="11"/>
  <c r="AJ38" i="11"/>
  <c r="AG38" i="11"/>
  <c r="AF38" i="11"/>
  <c r="AE38" i="11"/>
  <c r="AD38" i="11"/>
  <c r="R38" i="11"/>
  <c r="Q38" i="11"/>
  <c r="P38" i="11"/>
  <c r="N38" i="11"/>
  <c r="J38" i="11"/>
  <c r="I38" i="11"/>
  <c r="H38" i="11"/>
  <c r="AO37" i="11"/>
  <c r="AN37" i="11"/>
  <c r="AM37" i="11"/>
  <c r="AL37" i="11"/>
  <c r="AK37" i="11"/>
  <c r="AJ37" i="11"/>
  <c r="AG37" i="11"/>
  <c r="AE37" i="11"/>
  <c r="AD37" i="11"/>
  <c r="AC37" i="11"/>
  <c r="R37" i="11"/>
  <c r="Q37" i="11"/>
  <c r="P37" i="11"/>
  <c r="N37" i="11"/>
  <c r="J37" i="11"/>
  <c r="I37" i="11"/>
  <c r="H37" i="11"/>
  <c r="AO36" i="11"/>
  <c r="AN36" i="11"/>
  <c r="AM36" i="11"/>
  <c r="AL36" i="11"/>
  <c r="AK36" i="11"/>
  <c r="AJ36" i="11"/>
  <c r="AG36" i="11"/>
  <c r="AE36" i="11"/>
  <c r="AD36" i="11"/>
  <c r="R36" i="11"/>
  <c r="Q36" i="11"/>
  <c r="P36" i="11"/>
  <c r="N36" i="11"/>
  <c r="J36" i="11"/>
  <c r="I36" i="11"/>
  <c r="H36" i="11"/>
  <c r="E36" i="11"/>
  <c r="AO35" i="11"/>
  <c r="AN35" i="11"/>
  <c r="AM35" i="11"/>
  <c r="AL35" i="11"/>
  <c r="AK35" i="11"/>
  <c r="AJ35" i="11"/>
  <c r="AG35" i="11"/>
  <c r="AE35" i="11"/>
  <c r="AD35" i="11"/>
  <c r="AC35" i="11"/>
  <c r="R35" i="11"/>
  <c r="Q35" i="11"/>
  <c r="P35" i="11"/>
  <c r="N35" i="11"/>
  <c r="J35" i="11"/>
  <c r="I35" i="11"/>
  <c r="H35" i="11"/>
  <c r="AO34" i="11"/>
  <c r="AN34" i="11"/>
  <c r="AM34" i="11"/>
  <c r="AL34" i="11"/>
  <c r="AK34" i="11"/>
  <c r="AJ34" i="11"/>
  <c r="AG34" i="11"/>
  <c r="AF34" i="11"/>
  <c r="AD34" i="11"/>
  <c r="R34" i="11"/>
  <c r="Q34" i="11"/>
  <c r="P34" i="11"/>
  <c r="N34" i="11"/>
  <c r="J34" i="11"/>
  <c r="I34" i="11"/>
  <c r="H34" i="11"/>
  <c r="E34" i="11"/>
  <c r="AO33" i="11"/>
  <c r="AN33" i="11"/>
  <c r="AM33" i="11"/>
  <c r="AL33" i="11"/>
  <c r="AK33" i="11"/>
  <c r="AJ33" i="11"/>
  <c r="AG33" i="11"/>
  <c r="AF33" i="11"/>
  <c r="AD33" i="11"/>
  <c r="AC33" i="11"/>
  <c r="W33" i="11"/>
  <c r="R33" i="11"/>
  <c r="Q33" i="11"/>
  <c r="P33" i="11"/>
  <c r="N33" i="11"/>
  <c r="J33" i="11"/>
  <c r="I33" i="11"/>
  <c r="H33" i="11"/>
  <c r="E33" i="11"/>
  <c r="AO32" i="11"/>
  <c r="AN32" i="11"/>
  <c r="AM32" i="11"/>
  <c r="AL32" i="11"/>
  <c r="AK32" i="11"/>
  <c r="AJ32" i="11"/>
  <c r="AG32" i="11"/>
  <c r="AE32" i="11"/>
  <c r="AD32" i="11"/>
  <c r="AC32" i="11"/>
  <c r="W32" i="11"/>
  <c r="R32" i="11"/>
  <c r="Q32" i="11"/>
  <c r="P32" i="11"/>
  <c r="N32" i="11"/>
  <c r="J32" i="11"/>
  <c r="I32" i="11"/>
  <c r="H32" i="11"/>
  <c r="AO31" i="11"/>
  <c r="AN31" i="11"/>
  <c r="AM31" i="11"/>
  <c r="AL31" i="11"/>
  <c r="AK31" i="11"/>
  <c r="AJ31" i="11"/>
  <c r="R31" i="11"/>
  <c r="Q31" i="11"/>
  <c r="P31" i="11"/>
  <c r="N31" i="11"/>
  <c r="J31" i="11"/>
  <c r="I31" i="11"/>
  <c r="H31" i="11"/>
  <c r="E31" i="11"/>
  <c r="AO30" i="11"/>
  <c r="AN30" i="11"/>
  <c r="AM30" i="11"/>
  <c r="AL30" i="11"/>
  <c r="AK30" i="11"/>
  <c r="AJ30" i="11"/>
  <c r="R30" i="11"/>
  <c r="Q30" i="11"/>
  <c r="P30" i="11"/>
  <c r="N30" i="11"/>
  <c r="J30" i="11"/>
  <c r="I30" i="11"/>
  <c r="H30" i="11"/>
  <c r="E30" i="11"/>
  <c r="AO29" i="11"/>
  <c r="AN29" i="11"/>
  <c r="AM29" i="11"/>
  <c r="AL29" i="11"/>
  <c r="AK29" i="11"/>
  <c r="AJ29" i="11"/>
  <c r="R29" i="11"/>
  <c r="Q29" i="11"/>
  <c r="P29" i="11"/>
  <c r="N29" i="11"/>
  <c r="J29" i="11"/>
  <c r="I29" i="11"/>
  <c r="H29" i="11"/>
  <c r="E29" i="11"/>
  <c r="AO28" i="11"/>
  <c r="AN28" i="11"/>
  <c r="AM28" i="11"/>
  <c r="AL28" i="11"/>
  <c r="AK28" i="11"/>
  <c r="AJ28" i="11"/>
  <c r="X28" i="11"/>
  <c r="R28" i="11"/>
  <c r="Q28" i="11"/>
  <c r="P28" i="11"/>
  <c r="N28" i="11"/>
  <c r="J28" i="11"/>
  <c r="I28" i="11"/>
  <c r="H28" i="11"/>
  <c r="E28" i="11"/>
  <c r="AO27" i="11"/>
  <c r="AN27" i="11"/>
  <c r="AM27" i="11"/>
  <c r="AL27" i="11"/>
  <c r="AK27" i="11"/>
  <c r="AJ27" i="11"/>
  <c r="X27" i="11"/>
  <c r="R27" i="11"/>
  <c r="Q27" i="11"/>
  <c r="P27" i="11"/>
  <c r="N27" i="11"/>
  <c r="J27" i="11"/>
  <c r="I27" i="11"/>
  <c r="H27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R26" i="11"/>
  <c r="Q26" i="11"/>
  <c r="P26" i="11"/>
  <c r="N26" i="11"/>
  <c r="J26" i="11"/>
  <c r="I26" i="11"/>
  <c r="H26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P25" i="11"/>
  <c r="H25" i="11"/>
  <c r="AG24" i="11"/>
  <c r="AF24" i="11"/>
  <c r="AE24" i="11"/>
  <c r="AD24" i="11"/>
  <c r="AC24" i="11"/>
  <c r="AB24" i="11"/>
  <c r="R24" i="11"/>
  <c r="Q24" i="11"/>
  <c r="P24" i="11"/>
  <c r="N24" i="11"/>
  <c r="J24" i="11"/>
  <c r="I24" i="11"/>
  <c r="H24" i="11"/>
  <c r="E24" i="11"/>
  <c r="AG23" i="11"/>
  <c r="R23" i="11"/>
  <c r="Q23" i="11"/>
  <c r="P23" i="11"/>
  <c r="N23" i="11"/>
  <c r="J23" i="11"/>
  <c r="I23" i="11"/>
  <c r="H23" i="11"/>
  <c r="AG22" i="11"/>
  <c r="R22" i="11"/>
  <c r="Q22" i="11"/>
  <c r="P22" i="11"/>
  <c r="N22" i="11"/>
  <c r="J22" i="11"/>
  <c r="I22" i="11"/>
  <c r="H22" i="11"/>
  <c r="E22" i="11"/>
  <c r="AG21" i="11"/>
  <c r="R21" i="11"/>
  <c r="Q21" i="11"/>
  <c r="P21" i="11"/>
  <c r="N21" i="11"/>
  <c r="J21" i="11"/>
  <c r="I21" i="11"/>
  <c r="H21" i="11"/>
  <c r="E21" i="11"/>
  <c r="AG20" i="11"/>
  <c r="R20" i="11"/>
  <c r="Q20" i="11"/>
  <c r="P20" i="11"/>
  <c r="N20" i="11"/>
  <c r="J20" i="11"/>
  <c r="I20" i="11"/>
  <c r="H20" i="11"/>
  <c r="E20" i="11"/>
  <c r="AG19" i="11"/>
  <c r="R19" i="11"/>
  <c r="Q19" i="11"/>
  <c r="P19" i="11"/>
  <c r="N19" i="11"/>
  <c r="J19" i="11"/>
  <c r="I19" i="11"/>
  <c r="H19" i="11"/>
  <c r="E19" i="11"/>
  <c r="AG18" i="11"/>
  <c r="R18" i="11"/>
  <c r="Q18" i="11"/>
  <c r="P18" i="11"/>
  <c r="N18" i="11"/>
  <c r="J18" i="11"/>
  <c r="I18" i="11"/>
  <c r="H18" i="11"/>
  <c r="AG17" i="11"/>
  <c r="R17" i="11"/>
  <c r="Q17" i="11"/>
  <c r="P17" i="11"/>
  <c r="N17" i="11"/>
  <c r="J17" i="11"/>
  <c r="I17" i="11"/>
  <c r="H17" i="11"/>
  <c r="AG16" i="11"/>
  <c r="R16" i="11"/>
  <c r="Q16" i="11"/>
  <c r="P16" i="11"/>
  <c r="N16" i="11"/>
  <c r="J16" i="11"/>
  <c r="I16" i="11"/>
  <c r="H16" i="11"/>
  <c r="AG15" i="11"/>
  <c r="R15" i="11"/>
  <c r="Q15" i="11"/>
  <c r="P15" i="11"/>
  <c r="N15" i="11"/>
  <c r="J15" i="11"/>
  <c r="I15" i="11"/>
  <c r="H15" i="11"/>
  <c r="AG14" i="11"/>
  <c r="P14" i="11"/>
  <c r="H14" i="11"/>
  <c r="AG13" i="11"/>
  <c r="R13" i="11"/>
  <c r="Q13" i="11"/>
  <c r="P13" i="11"/>
  <c r="N13" i="11"/>
  <c r="J13" i="11"/>
  <c r="I13" i="11"/>
  <c r="H13" i="11"/>
  <c r="AG12" i="11"/>
  <c r="R12" i="11"/>
  <c r="Q12" i="11"/>
  <c r="P12" i="11"/>
  <c r="N12" i="11"/>
  <c r="J12" i="11"/>
  <c r="I12" i="11"/>
  <c r="H12" i="11"/>
  <c r="R11" i="11"/>
  <c r="Q11" i="11"/>
  <c r="P11" i="11"/>
  <c r="N11" i="11"/>
  <c r="J11" i="11"/>
  <c r="I11" i="11"/>
  <c r="H11" i="11"/>
  <c r="Q10" i="11"/>
  <c r="P10" i="11"/>
  <c r="N10" i="11"/>
  <c r="J10" i="11"/>
  <c r="I10" i="11"/>
  <c r="H10" i="11"/>
  <c r="R9" i="11"/>
  <c r="Q9" i="11"/>
  <c r="P9" i="11"/>
  <c r="N9" i="11"/>
  <c r="J9" i="11"/>
  <c r="I9" i="11"/>
  <c r="H9" i="11"/>
  <c r="R8" i="11"/>
  <c r="Q8" i="11"/>
  <c r="P8" i="11"/>
  <c r="N8" i="11"/>
  <c r="J8" i="11"/>
  <c r="I8" i="11"/>
  <c r="H8" i="11"/>
  <c r="R7" i="11"/>
  <c r="Q7" i="11"/>
  <c r="P7" i="11"/>
  <c r="N7" i="11"/>
  <c r="J7" i="11"/>
  <c r="I7" i="11"/>
  <c r="H7" i="11"/>
  <c r="R6" i="11"/>
  <c r="Q6" i="11"/>
  <c r="P6" i="11"/>
  <c r="N6" i="11"/>
  <c r="J6" i="11"/>
  <c r="I6" i="11"/>
  <c r="H6" i="11"/>
  <c r="R5" i="11"/>
  <c r="Q5" i="11"/>
  <c r="P5" i="11"/>
  <c r="N5" i="11"/>
  <c r="J5" i="11"/>
  <c r="I5" i="11"/>
  <c r="H5" i="11"/>
  <c r="R4" i="11"/>
  <c r="Q4" i="11"/>
  <c r="P4" i="11"/>
  <c r="N4" i="11"/>
  <c r="J4" i="11"/>
  <c r="I4" i="11"/>
  <c r="H4" i="11"/>
  <c r="R3" i="11"/>
  <c r="Q3" i="11"/>
  <c r="P3" i="11"/>
  <c r="N3" i="11"/>
  <c r="J3" i="11"/>
  <c r="I3" i="11"/>
  <c r="H3" i="11"/>
  <c r="E57" i="10"/>
  <c r="R56" i="10"/>
  <c r="Q56" i="10"/>
  <c r="P56" i="10"/>
  <c r="N56" i="10"/>
  <c r="J56" i="10"/>
  <c r="I56" i="10"/>
  <c r="H56" i="10"/>
  <c r="E56" i="10"/>
  <c r="R55" i="10"/>
  <c r="Q55" i="10"/>
  <c r="P55" i="10"/>
  <c r="N55" i="10"/>
  <c r="J55" i="10"/>
  <c r="I55" i="10"/>
  <c r="H55" i="10"/>
  <c r="E55" i="10"/>
  <c r="R54" i="10"/>
  <c r="Q54" i="10"/>
  <c r="P54" i="10"/>
  <c r="N54" i="10"/>
  <c r="J54" i="10"/>
  <c r="I54" i="10"/>
  <c r="H54" i="10"/>
  <c r="R53" i="10"/>
  <c r="Q53" i="10"/>
  <c r="P53" i="10"/>
  <c r="N53" i="10"/>
  <c r="J53" i="10"/>
  <c r="I53" i="10"/>
  <c r="H53" i="10"/>
  <c r="E53" i="10"/>
  <c r="R52" i="10"/>
  <c r="Q52" i="10"/>
  <c r="P52" i="10"/>
  <c r="N52" i="10"/>
  <c r="J52" i="10"/>
  <c r="I52" i="10"/>
  <c r="H52" i="10"/>
  <c r="R51" i="10"/>
  <c r="Q51" i="10"/>
  <c r="P51" i="10"/>
  <c r="N51" i="10"/>
  <c r="J51" i="10"/>
  <c r="I51" i="10"/>
  <c r="H51" i="10"/>
  <c r="E51" i="10"/>
  <c r="R50" i="10"/>
  <c r="Q50" i="10"/>
  <c r="P50" i="10"/>
  <c r="N50" i="10"/>
  <c r="J50" i="10"/>
  <c r="I50" i="10"/>
  <c r="H50" i="10"/>
  <c r="E50" i="10"/>
  <c r="R49" i="10"/>
  <c r="Q49" i="10"/>
  <c r="P49" i="10"/>
  <c r="N49" i="10"/>
  <c r="J49" i="10"/>
  <c r="I49" i="10"/>
  <c r="H49" i="10"/>
  <c r="E49" i="10"/>
  <c r="R48" i="10"/>
  <c r="Q48" i="10"/>
  <c r="P48" i="10"/>
  <c r="N48" i="10"/>
  <c r="J48" i="10"/>
  <c r="I48" i="10"/>
  <c r="H48" i="10"/>
  <c r="R47" i="10"/>
  <c r="Q47" i="10"/>
  <c r="P47" i="10"/>
  <c r="N47" i="10"/>
  <c r="J47" i="10"/>
  <c r="I47" i="10"/>
  <c r="H47" i="10"/>
  <c r="AG46" i="10"/>
  <c r="AF46" i="10"/>
  <c r="AE46" i="10"/>
  <c r="AD46" i="10"/>
  <c r="AC46" i="10"/>
  <c r="AB46" i="10"/>
  <c r="R46" i="10"/>
  <c r="Q46" i="10"/>
  <c r="P46" i="10"/>
  <c r="N46" i="10"/>
  <c r="J46" i="10"/>
  <c r="I46" i="10"/>
  <c r="H46" i="10"/>
  <c r="AG45" i="10"/>
  <c r="AF45" i="10"/>
  <c r="AE45" i="10"/>
  <c r="AD45" i="10"/>
  <c r="AC45" i="10"/>
  <c r="AB45" i="10"/>
  <c r="R45" i="10"/>
  <c r="Q45" i="10"/>
  <c r="P45" i="10"/>
  <c r="N45" i="10"/>
  <c r="J45" i="10"/>
  <c r="I45" i="10"/>
  <c r="H45" i="10"/>
  <c r="AI44" i="10"/>
  <c r="AG44" i="10"/>
  <c r="AF44" i="10"/>
  <c r="AE44" i="10"/>
  <c r="AD44" i="10"/>
  <c r="AC44" i="10"/>
  <c r="AB44" i="10"/>
  <c r="R44" i="10"/>
  <c r="Q44" i="10"/>
  <c r="P44" i="10"/>
  <c r="N44" i="10"/>
  <c r="J44" i="10"/>
  <c r="I44" i="10"/>
  <c r="H44" i="10"/>
  <c r="AI43" i="10"/>
  <c r="AG43" i="10"/>
  <c r="AD43" i="10"/>
  <c r="AC43" i="10"/>
  <c r="R43" i="10"/>
  <c r="Q43" i="10"/>
  <c r="P43" i="10"/>
  <c r="N43" i="10"/>
  <c r="J43" i="10"/>
  <c r="I43" i="10"/>
  <c r="H43" i="10"/>
  <c r="AI42" i="10"/>
  <c r="AG42" i="10"/>
  <c r="AE42" i="10"/>
  <c r="AD42" i="10"/>
  <c r="AC42" i="10"/>
  <c r="R42" i="10"/>
  <c r="Q42" i="10"/>
  <c r="P42" i="10"/>
  <c r="N42" i="10"/>
  <c r="J42" i="10"/>
  <c r="I42" i="10"/>
  <c r="H42" i="10"/>
  <c r="E42" i="10"/>
  <c r="AG41" i="10"/>
  <c r="AE41" i="10"/>
  <c r="AD41" i="10"/>
  <c r="R41" i="10"/>
  <c r="Q41" i="10"/>
  <c r="P41" i="10"/>
  <c r="N41" i="10"/>
  <c r="J41" i="10"/>
  <c r="I41" i="10"/>
  <c r="H41" i="10"/>
  <c r="E41" i="10"/>
  <c r="AG40" i="10"/>
  <c r="AD40" i="10"/>
  <c r="AC40" i="10"/>
  <c r="R40" i="10"/>
  <c r="Q40" i="10"/>
  <c r="P40" i="10"/>
  <c r="N40" i="10"/>
  <c r="J40" i="10"/>
  <c r="I40" i="10"/>
  <c r="H40" i="10"/>
  <c r="AO39" i="10"/>
  <c r="AN39" i="10"/>
  <c r="AM39" i="10"/>
  <c r="AL39" i="10"/>
  <c r="AK39" i="10"/>
  <c r="AJ39" i="10"/>
  <c r="AG39" i="10"/>
  <c r="AE39" i="10"/>
  <c r="AD39" i="10"/>
  <c r="AC39" i="10"/>
  <c r="R39" i="10"/>
  <c r="Q39" i="10"/>
  <c r="P39" i="10"/>
  <c r="N39" i="10"/>
  <c r="J39" i="10"/>
  <c r="I39" i="10"/>
  <c r="H39" i="10"/>
  <c r="AO38" i="10"/>
  <c r="AN38" i="10"/>
  <c r="AM38" i="10"/>
  <c r="AL38" i="10"/>
  <c r="AK38" i="10"/>
  <c r="AJ38" i="10"/>
  <c r="AG38" i="10"/>
  <c r="AF38" i="10"/>
  <c r="AE38" i="10"/>
  <c r="AD38" i="10"/>
  <c r="R38" i="10"/>
  <c r="Q38" i="10"/>
  <c r="P38" i="10"/>
  <c r="N38" i="10"/>
  <c r="J38" i="10"/>
  <c r="I38" i="10"/>
  <c r="H38" i="10"/>
  <c r="AO37" i="10"/>
  <c r="AN37" i="10"/>
  <c r="AM37" i="10"/>
  <c r="AL37" i="10"/>
  <c r="AK37" i="10"/>
  <c r="AJ37" i="10"/>
  <c r="AG37" i="10"/>
  <c r="AE37" i="10"/>
  <c r="AD37" i="10"/>
  <c r="AC37" i="10"/>
  <c r="R37" i="10"/>
  <c r="Q37" i="10"/>
  <c r="P37" i="10"/>
  <c r="N37" i="10"/>
  <c r="J37" i="10"/>
  <c r="I37" i="10"/>
  <c r="H37" i="10"/>
  <c r="AO36" i="10"/>
  <c r="AN36" i="10"/>
  <c r="AM36" i="10"/>
  <c r="AL36" i="10"/>
  <c r="AK36" i="10"/>
  <c r="AJ36" i="10"/>
  <c r="AG36" i="10"/>
  <c r="AE36" i="10"/>
  <c r="AD36" i="10"/>
  <c r="R36" i="10"/>
  <c r="Q36" i="10"/>
  <c r="P36" i="10"/>
  <c r="N36" i="10"/>
  <c r="J36" i="10"/>
  <c r="I36" i="10"/>
  <c r="H36" i="10"/>
  <c r="E36" i="10"/>
  <c r="AO35" i="10"/>
  <c r="AN35" i="10"/>
  <c r="AM35" i="10"/>
  <c r="AL35" i="10"/>
  <c r="AK35" i="10"/>
  <c r="AJ35" i="10"/>
  <c r="AG35" i="10"/>
  <c r="AE35" i="10"/>
  <c r="AD35" i="10"/>
  <c r="AC35" i="10"/>
  <c r="R35" i="10"/>
  <c r="Q35" i="10"/>
  <c r="P35" i="10"/>
  <c r="N35" i="10"/>
  <c r="J35" i="10"/>
  <c r="I35" i="10"/>
  <c r="H35" i="10"/>
  <c r="AO34" i="10"/>
  <c r="AN34" i="10"/>
  <c r="AM34" i="10"/>
  <c r="AL34" i="10"/>
  <c r="AK34" i="10"/>
  <c r="AJ34" i="10"/>
  <c r="AG34" i="10"/>
  <c r="AF34" i="10"/>
  <c r="AD34" i="10"/>
  <c r="R34" i="10"/>
  <c r="Q34" i="10"/>
  <c r="P34" i="10"/>
  <c r="N34" i="10"/>
  <c r="J34" i="10"/>
  <c r="I34" i="10"/>
  <c r="H34" i="10"/>
  <c r="E34" i="10"/>
  <c r="AO33" i="10"/>
  <c r="AN33" i="10"/>
  <c r="AM33" i="10"/>
  <c r="AL33" i="10"/>
  <c r="AK33" i="10"/>
  <c r="AJ33" i="10"/>
  <c r="AG33" i="10"/>
  <c r="AF33" i="10"/>
  <c r="AD33" i="10"/>
  <c r="AC33" i="10"/>
  <c r="W33" i="10"/>
  <c r="R33" i="10"/>
  <c r="Q33" i="10"/>
  <c r="P33" i="10"/>
  <c r="N33" i="10"/>
  <c r="J33" i="10"/>
  <c r="I33" i="10"/>
  <c r="H33" i="10"/>
  <c r="E33" i="10"/>
  <c r="AO32" i="10"/>
  <c r="AN32" i="10"/>
  <c r="AM32" i="10"/>
  <c r="AL32" i="10"/>
  <c r="AK32" i="10"/>
  <c r="AJ32" i="10"/>
  <c r="AG32" i="10"/>
  <c r="AE32" i="10"/>
  <c r="AD32" i="10"/>
  <c r="AC32" i="10"/>
  <c r="W32" i="10"/>
  <c r="R32" i="10"/>
  <c r="Q32" i="10"/>
  <c r="P32" i="10"/>
  <c r="N32" i="10"/>
  <c r="J32" i="10"/>
  <c r="I32" i="10"/>
  <c r="H32" i="10"/>
  <c r="AO31" i="10"/>
  <c r="AN31" i="10"/>
  <c r="AM31" i="10"/>
  <c r="AL31" i="10"/>
  <c r="AK31" i="10"/>
  <c r="AJ31" i="10"/>
  <c r="R31" i="10"/>
  <c r="Q31" i="10"/>
  <c r="P31" i="10"/>
  <c r="N31" i="10"/>
  <c r="J31" i="10"/>
  <c r="I31" i="10"/>
  <c r="H31" i="10"/>
  <c r="E31" i="10"/>
  <c r="AO30" i="10"/>
  <c r="AN30" i="10"/>
  <c r="AM30" i="10"/>
  <c r="AL30" i="10"/>
  <c r="AK30" i="10"/>
  <c r="AJ30" i="10"/>
  <c r="R30" i="10"/>
  <c r="Q30" i="10"/>
  <c r="P30" i="10"/>
  <c r="N30" i="10"/>
  <c r="J30" i="10"/>
  <c r="I30" i="10"/>
  <c r="H30" i="10"/>
  <c r="E30" i="10"/>
  <c r="AO29" i="10"/>
  <c r="AN29" i="10"/>
  <c r="AM29" i="10"/>
  <c r="AL29" i="10"/>
  <c r="AK29" i="10"/>
  <c r="AJ29" i="10"/>
  <c r="R29" i="10"/>
  <c r="Q29" i="10"/>
  <c r="P29" i="10"/>
  <c r="N29" i="10"/>
  <c r="J29" i="10"/>
  <c r="I29" i="10"/>
  <c r="H29" i="10"/>
  <c r="E29" i="10"/>
  <c r="AO28" i="10"/>
  <c r="AN28" i="10"/>
  <c r="AM28" i="10"/>
  <c r="AL28" i="10"/>
  <c r="AK28" i="10"/>
  <c r="AJ28" i="10"/>
  <c r="X28" i="10"/>
  <c r="R28" i="10"/>
  <c r="Q28" i="10"/>
  <c r="P28" i="10"/>
  <c r="N28" i="10"/>
  <c r="J28" i="10"/>
  <c r="I28" i="10"/>
  <c r="H28" i="10"/>
  <c r="E28" i="10"/>
  <c r="AO27" i="10"/>
  <c r="AN27" i="10"/>
  <c r="AM27" i="10"/>
  <c r="AL27" i="10"/>
  <c r="AK27" i="10"/>
  <c r="AJ27" i="10"/>
  <c r="X27" i="10"/>
  <c r="R27" i="10"/>
  <c r="Q27" i="10"/>
  <c r="P27" i="10"/>
  <c r="N27" i="10"/>
  <c r="J27" i="10"/>
  <c r="I27" i="10"/>
  <c r="H27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R26" i="10"/>
  <c r="Q26" i="10"/>
  <c r="P26" i="10"/>
  <c r="N26" i="10"/>
  <c r="J26" i="10"/>
  <c r="I26" i="10"/>
  <c r="H26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P25" i="10"/>
  <c r="H25" i="10"/>
  <c r="AG24" i="10"/>
  <c r="AF24" i="10"/>
  <c r="AE24" i="10"/>
  <c r="AD24" i="10"/>
  <c r="AC24" i="10"/>
  <c r="AB24" i="10"/>
  <c r="R24" i="10"/>
  <c r="Q24" i="10"/>
  <c r="P24" i="10"/>
  <c r="N24" i="10"/>
  <c r="J24" i="10"/>
  <c r="I24" i="10"/>
  <c r="H24" i="10"/>
  <c r="E24" i="10"/>
  <c r="AG23" i="10"/>
  <c r="R23" i="10"/>
  <c r="Q23" i="10"/>
  <c r="P23" i="10"/>
  <c r="N23" i="10"/>
  <c r="J23" i="10"/>
  <c r="I23" i="10"/>
  <c r="H23" i="10"/>
  <c r="AG22" i="10"/>
  <c r="R22" i="10"/>
  <c r="Q22" i="10"/>
  <c r="P22" i="10"/>
  <c r="N22" i="10"/>
  <c r="J22" i="10"/>
  <c r="I22" i="10"/>
  <c r="H22" i="10"/>
  <c r="E22" i="10"/>
  <c r="AG21" i="10"/>
  <c r="R21" i="10"/>
  <c r="Q21" i="10"/>
  <c r="P21" i="10"/>
  <c r="N21" i="10"/>
  <c r="J21" i="10"/>
  <c r="I21" i="10"/>
  <c r="H21" i="10"/>
  <c r="E21" i="10"/>
  <c r="AG20" i="10"/>
  <c r="R20" i="10"/>
  <c r="Q20" i="10"/>
  <c r="P20" i="10"/>
  <c r="N20" i="10"/>
  <c r="J20" i="10"/>
  <c r="I20" i="10"/>
  <c r="H20" i="10"/>
  <c r="E20" i="10"/>
  <c r="AG19" i="10"/>
  <c r="R19" i="10"/>
  <c r="Q19" i="10"/>
  <c r="P19" i="10"/>
  <c r="N19" i="10"/>
  <c r="J19" i="10"/>
  <c r="I19" i="10"/>
  <c r="H19" i="10"/>
  <c r="E19" i="10"/>
  <c r="AG18" i="10"/>
  <c r="R18" i="10"/>
  <c r="Q18" i="10"/>
  <c r="P18" i="10"/>
  <c r="N18" i="10"/>
  <c r="J18" i="10"/>
  <c r="I18" i="10"/>
  <c r="H18" i="10"/>
  <c r="AG17" i="10"/>
  <c r="R17" i="10"/>
  <c r="Q17" i="10"/>
  <c r="P17" i="10"/>
  <c r="N17" i="10"/>
  <c r="J17" i="10"/>
  <c r="I17" i="10"/>
  <c r="H17" i="10"/>
  <c r="AG16" i="10"/>
  <c r="R16" i="10"/>
  <c r="Q16" i="10"/>
  <c r="P16" i="10"/>
  <c r="N16" i="10"/>
  <c r="J16" i="10"/>
  <c r="I16" i="10"/>
  <c r="H16" i="10"/>
  <c r="AG15" i="10"/>
  <c r="R15" i="10"/>
  <c r="Q15" i="10"/>
  <c r="P15" i="10"/>
  <c r="N15" i="10"/>
  <c r="J15" i="10"/>
  <c r="I15" i="10"/>
  <c r="H15" i="10"/>
  <c r="AG14" i="10"/>
  <c r="P14" i="10"/>
  <c r="H14" i="10"/>
  <c r="AG13" i="10"/>
  <c r="R13" i="10"/>
  <c r="Q13" i="10"/>
  <c r="P13" i="10"/>
  <c r="N13" i="10"/>
  <c r="J13" i="10"/>
  <c r="I13" i="10"/>
  <c r="H13" i="10"/>
  <c r="AG12" i="10"/>
  <c r="R12" i="10"/>
  <c r="Q12" i="10"/>
  <c r="P12" i="10"/>
  <c r="N12" i="10"/>
  <c r="J12" i="10"/>
  <c r="I12" i="10"/>
  <c r="H12" i="10"/>
  <c r="R11" i="10"/>
  <c r="Q11" i="10"/>
  <c r="P11" i="10"/>
  <c r="N11" i="10"/>
  <c r="J11" i="10"/>
  <c r="I11" i="10"/>
  <c r="H11" i="10"/>
  <c r="Q10" i="10"/>
  <c r="P10" i="10"/>
  <c r="N10" i="10"/>
  <c r="J10" i="10"/>
  <c r="I10" i="10"/>
  <c r="H10" i="10"/>
  <c r="R9" i="10"/>
  <c r="Q9" i="10"/>
  <c r="P9" i="10"/>
  <c r="N9" i="10"/>
  <c r="J9" i="10"/>
  <c r="I9" i="10"/>
  <c r="H9" i="10"/>
  <c r="R8" i="10"/>
  <c r="Q8" i="10"/>
  <c r="P8" i="10"/>
  <c r="N8" i="10"/>
  <c r="J8" i="10"/>
  <c r="I8" i="10"/>
  <c r="H8" i="10"/>
  <c r="R7" i="10"/>
  <c r="Q7" i="10"/>
  <c r="P7" i="10"/>
  <c r="N7" i="10"/>
  <c r="J7" i="10"/>
  <c r="I7" i="10"/>
  <c r="H7" i="10"/>
  <c r="R6" i="10"/>
  <c r="Q6" i="10"/>
  <c r="P6" i="10"/>
  <c r="N6" i="10"/>
  <c r="J6" i="10"/>
  <c r="I6" i="10"/>
  <c r="H6" i="10"/>
  <c r="R5" i="10"/>
  <c r="Q5" i="10"/>
  <c r="P5" i="10"/>
  <c r="N5" i="10"/>
  <c r="J5" i="10"/>
  <c r="I5" i="10"/>
  <c r="H5" i="10"/>
  <c r="R4" i="10"/>
  <c r="Q4" i="10"/>
  <c r="P4" i="10"/>
  <c r="N4" i="10"/>
  <c r="J4" i="10"/>
  <c r="I4" i="10"/>
  <c r="H4" i="10"/>
  <c r="R3" i="10"/>
  <c r="Q3" i="10"/>
  <c r="P3" i="10"/>
  <c r="N3" i="10"/>
  <c r="J3" i="10"/>
  <c r="I3" i="10"/>
  <c r="H3" i="10"/>
  <c r="AD63" i="9"/>
  <c r="AC63" i="9"/>
  <c r="AB63" i="9"/>
  <c r="AA63" i="9"/>
  <c r="Z63" i="9"/>
  <c r="Y63" i="9"/>
  <c r="AD62" i="9"/>
  <c r="AC62" i="9"/>
  <c r="AB62" i="9"/>
  <c r="AA62" i="9"/>
  <c r="Z62" i="9"/>
  <c r="Y62" i="9"/>
  <c r="AD61" i="9"/>
  <c r="AC61" i="9"/>
  <c r="AB61" i="9"/>
  <c r="AA61" i="9"/>
  <c r="Z61" i="9"/>
  <c r="Y61" i="9"/>
  <c r="AD60" i="9"/>
  <c r="AA60" i="9"/>
  <c r="Z60" i="9"/>
  <c r="AD59" i="9"/>
  <c r="AB59" i="9"/>
  <c r="AA59" i="9"/>
  <c r="Z59" i="9"/>
  <c r="AD58" i="9"/>
  <c r="AB58" i="9"/>
  <c r="AA58" i="9"/>
  <c r="AD57" i="9"/>
  <c r="AA57" i="9"/>
  <c r="Z57" i="9"/>
  <c r="AL56" i="9"/>
  <c r="AK56" i="9"/>
  <c r="AJ56" i="9"/>
  <c r="AI56" i="9"/>
  <c r="AH56" i="9"/>
  <c r="AG56" i="9"/>
  <c r="AD56" i="9"/>
  <c r="AB56" i="9"/>
  <c r="AA56" i="9"/>
  <c r="Z56" i="9"/>
  <c r="U56" i="9"/>
  <c r="T56" i="9"/>
  <c r="S56" i="9"/>
  <c r="R56" i="9"/>
  <c r="P56" i="9"/>
  <c r="O56" i="9"/>
  <c r="L56" i="9"/>
  <c r="K56" i="9"/>
  <c r="J56" i="9"/>
  <c r="I56" i="9"/>
  <c r="H56" i="9"/>
  <c r="E56" i="9"/>
  <c r="AL55" i="9"/>
  <c r="AK55" i="9"/>
  <c r="AJ55" i="9"/>
  <c r="AI55" i="9"/>
  <c r="AH55" i="9"/>
  <c r="AG55" i="9"/>
  <c r="AD55" i="9"/>
  <c r="AC55" i="9"/>
  <c r="AB55" i="9"/>
  <c r="AA55" i="9"/>
  <c r="U55" i="9"/>
  <c r="T55" i="9"/>
  <c r="S55" i="9"/>
  <c r="R55" i="9"/>
  <c r="P55" i="9"/>
  <c r="O55" i="9"/>
  <c r="L55" i="9"/>
  <c r="K55" i="9"/>
  <c r="J55" i="9"/>
  <c r="I55" i="9"/>
  <c r="H55" i="9"/>
  <c r="E55" i="9"/>
  <c r="AL54" i="9"/>
  <c r="AK54" i="9"/>
  <c r="AJ54" i="9"/>
  <c r="AI54" i="9"/>
  <c r="AH54" i="9"/>
  <c r="AG54" i="9"/>
  <c r="AD54" i="9"/>
  <c r="AB54" i="9"/>
  <c r="AA54" i="9"/>
  <c r="Z54" i="9"/>
  <c r="U54" i="9"/>
  <c r="T54" i="9"/>
  <c r="S54" i="9"/>
  <c r="R54" i="9"/>
  <c r="P54" i="9"/>
  <c r="O54" i="9"/>
  <c r="L54" i="9"/>
  <c r="K54" i="9"/>
  <c r="J54" i="9"/>
  <c r="I54" i="9"/>
  <c r="H54" i="9"/>
  <c r="E54" i="9"/>
  <c r="AL53" i="9"/>
  <c r="AK53" i="9"/>
  <c r="AJ53" i="9"/>
  <c r="AI53" i="9"/>
  <c r="AH53" i="9"/>
  <c r="AG53" i="9"/>
  <c r="AD53" i="9"/>
  <c r="AB53" i="9"/>
  <c r="AA53" i="9"/>
  <c r="U53" i="9"/>
  <c r="T53" i="9"/>
  <c r="S53" i="9"/>
  <c r="R53" i="9"/>
  <c r="P53" i="9"/>
  <c r="O53" i="9"/>
  <c r="L53" i="9"/>
  <c r="K53" i="9"/>
  <c r="J53" i="9"/>
  <c r="I53" i="9"/>
  <c r="H53" i="9"/>
  <c r="E53" i="9"/>
  <c r="AL52" i="9"/>
  <c r="AK52" i="9"/>
  <c r="AJ52" i="9"/>
  <c r="AI52" i="9"/>
  <c r="AH52" i="9"/>
  <c r="AG52" i="9"/>
  <c r="AD52" i="9"/>
  <c r="AB52" i="9"/>
  <c r="AA52" i="9"/>
  <c r="Z52" i="9"/>
  <c r="U52" i="9"/>
  <c r="T52" i="9"/>
  <c r="S52" i="9"/>
  <c r="R52" i="9"/>
  <c r="P52" i="9"/>
  <c r="O52" i="9"/>
  <c r="L52" i="9"/>
  <c r="K52" i="9"/>
  <c r="J52" i="9"/>
  <c r="I52" i="9"/>
  <c r="H52" i="9"/>
  <c r="E52" i="9"/>
  <c r="AL51" i="9"/>
  <c r="AK51" i="9"/>
  <c r="AJ51" i="9"/>
  <c r="AI51" i="9"/>
  <c r="AH51" i="9"/>
  <c r="AG51" i="9"/>
  <c r="AD51" i="9"/>
  <c r="AC51" i="9"/>
  <c r="AA51" i="9"/>
  <c r="U51" i="9"/>
  <c r="T51" i="9"/>
  <c r="S51" i="9"/>
  <c r="R51" i="9"/>
  <c r="P51" i="9"/>
  <c r="O51" i="9"/>
  <c r="L51" i="9"/>
  <c r="K51" i="9"/>
  <c r="J51" i="9"/>
  <c r="I51" i="9"/>
  <c r="H51" i="9"/>
  <c r="E51" i="9"/>
  <c r="AL50" i="9"/>
  <c r="AK50" i="9"/>
  <c r="AJ50" i="9"/>
  <c r="AI50" i="9"/>
  <c r="AH50" i="9"/>
  <c r="AG50" i="9"/>
  <c r="AD50" i="9"/>
  <c r="AC50" i="9"/>
  <c r="AA50" i="9"/>
  <c r="Z50" i="9"/>
  <c r="U50" i="9"/>
  <c r="T50" i="9"/>
  <c r="S50" i="9"/>
  <c r="R50" i="9"/>
  <c r="P50" i="9"/>
  <c r="O50" i="9"/>
  <c r="L50" i="9"/>
  <c r="K50" i="9"/>
  <c r="J50" i="9"/>
  <c r="I50" i="9"/>
  <c r="H50" i="9"/>
  <c r="E50" i="9"/>
  <c r="AL49" i="9"/>
  <c r="AK49" i="9"/>
  <c r="AJ49" i="9"/>
  <c r="AI49" i="9"/>
  <c r="AH49" i="9"/>
  <c r="AG49" i="9"/>
  <c r="AD49" i="9"/>
  <c r="AB49" i="9"/>
  <c r="AA49" i="9"/>
  <c r="Z49" i="9"/>
  <c r="U49" i="9"/>
  <c r="T49" i="9"/>
  <c r="S49" i="9"/>
  <c r="R49" i="9"/>
  <c r="P49" i="9"/>
  <c r="O49" i="9"/>
  <c r="L49" i="9"/>
  <c r="K49" i="9"/>
  <c r="J49" i="9"/>
  <c r="I49" i="9"/>
  <c r="H49" i="9"/>
  <c r="E49" i="9"/>
  <c r="AL48" i="9"/>
  <c r="AK48" i="9"/>
  <c r="AJ48" i="9"/>
  <c r="AI48" i="9"/>
  <c r="AH48" i="9"/>
  <c r="AG48" i="9"/>
  <c r="U48" i="9"/>
  <c r="T48" i="9"/>
  <c r="S48" i="9"/>
  <c r="R48" i="9"/>
  <c r="P48" i="9"/>
  <c r="O48" i="9"/>
  <c r="L48" i="9"/>
  <c r="K48" i="9"/>
  <c r="J48" i="9"/>
  <c r="I48" i="9"/>
  <c r="H48" i="9"/>
  <c r="E48" i="9"/>
  <c r="AL47" i="9"/>
  <c r="AK47" i="9"/>
  <c r="AJ47" i="9"/>
  <c r="AI47" i="9"/>
  <c r="AH47" i="9"/>
  <c r="AG47" i="9"/>
  <c r="U47" i="9"/>
  <c r="T47" i="9"/>
  <c r="S47" i="9"/>
  <c r="R47" i="9"/>
  <c r="P47" i="9"/>
  <c r="O47" i="9"/>
  <c r="L47" i="9"/>
  <c r="K47" i="9"/>
  <c r="J47" i="9"/>
  <c r="I47" i="9"/>
  <c r="H47" i="9"/>
  <c r="E47" i="9"/>
  <c r="AL46" i="9"/>
  <c r="AK46" i="9"/>
  <c r="AJ46" i="9"/>
  <c r="AI46" i="9"/>
  <c r="AH46" i="9"/>
  <c r="AG46" i="9"/>
  <c r="U46" i="9"/>
  <c r="T46" i="9"/>
  <c r="S46" i="9"/>
  <c r="R46" i="9"/>
  <c r="P46" i="9"/>
  <c r="O46" i="9"/>
  <c r="L46" i="9"/>
  <c r="K46" i="9"/>
  <c r="J46" i="9"/>
  <c r="I46" i="9"/>
  <c r="H46" i="9"/>
  <c r="E46" i="9"/>
  <c r="AL45" i="9"/>
  <c r="AK45" i="9"/>
  <c r="AJ45" i="9"/>
  <c r="AI45" i="9"/>
  <c r="AH45" i="9"/>
  <c r="AG45" i="9"/>
  <c r="U45" i="9"/>
  <c r="T45" i="9"/>
  <c r="S45" i="9"/>
  <c r="R45" i="9"/>
  <c r="P45" i="9"/>
  <c r="O45" i="9"/>
  <c r="L45" i="9"/>
  <c r="K45" i="9"/>
  <c r="J45" i="9"/>
  <c r="I45" i="9"/>
  <c r="H45" i="9"/>
  <c r="E45" i="9"/>
  <c r="AL44" i="9"/>
  <c r="AK44" i="9"/>
  <c r="AJ44" i="9"/>
  <c r="AI44" i="9"/>
  <c r="AH44" i="9"/>
  <c r="AG44" i="9"/>
  <c r="U44" i="9"/>
  <c r="T44" i="9"/>
  <c r="S44" i="9"/>
  <c r="R44" i="9"/>
  <c r="P44" i="9"/>
  <c r="O44" i="9"/>
  <c r="L44" i="9"/>
  <c r="K44" i="9"/>
  <c r="J44" i="9"/>
  <c r="I44" i="9"/>
  <c r="H44" i="9"/>
  <c r="E44" i="9"/>
  <c r="AL43" i="9"/>
  <c r="AK43" i="9"/>
  <c r="AJ43" i="9"/>
  <c r="AI43" i="9"/>
  <c r="AH43" i="9"/>
  <c r="AG43" i="9"/>
  <c r="AD43" i="9"/>
  <c r="AC43" i="9"/>
  <c r="AB43" i="9"/>
  <c r="AA43" i="9"/>
  <c r="Z43" i="9"/>
  <c r="Y43" i="9"/>
  <c r="U43" i="9"/>
  <c r="T43" i="9"/>
  <c r="S43" i="9"/>
  <c r="R43" i="9"/>
  <c r="P43" i="9"/>
  <c r="O43" i="9"/>
  <c r="L43" i="9"/>
  <c r="K43" i="9"/>
  <c r="J43" i="9"/>
  <c r="I43" i="9"/>
  <c r="H43" i="9"/>
  <c r="E43" i="9"/>
  <c r="AL42" i="9"/>
  <c r="AK42" i="9"/>
  <c r="AJ42" i="9"/>
  <c r="AI42" i="9"/>
  <c r="AH42" i="9"/>
  <c r="AG42" i="9"/>
  <c r="AD42" i="9"/>
  <c r="AC42" i="9"/>
  <c r="AB42" i="9"/>
  <c r="AA42" i="9"/>
  <c r="Z42" i="9"/>
  <c r="Y42" i="9"/>
  <c r="U42" i="9"/>
  <c r="T42" i="9"/>
  <c r="S42" i="9"/>
  <c r="R42" i="9"/>
  <c r="P42" i="9"/>
  <c r="O42" i="9"/>
  <c r="L42" i="9"/>
  <c r="K42" i="9"/>
  <c r="J42" i="9"/>
  <c r="I42" i="9"/>
  <c r="H42" i="9"/>
  <c r="E42" i="9"/>
  <c r="AD41" i="9"/>
  <c r="AC41" i="9"/>
  <c r="AB41" i="9"/>
  <c r="AA41" i="9"/>
  <c r="Z41" i="9"/>
  <c r="Y41" i="9"/>
  <c r="U41" i="9"/>
  <c r="T41" i="9"/>
  <c r="S41" i="9"/>
  <c r="R41" i="9"/>
  <c r="P41" i="9"/>
  <c r="O41" i="9"/>
  <c r="L41" i="9"/>
  <c r="K41" i="9"/>
  <c r="J41" i="9"/>
  <c r="I41" i="9"/>
  <c r="H41" i="9"/>
  <c r="E41" i="9"/>
  <c r="AD40" i="9"/>
  <c r="U40" i="9"/>
  <c r="T40" i="9"/>
  <c r="S40" i="9"/>
  <c r="R40" i="9"/>
  <c r="P40" i="9"/>
  <c r="O40" i="9"/>
  <c r="L40" i="9"/>
  <c r="K40" i="9"/>
  <c r="J40" i="9"/>
  <c r="I40" i="9"/>
  <c r="H40" i="9"/>
  <c r="E40" i="9"/>
  <c r="AD39" i="9"/>
  <c r="V39" i="9"/>
  <c r="U39" i="9"/>
  <c r="T39" i="9"/>
  <c r="S39" i="9"/>
  <c r="R39" i="9"/>
  <c r="P39" i="9"/>
  <c r="O39" i="9"/>
  <c r="L39" i="9"/>
  <c r="K39" i="9"/>
  <c r="J39" i="9"/>
  <c r="I39" i="9"/>
  <c r="H39" i="9"/>
  <c r="E39" i="9"/>
  <c r="AD38" i="9"/>
  <c r="V38" i="9"/>
  <c r="U38" i="9"/>
  <c r="T38" i="9"/>
  <c r="S38" i="9"/>
  <c r="R38" i="9"/>
  <c r="P38" i="9"/>
  <c r="O38" i="9"/>
  <c r="L38" i="9"/>
  <c r="K38" i="9"/>
  <c r="J38" i="9"/>
  <c r="I38" i="9"/>
  <c r="H38" i="9"/>
  <c r="E38" i="9"/>
  <c r="AD37" i="9"/>
  <c r="U37" i="9"/>
  <c r="T37" i="9"/>
  <c r="S37" i="9"/>
  <c r="R37" i="9"/>
  <c r="P37" i="9"/>
  <c r="O37" i="9"/>
  <c r="L37" i="9"/>
  <c r="K37" i="9"/>
  <c r="J37" i="9"/>
  <c r="I37" i="9"/>
  <c r="H37" i="9"/>
  <c r="E37" i="9"/>
  <c r="AD36" i="9"/>
  <c r="U36" i="9"/>
  <c r="T36" i="9"/>
  <c r="S36" i="9"/>
  <c r="R36" i="9"/>
  <c r="P36" i="9"/>
  <c r="O36" i="9"/>
  <c r="L36" i="9"/>
  <c r="K36" i="9"/>
  <c r="J36" i="9"/>
  <c r="I36" i="9"/>
  <c r="H36" i="9"/>
  <c r="E36" i="9"/>
  <c r="AD35" i="9"/>
  <c r="U35" i="9"/>
  <c r="T35" i="9"/>
  <c r="S35" i="9"/>
  <c r="R35" i="9"/>
  <c r="P35" i="9"/>
  <c r="O35" i="9"/>
  <c r="L35" i="9"/>
  <c r="K35" i="9"/>
  <c r="J35" i="9"/>
  <c r="I35" i="9"/>
  <c r="H35" i="9"/>
  <c r="E35" i="9"/>
  <c r="AD34" i="9"/>
  <c r="U34" i="9"/>
  <c r="T34" i="9"/>
  <c r="S34" i="9"/>
  <c r="R34" i="9"/>
  <c r="P34" i="9"/>
  <c r="O34" i="9"/>
  <c r="L34" i="9"/>
  <c r="K34" i="9"/>
  <c r="J34" i="9"/>
  <c r="I34" i="9"/>
  <c r="H34" i="9"/>
  <c r="E34" i="9"/>
  <c r="AD33" i="9"/>
  <c r="U33" i="9"/>
  <c r="T33" i="9"/>
  <c r="S33" i="9"/>
  <c r="R33" i="9"/>
  <c r="P33" i="9"/>
  <c r="O33" i="9"/>
  <c r="L33" i="9"/>
  <c r="K33" i="9"/>
  <c r="J33" i="9"/>
  <c r="I33" i="9"/>
  <c r="H33" i="9"/>
  <c r="E33" i="9"/>
  <c r="AD32" i="9"/>
  <c r="V32" i="9"/>
  <c r="U32" i="9"/>
  <c r="T32" i="9"/>
  <c r="S32" i="9"/>
  <c r="R32" i="9"/>
  <c r="P32" i="9"/>
  <c r="O32" i="9"/>
  <c r="L32" i="9"/>
  <c r="K32" i="9"/>
  <c r="J32" i="9"/>
  <c r="I32" i="9"/>
  <c r="H32" i="9"/>
  <c r="E32" i="9"/>
  <c r="AD31" i="9"/>
  <c r="V31" i="9"/>
  <c r="U31" i="9"/>
  <c r="T31" i="9"/>
  <c r="S31" i="9"/>
  <c r="R31" i="9"/>
  <c r="P31" i="9"/>
  <c r="O31" i="9"/>
  <c r="L31" i="9"/>
  <c r="K31" i="9"/>
  <c r="J31" i="9"/>
  <c r="I31" i="9"/>
  <c r="H31" i="9"/>
  <c r="E31" i="9"/>
  <c r="AD30" i="9"/>
  <c r="V30" i="9"/>
  <c r="U30" i="9"/>
  <c r="T30" i="9"/>
  <c r="S30" i="9"/>
  <c r="R30" i="9"/>
  <c r="P30" i="9"/>
  <c r="O30" i="9"/>
  <c r="L30" i="9"/>
  <c r="K30" i="9"/>
  <c r="J30" i="9"/>
  <c r="I30" i="9"/>
  <c r="H30" i="9"/>
  <c r="E30" i="9"/>
  <c r="AD29" i="9"/>
  <c r="U29" i="9"/>
  <c r="T29" i="9"/>
  <c r="S29" i="9"/>
  <c r="R29" i="9"/>
  <c r="P29" i="9"/>
  <c r="O29" i="9"/>
  <c r="L29" i="9"/>
  <c r="K29" i="9"/>
  <c r="J29" i="9"/>
  <c r="I29" i="9"/>
  <c r="H29" i="9"/>
  <c r="E29" i="9"/>
  <c r="V28" i="9"/>
  <c r="U28" i="9"/>
  <c r="T28" i="9"/>
  <c r="S28" i="9"/>
  <c r="R28" i="9"/>
  <c r="P28" i="9"/>
  <c r="O28" i="9"/>
  <c r="L28" i="9"/>
  <c r="K28" i="9"/>
  <c r="J28" i="9"/>
  <c r="I28" i="9"/>
  <c r="H28" i="9"/>
  <c r="E28" i="9"/>
  <c r="U27" i="9"/>
  <c r="T27" i="9"/>
  <c r="S27" i="9"/>
  <c r="R27" i="9"/>
  <c r="P27" i="9"/>
  <c r="O27" i="9"/>
  <c r="L27" i="9"/>
  <c r="K27" i="9"/>
  <c r="J27" i="9"/>
  <c r="I27" i="9"/>
  <c r="H27" i="9"/>
  <c r="E27" i="9"/>
  <c r="V26" i="9"/>
  <c r="U26" i="9"/>
  <c r="T26" i="9"/>
  <c r="S26" i="9"/>
  <c r="R26" i="9"/>
  <c r="P26" i="9"/>
  <c r="O26" i="9"/>
  <c r="L26" i="9"/>
  <c r="K26" i="9"/>
  <c r="J26" i="9"/>
  <c r="I26" i="9"/>
  <c r="H26" i="9"/>
  <c r="E26" i="9"/>
  <c r="R25" i="9"/>
  <c r="O25" i="9"/>
  <c r="J25" i="9"/>
  <c r="I25" i="9"/>
  <c r="H25" i="9"/>
  <c r="E25" i="9"/>
  <c r="U24" i="9"/>
  <c r="T24" i="9"/>
  <c r="S24" i="9"/>
  <c r="R24" i="9"/>
  <c r="P24" i="9"/>
  <c r="O24" i="9"/>
  <c r="L24" i="9"/>
  <c r="K24" i="9"/>
  <c r="J24" i="9"/>
  <c r="I24" i="9"/>
  <c r="H24" i="9"/>
  <c r="E24" i="9"/>
  <c r="Y23" i="9"/>
  <c r="U23" i="9"/>
  <c r="T23" i="9"/>
  <c r="S23" i="9"/>
  <c r="R23" i="9"/>
  <c r="P23" i="9"/>
  <c r="O23" i="9"/>
  <c r="L23" i="9"/>
  <c r="K23" i="9"/>
  <c r="J23" i="9"/>
  <c r="I23" i="9"/>
  <c r="H23" i="9"/>
  <c r="E23" i="9"/>
  <c r="U22" i="9"/>
  <c r="T22" i="9"/>
  <c r="S22" i="9"/>
  <c r="R22" i="9"/>
  <c r="P22" i="9"/>
  <c r="O22" i="9"/>
  <c r="L22" i="9"/>
  <c r="K22" i="9"/>
  <c r="J22" i="9"/>
  <c r="I22" i="9"/>
  <c r="H22" i="9"/>
  <c r="E22" i="9"/>
  <c r="V21" i="9"/>
  <c r="U21" i="9"/>
  <c r="T21" i="9"/>
  <c r="S21" i="9"/>
  <c r="R21" i="9"/>
  <c r="P21" i="9"/>
  <c r="O21" i="9"/>
  <c r="L21" i="9"/>
  <c r="K21" i="9"/>
  <c r="J21" i="9"/>
  <c r="I21" i="9"/>
  <c r="H21" i="9"/>
  <c r="E21" i="9"/>
  <c r="U20" i="9"/>
  <c r="T20" i="9"/>
  <c r="S20" i="9"/>
  <c r="R20" i="9"/>
  <c r="P20" i="9"/>
  <c r="O20" i="9"/>
  <c r="L20" i="9"/>
  <c r="K20" i="9"/>
  <c r="J20" i="9"/>
  <c r="I20" i="9"/>
  <c r="H20" i="9"/>
  <c r="E20" i="9"/>
  <c r="U19" i="9"/>
  <c r="T19" i="9"/>
  <c r="S19" i="9"/>
  <c r="R19" i="9"/>
  <c r="P19" i="9"/>
  <c r="O19" i="9"/>
  <c r="L19" i="9"/>
  <c r="K19" i="9"/>
  <c r="J19" i="9"/>
  <c r="I19" i="9"/>
  <c r="H19" i="9"/>
  <c r="E19" i="9"/>
  <c r="U18" i="9"/>
  <c r="T18" i="9"/>
  <c r="S18" i="9"/>
  <c r="R18" i="9"/>
  <c r="P18" i="9"/>
  <c r="O18" i="9"/>
  <c r="L18" i="9"/>
  <c r="K18" i="9"/>
  <c r="J18" i="9"/>
  <c r="I18" i="9"/>
  <c r="H18" i="9"/>
  <c r="E18" i="9"/>
  <c r="U17" i="9"/>
  <c r="T17" i="9"/>
  <c r="S17" i="9"/>
  <c r="R17" i="9"/>
  <c r="P17" i="9"/>
  <c r="O17" i="9"/>
  <c r="L17" i="9"/>
  <c r="K17" i="9"/>
  <c r="J17" i="9"/>
  <c r="I17" i="9"/>
  <c r="H17" i="9"/>
  <c r="E17" i="9"/>
  <c r="U16" i="9"/>
  <c r="T16" i="9"/>
  <c r="S16" i="9"/>
  <c r="R16" i="9"/>
  <c r="P16" i="9"/>
  <c r="O16" i="9"/>
  <c r="L16" i="9"/>
  <c r="K16" i="9"/>
  <c r="J16" i="9"/>
  <c r="I16" i="9"/>
  <c r="H16" i="9"/>
  <c r="E16" i="9"/>
  <c r="U15" i="9"/>
  <c r="T15" i="9"/>
  <c r="S15" i="9"/>
  <c r="R15" i="9"/>
  <c r="P15" i="9"/>
  <c r="O15" i="9"/>
  <c r="L15" i="9"/>
  <c r="K15" i="9"/>
  <c r="J15" i="9"/>
  <c r="I15" i="9"/>
  <c r="H15" i="9"/>
  <c r="E15" i="9"/>
  <c r="S14" i="9"/>
  <c r="R14" i="9"/>
  <c r="O14" i="9"/>
  <c r="J14" i="9"/>
  <c r="I14" i="9"/>
  <c r="H14" i="9"/>
  <c r="E14" i="9"/>
  <c r="U13" i="9"/>
  <c r="T13" i="9"/>
  <c r="S13" i="9"/>
  <c r="R13" i="9"/>
  <c r="P13" i="9"/>
  <c r="O13" i="9"/>
  <c r="L13" i="9"/>
  <c r="K13" i="9"/>
  <c r="J13" i="9"/>
  <c r="I13" i="9"/>
  <c r="H13" i="9"/>
  <c r="E13" i="9"/>
  <c r="U12" i="9"/>
  <c r="T12" i="9"/>
  <c r="S12" i="9"/>
  <c r="R12" i="9"/>
  <c r="P12" i="9"/>
  <c r="O12" i="9"/>
  <c r="L12" i="9"/>
  <c r="K12" i="9"/>
  <c r="J12" i="9"/>
  <c r="I12" i="9"/>
  <c r="H12" i="9"/>
  <c r="E12" i="9"/>
  <c r="U11" i="9"/>
  <c r="T11" i="9"/>
  <c r="S11" i="9"/>
  <c r="R11" i="9"/>
  <c r="P11" i="9"/>
  <c r="O11" i="9"/>
  <c r="L11" i="9"/>
  <c r="K11" i="9"/>
  <c r="J11" i="9"/>
  <c r="I11" i="9"/>
  <c r="H11" i="9"/>
  <c r="E11" i="9"/>
  <c r="V10" i="9"/>
  <c r="U10" i="9"/>
  <c r="T10" i="9"/>
  <c r="S10" i="9"/>
  <c r="R10" i="9"/>
  <c r="P10" i="9"/>
  <c r="O10" i="9"/>
  <c r="L10" i="9"/>
  <c r="K10" i="9"/>
  <c r="J10" i="9"/>
  <c r="I10" i="9"/>
  <c r="H10" i="9"/>
  <c r="E10" i="9"/>
  <c r="U9" i="9"/>
  <c r="T9" i="9"/>
  <c r="S9" i="9"/>
  <c r="R9" i="9"/>
  <c r="P9" i="9"/>
  <c r="O9" i="9"/>
  <c r="L9" i="9"/>
  <c r="K9" i="9"/>
  <c r="J9" i="9"/>
  <c r="I9" i="9"/>
  <c r="H9" i="9"/>
  <c r="E9" i="9"/>
  <c r="U8" i="9"/>
  <c r="T8" i="9"/>
  <c r="S8" i="9"/>
  <c r="R8" i="9"/>
  <c r="P8" i="9"/>
  <c r="O8" i="9"/>
  <c r="L8" i="9"/>
  <c r="K8" i="9"/>
  <c r="J8" i="9"/>
  <c r="I8" i="9"/>
  <c r="H8" i="9"/>
  <c r="E8" i="9"/>
  <c r="U7" i="9"/>
  <c r="T7" i="9"/>
  <c r="S7" i="9"/>
  <c r="R7" i="9"/>
  <c r="P7" i="9"/>
  <c r="O7" i="9"/>
  <c r="L7" i="9"/>
  <c r="K7" i="9"/>
  <c r="J7" i="9"/>
  <c r="I7" i="9"/>
  <c r="H7" i="9"/>
  <c r="E7" i="9"/>
  <c r="U6" i="9"/>
  <c r="T6" i="9"/>
  <c r="S6" i="9"/>
  <c r="R6" i="9"/>
  <c r="P6" i="9"/>
  <c r="O6" i="9"/>
  <c r="L6" i="9"/>
  <c r="K6" i="9"/>
  <c r="J6" i="9"/>
  <c r="I6" i="9"/>
  <c r="H6" i="9"/>
  <c r="E6" i="9"/>
  <c r="U5" i="9"/>
  <c r="T5" i="9"/>
  <c r="S5" i="9"/>
  <c r="R5" i="9"/>
  <c r="P5" i="9"/>
  <c r="O5" i="9"/>
  <c r="L5" i="9"/>
  <c r="K5" i="9"/>
  <c r="J5" i="9"/>
  <c r="I5" i="9"/>
  <c r="H5" i="9"/>
  <c r="E5" i="9"/>
  <c r="U4" i="9"/>
  <c r="T4" i="9"/>
  <c r="S4" i="9"/>
  <c r="R4" i="9"/>
  <c r="P4" i="9"/>
  <c r="O4" i="9"/>
  <c r="L4" i="9"/>
  <c r="K4" i="9"/>
  <c r="J4" i="9"/>
  <c r="I4" i="9"/>
  <c r="H4" i="9"/>
  <c r="E4" i="9"/>
  <c r="U3" i="9"/>
  <c r="T3" i="9"/>
  <c r="S3" i="9"/>
  <c r="R3" i="9"/>
  <c r="P3" i="9"/>
  <c r="O3" i="9"/>
  <c r="L3" i="9"/>
  <c r="K3" i="9"/>
  <c r="J3" i="9"/>
  <c r="I3" i="9"/>
  <c r="H3" i="9"/>
  <c r="E3" i="9"/>
  <c r="AD61" i="8"/>
  <c r="AC61" i="8"/>
  <c r="AB61" i="8"/>
  <c r="AA61" i="8"/>
  <c r="Z61" i="8"/>
  <c r="Y61" i="8"/>
  <c r="AD60" i="8"/>
  <c r="AC60" i="8"/>
  <c r="AB60" i="8"/>
  <c r="AA60" i="8"/>
  <c r="Z60" i="8"/>
  <c r="Y60" i="8"/>
  <c r="AD59" i="8"/>
  <c r="AC59" i="8"/>
  <c r="AB59" i="8"/>
  <c r="AA59" i="8"/>
  <c r="Z59" i="8"/>
  <c r="Y59" i="8"/>
  <c r="AD58" i="8"/>
  <c r="AA58" i="8"/>
  <c r="Z58" i="8"/>
  <c r="AD57" i="8"/>
  <c r="AB57" i="8"/>
  <c r="AA57" i="8"/>
  <c r="Z57" i="8"/>
  <c r="E57" i="8"/>
  <c r="AD56" i="8"/>
  <c r="AB56" i="8"/>
  <c r="AA56" i="8"/>
  <c r="O56" i="8"/>
  <c r="N56" i="8"/>
  <c r="M56" i="8"/>
  <c r="I56" i="8"/>
  <c r="H56" i="8"/>
  <c r="E56" i="8"/>
  <c r="AD55" i="8"/>
  <c r="AA55" i="8"/>
  <c r="Z55" i="8"/>
  <c r="U55" i="8"/>
  <c r="O55" i="8"/>
  <c r="N55" i="8"/>
  <c r="M55" i="8"/>
  <c r="I55" i="8"/>
  <c r="H55" i="8"/>
  <c r="E55" i="8"/>
  <c r="AL54" i="8"/>
  <c r="AK54" i="8"/>
  <c r="AJ54" i="8"/>
  <c r="AI54" i="8"/>
  <c r="AH54" i="8"/>
  <c r="AG54" i="8"/>
  <c r="AD54" i="8"/>
  <c r="AB54" i="8"/>
  <c r="AA54" i="8"/>
  <c r="Z54" i="8"/>
  <c r="U54" i="8"/>
  <c r="O54" i="8"/>
  <c r="N54" i="8"/>
  <c r="M54" i="8"/>
  <c r="I54" i="8"/>
  <c r="H54" i="8"/>
  <c r="AL53" i="8"/>
  <c r="AK53" i="8"/>
  <c r="AJ53" i="8"/>
  <c r="AI53" i="8"/>
  <c r="AH53" i="8"/>
  <c r="AG53" i="8"/>
  <c r="AD53" i="8"/>
  <c r="AC53" i="8"/>
  <c r="AB53" i="8"/>
  <c r="AA53" i="8"/>
  <c r="O53" i="8"/>
  <c r="N53" i="8"/>
  <c r="M53" i="8"/>
  <c r="I53" i="8"/>
  <c r="H53" i="8"/>
  <c r="E53" i="8"/>
  <c r="AL52" i="8"/>
  <c r="AK52" i="8"/>
  <c r="AJ52" i="8"/>
  <c r="AI52" i="8"/>
  <c r="AH52" i="8"/>
  <c r="AG52" i="8"/>
  <c r="AD52" i="8"/>
  <c r="AB52" i="8"/>
  <c r="AA52" i="8"/>
  <c r="Z52" i="8"/>
  <c r="O52" i="8"/>
  <c r="N52" i="8"/>
  <c r="M52" i="8"/>
  <c r="I52" i="8"/>
  <c r="H52" i="8"/>
  <c r="AL51" i="8"/>
  <c r="AK51" i="8"/>
  <c r="AJ51" i="8"/>
  <c r="AI51" i="8"/>
  <c r="AH51" i="8"/>
  <c r="AG51" i="8"/>
  <c r="AD51" i="8"/>
  <c r="AB51" i="8"/>
  <c r="AA51" i="8"/>
  <c r="O51" i="8"/>
  <c r="N51" i="8"/>
  <c r="M51" i="8"/>
  <c r="I51" i="8"/>
  <c r="H51" i="8"/>
  <c r="E51" i="8"/>
  <c r="AL50" i="8"/>
  <c r="AK50" i="8"/>
  <c r="AJ50" i="8"/>
  <c r="AI50" i="8"/>
  <c r="AH50" i="8"/>
  <c r="AG50" i="8"/>
  <c r="AD50" i="8"/>
  <c r="AB50" i="8"/>
  <c r="AA50" i="8"/>
  <c r="Z50" i="8"/>
  <c r="O50" i="8"/>
  <c r="N50" i="8"/>
  <c r="M50" i="8"/>
  <c r="I50" i="8"/>
  <c r="H50" i="8"/>
  <c r="E50" i="8"/>
  <c r="AL49" i="8"/>
  <c r="AK49" i="8"/>
  <c r="AJ49" i="8"/>
  <c r="AI49" i="8"/>
  <c r="AH49" i="8"/>
  <c r="AG49" i="8"/>
  <c r="AD49" i="8"/>
  <c r="AC49" i="8"/>
  <c r="AA49" i="8"/>
  <c r="O49" i="8"/>
  <c r="N49" i="8"/>
  <c r="M49" i="8"/>
  <c r="I49" i="8"/>
  <c r="H49" i="8"/>
  <c r="E49" i="8"/>
  <c r="AL48" i="8"/>
  <c r="AK48" i="8"/>
  <c r="AJ48" i="8"/>
  <c r="AI48" i="8"/>
  <c r="AH48" i="8"/>
  <c r="AG48" i="8"/>
  <c r="AD48" i="8"/>
  <c r="AC48" i="8"/>
  <c r="AA48" i="8"/>
  <c r="Z48" i="8"/>
  <c r="O48" i="8"/>
  <c r="N48" i="8"/>
  <c r="M48" i="8"/>
  <c r="I48" i="8"/>
  <c r="H48" i="8"/>
  <c r="AL47" i="8"/>
  <c r="AK47" i="8"/>
  <c r="AJ47" i="8"/>
  <c r="AI47" i="8"/>
  <c r="AH47" i="8"/>
  <c r="AG47" i="8"/>
  <c r="AD47" i="8"/>
  <c r="AB47" i="8"/>
  <c r="AA47" i="8"/>
  <c r="Z47" i="8"/>
  <c r="O47" i="8"/>
  <c r="N47" i="8"/>
  <c r="M47" i="8"/>
  <c r="I47" i="8"/>
  <c r="H47" i="8"/>
  <c r="AL46" i="8"/>
  <c r="AK46" i="8"/>
  <c r="AJ46" i="8"/>
  <c r="AI46" i="8"/>
  <c r="AH46" i="8"/>
  <c r="AG46" i="8"/>
  <c r="V46" i="8"/>
  <c r="O46" i="8"/>
  <c r="N46" i="8"/>
  <c r="M46" i="8"/>
  <c r="I46" i="8"/>
  <c r="H46" i="8"/>
  <c r="AL45" i="8"/>
  <c r="AK45" i="8"/>
  <c r="AJ45" i="8"/>
  <c r="AI45" i="8"/>
  <c r="AH45" i="8"/>
  <c r="AG45" i="8"/>
  <c r="V45" i="8"/>
  <c r="O45" i="8"/>
  <c r="N45" i="8"/>
  <c r="M45" i="8"/>
  <c r="I45" i="8"/>
  <c r="H45" i="8"/>
  <c r="AL44" i="8"/>
  <c r="AK44" i="8"/>
  <c r="AJ44" i="8"/>
  <c r="AI44" i="8"/>
  <c r="AH44" i="8"/>
  <c r="AG44" i="8"/>
  <c r="V44" i="8"/>
  <c r="O44" i="8"/>
  <c r="N44" i="8"/>
  <c r="M44" i="8"/>
  <c r="I44" i="8"/>
  <c r="H44" i="8"/>
  <c r="AL43" i="8"/>
  <c r="AK43" i="8"/>
  <c r="AJ43" i="8"/>
  <c r="AI43" i="8"/>
  <c r="AH43" i="8"/>
  <c r="AG43" i="8"/>
  <c r="V43" i="8"/>
  <c r="O43" i="8"/>
  <c r="N43" i="8"/>
  <c r="M43" i="8"/>
  <c r="I43" i="8"/>
  <c r="H43" i="8"/>
  <c r="AL42" i="8"/>
  <c r="AK42" i="8"/>
  <c r="AJ42" i="8"/>
  <c r="AI42" i="8"/>
  <c r="AH42" i="8"/>
  <c r="AG42" i="8"/>
  <c r="V42" i="8"/>
  <c r="O42" i="8"/>
  <c r="N42" i="8"/>
  <c r="M42" i="8"/>
  <c r="I42" i="8"/>
  <c r="H42" i="8"/>
  <c r="E42" i="8"/>
  <c r="AL41" i="8"/>
  <c r="AK41" i="8"/>
  <c r="AJ41" i="8"/>
  <c r="AI41" i="8"/>
  <c r="AH41" i="8"/>
  <c r="AG41" i="8"/>
  <c r="AD41" i="8"/>
  <c r="AC41" i="8"/>
  <c r="AB41" i="8"/>
  <c r="AA41" i="8"/>
  <c r="Z41" i="8"/>
  <c r="Y41" i="8"/>
  <c r="V41" i="8"/>
  <c r="O41" i="8"/>
  <c r="N41" i="8"/>
  <c r="M41" i="8"/>
  <c r="I41" i="8"/>
  <c r="H41" i="8"/>
  <c r="E41" i="8"/>
  <c r="AL40" i="8"/>
  <c r="AK40" i="8"/>
  <c r="AJ40" i="8"/>
  <c r="AI40" i="8"/>
  <c r="AH40" i="8"/>
  <c r="AG40" i="8"/>
  <c r="AD40" i="8"/>
  <c r="AC40" i="8"/>
  <c r="AB40" i="8"/>
  <c r="AA40" i="8"/>
  <c r="Z40" i="8"/>
  <c r="Y40" i="8"/>
  <c r="V40" i="8"/>
  <c r="O40" i="8"/>
  <c r="N40" i="8"/>
  <c r="M40" i="8"/>
  <c r="I40" i="8"/>
  <c r="H40" i="8"/>
  <c r="AD39" i="8"/>
  <c r="AC39" i="8"/>
  <c r="AB39" i="8"/>
  <c r="AA39" i="8"/>
  <c r="Z39" i="8"/>
  <c r="Y39" i="8"/>
  <c r="V39" i="8"/>
  <c r="O39" i="8"/>
  <c r="N39" i="8"/>
  <c r="M39" i="8"/>
  <c r="I39" i="8"/>
  <c r="H39" i="8"/>
  <c r="AD38" i="8"/>
  <c r="O38" i="8"/>
  <c r="N38" i="8"/>
  <c r="M38" i="8"/>
  <c r="I38" i="8"/>
  <c r="H38" i="8"/>
  <c r="AD37" i="8"/>
  <c r="V37" i="8"/>
  <c r="O37" i="8"/>
  <c r="N37" i="8"/>
  <c r="M37" i="8"/>
  <c r="I37" i="8"/>
  <c r="H37" i="8"/>
  <c r="AD36" i="8"/>
  <c r="V36" i="8"/>
  <c r="O36" i="8"/>
  <c r="N36" i="8"/>
  <c r="M36" i="8"/>
  <c r="I36" i="8"/>
  <c r="H36" i="8"/>
  <c r="E36" i="8"/>
  <c r="AD35" i="8"/>
  <c r="O35" i="8"/>
  <c r="N35" i="8"/>
  <c r="M35" i="8"/>
  <c r="I35" i="8"/>
  <c r="H35" i="8"/>
  <c r="AD34" i="8"/>
  <c r="O34" i="8"/>
  <c r="N34" i="8"/>
  <c r="M34" i="8"/>
  <c r="I34" i="8"/>
  <c r="H34" i="8"/>
  <c r="E34" i="8"/>
  <c r="AD33" i="8"/>
  <c r="O33" i="8"/>
  <c r="N33" i="8"/>
  <c r="M33" i="8"/>
  <c r="I33" i="8"/>
  <c r="H33" i="8"/>
  <c r="E33" i="8"/>
  <c r="AD32" i="8"/>
  <c r="O32" i="8"/>
  <c r="N32" i="8"/>
  <c r="M32" i="8"/>
  <c r="I32" i="8"/>
  <c r="H32" i="8"/>
  <c r="AD31" i="8"/>
  <c r="O31" i="8"/>
  <c r="N31" i="8"/>
  <c r="M31" i="8"/>
  <c r="I31" i="8"/>
  <c r="H31" i="8"/>
  <c r="E31" i="8"/>
  <c r="AD30" i="8"/>
  <c r="O30" i="8"/>
  <c r="N30" i="8"/>
  <c r="M30" i="8"/>
  <c r="I30" i="8"/>
  <c r="H30" i="8"/>
  <c r="E30" i="8"/>
  <c r="AD29" i="8"/>
  <c r="O29" i="8"/>
  <c r="N29" i="8"/>
  <c r="M29" i="8"/>
  <c r="I29" i="8"/>
  <c r="H29" i="8"/>
  <c r="E29" i="8"/>
  <c r="AD28" i="8"/>
  <c r="O28" i="8"/>
  <c r="N28" i="8"/>
  <c r="M28" i="8"/>
  <c r="I28" i="8"/>
  <c r="H28" i="8"/>
  <c r="E28" i="8"/>
  <c r="AD27" i="8"/>
  <c r="O27" i="8"/>
  <c r="N27" i="8"/>
  <c r="M27" i="8"/>
  <c r="I27" i="8"/>
  <c r="H27" i="8"/>
  <c r="O26" i="8"/>
  <c r="N26" i="8"/>
  <c r="M26" i="8"/>
  <c r="I26" i="8"/>
  <c r="H26" i="8"/>
  <c r="H25" i="8"/>
  <c r="O24" i="8"/>
  <c r="N24" i="8"/>
  <c r="M24" i="8"/>
  <c r="I24" i="8"/>
  <c r="H24" i="8"/>
  <c r="E24" i="8"/>
  <c r="O23" i="8"/>
  <c r="N23" i="8"/>
  <c r="M23" i="8"/>
  <c r="I23" i="8"/>
  <c r="H23" i="8"/>
  <c r="O22" i="8"/>
  <c r="N22" i="8"/>
  <c r="M22" i="8"/>
  <c r="I22" i="8"/>
  <c r="H22" i="8"/>
  <c r="E22" i="8"/>
  <c r="O21" i="8"/>
  <c r="N21" i="8"/>
  <c r="M21" i="8"/>
  <c r="I21" i="8"/>
  <c r="H21" i="8"/>
  <c r="E21" i="8"/>
  <c r="O20" i="8"/>
  <c r="N20" i="8"/>
  <c r="M20" i="8"/>
  <c r="I20" i="8"/>
  <c r="H20" i="8"/>
  <c r="E20" i="8"/>
  <c r="O19" i="8"/>
  <c r="N19" i="8"/>
  <c r="M19" i="8"/>
  <c r="I19" i="8"/>
  <c r="H19" i="8"/>
  <c r="E19" i="8"/>
  <c r="O18" i="8"/>
  <c r="N18" i="8"/>
  <c r="M18" i="8"/>
  <c r="I18" i="8"/>
  <c r="H18" i="8"/>
  <c r="O17" i="8"/>
  <c r="N17" i="8"/>
  <c r="M17" i="8"/>
  <c r="I17" i="8"/>
  <c r="H17" i="8"/>
  <c r="O16" i="8"/>
  <c r="N16" i="8"/>
  <c r="M16" i="8"/>
  <c r="I16" i="8"/>
  <c r="H16" i="8"/>
  <c r="O15" i="8"/>
  <c r="N15" i="8"/>
  <c r="M15" i="8"/>
  <c r="I15" i="8"/>
  <c r="H15" i="8"/>
  <c r="H14" i="8"/>
  <c r="O13" i="8"/>
  <c r="N13" i="8"/>
  <c r="M13" i="8"/>
  <c r="I13" i="8"/>
  <c r="H13" i="8"/>
  <c r="O12" i="8"/>
  <c r="N12" i="8"/>
  <c r="M12" i="8"/>
  <c r="I12" i="8"/>
  <c r="H12" i="8"/>
  <c r="O11" i="8"/>
  <c r="N11" i="8"/>
  <c r="M11" i="8"/>
  <c r="I11" i="8"/>
  <c r="H11" i="8"/>
  <c r="N10" i="8"/>
  <c r="M10" i="8"/>
  <c r="I10" i="8"/>
  <c r="H10" i="8"/>
  <c r="O9" i="8"/>
  <c r="N9" i="8"/>
  <c r="M9" i="8"/>
  <c r="I9" i="8"/>
  <c r="H9" i="8"/>
  <c r="O8" i="8"/>
  <c r="N8" i="8"/>
  <c r="M8" i="8"/>
  <c r="I8" i="8"/>
  <c r="H8" i="8"/>
  <c r="O7" i="8"/>
  <c r="N7" i="8"/>
  <c r="M7" i="8"/>
  <c r="I7" i="8"/>
  <c r="H7" i="8"/>
  <c r="O6" i="8"/>
  <c r="N6" i="8"/>
  <c r="M6" i="8"/>
  <c r="I6" i="8"/>
  <c r="H6" i="8"/>
  <c r="O5" i="8"/>
  <c r="N5" i="8"/>
  <c r="M5" i="8"/>
  <c r="I5" i="8"/>
  <c r="H5" i="8"/>
  <c r="O4" i="8"/>
  <c r="N4" i="8"/>
  <c r="M4" i="8"/>
  <c r="I4" i="8"/>
  <c r="H4" i="8"/>
  <c r="O3" i="8"/>
  <c r="N3" i="8"/>
  <c r="M3" i="8"/>
  <c r="I3" i="8"/>
  <c r="H3" i="8"/>
  <c r="E57" i="6"/>
  <c r="R56" i="6"/>
  <c r="Q56" i="6"/>
  <c r="P56" i="6"/>
  <c r="N56" i="6"/>
  <c r="J56" i="6"/>
  <c r="I56" i="6"/>
  <c r="H56" i="6"/>
  <c r="E56" i="6"/>
  <c r="R55" i="6"/>
  <c r="Q55" i="6"/>
  <c r="P55" i="6"/>
  <c r="N55" i="6"/>
  <c r="J55" i="6"/>
  <c r="I55" i="6"/>
  <c r="H55" i="6"/>
  <c r="E55" i="6"/>
  <c r="R54" i="6"/>
  <c r="Q54" i="6"/>
  <c r="P54" i="6"/>
  <c r="N54" i="6"/>
  <c r="J54" i="6"/>
  <c r="I54" i="6"/>
  <c r="H54" i="6"/>
  <c r="R53" i="6"/>
  <c r="Q53" i="6"/>
  <c r="P53" i="6"/>
  <c r="N53" i="6"/>
  <c r="J53" i="6"/>
  <c r="I53" i="6"/>
  <c r="H53" i="6"/>
  <c r="E53" i="6"/>
  <c r="R52" i="6"/>
  <c r="Q52" i="6"/>
  <c r="P52" i="6"/>
  <c r="N52" i="6"/>
  <c r="J52" i="6"/>
  <c r="I52" i="6"/>
  <c r="H52" i="6"/>
  <c r="R51" i="6"/>
  <c r="Q51" i="6"/>
  <c r="P51" i="6"/>
  <c r="N51" i="6"/>
  <c r="J51" i="6"/>
  <c r="I51" i="6"/>
  <c r="H51" i="6"/>
  <c r="E51" i="6"/>
  <c r="R50" i="6"/>
  <c r="Q50" i="6"/>
  <c r="P50" i="6"/>
  <c r="N50" i="6"/>
  <c r="J50" i="6"/>
  <c r="I50" i="6"/>
  <c r="H50" i="6"/>
  <c r="E50" i="6"/>
  <c r="R49" i="6"/>
  <c r="Q49" i="6"/>
  <c r="P49" i="6"/>
  <c r="N49" i="6"/>
  <c r="J49" i="6"/>
  <c r="I49" i="6"/>
  <c r="H49" i="6"/>
  <c r="E49" i="6"/>
  <c r="R48" i="6"/>
  <c r="Q48" i="6"/>
  <c r="P48" i="6"/>
  <c r="N48" i="6"/>
  <c r="J48" i="6"/>
  <c r="I48" i="6"/>
  <c r="H48" i="6"/>
  <c r="R47" i="6"/>
  <c r="Q47" i="6"/>
  <c r="P47" i="6"/>
  <c r="N47" i="6"/>
  <c r="J47" i="6"/>
  <c r="I47" i="6"/>
  <c r="H47" i="6"/>
  <c r="AG46" i="6"/>
  <c r="AF46" i="6"/>
  <c r="AE46" i="6"/>
  <c r="AD46" i="6"/>
  <c r="AC46" i="6"/>
  <c r="AB46" i="6"/>
  <c r="R46" i="6"/>
  <c r="Q46" i="6"/>
  <c r="P46" i="6"/>
  <c r="N46" i="6"/>
  <c r="J46" i="6"/>
  <c r="I46" i="6"/>
  <c r="H46" i="6"/>
  <c r="AG45" i="6"/>
  <c r="AF45" i="6"/>
  <c r="AE45" i="6"/>
  <c r="AD45" i="6"/>
  <c r="AC45" i="6"/>
  <c r="AB45" i="6"/>
  <c r="R45" i="6"/>
  <c r="Q45" i="6"/>
  <c r="P45" i="6"/>
  <c r="N45" i="6"/>
  <c r="J45" i="6"/>
  <c r="I45" i="6"/>
  <c r="H45" i="6"/>
  <c r="AG44" i="6"/>
  <c r="AF44" i="6"/>
  <c r="AE44" i="6"/>
  <c r="AD44" i="6"/>
  <c r="AC44" i="6"/>
  <c r="AB44" i="6"/>
  <c r="R44" i="6"/>
  <c r="Q44" i="6"/>
  <c r="P44" i="6"/>
  <c r="N44" i="6"/>
  <c r="J44" i="6"/>
  <c r="I44" i="6"/>
  <c r="H44" i="6"/>
  <c r="AG43" i="6"/>
  <c r="AD43" i="6"/>
  <c r="AC43" i="6"/>
  <c r="R43" i="6"/>
  <c r="Q43" i="6"/>
  <c r="P43" i="6"/>
  <c r="N43" i="6"/>
  <c r="J43" i="6"/>
  <c r="I43" i="6"/>
  <c r="H43" i="6"/>
  <c r="AG42" i="6"/>
  <c r="AE42" i="6"/>
  <c r="AD42" i="6"/>
  <c r="AC42" i="6"/>
  <c r="R42" i="6"/>
  <c r="Q42" i="6"/>
  <c r="P42" i="6"/>
  <c r="N42" i="6"/>
  <c r="J42" i="6"/>
  <c r="I42" i="6"/>
  <c r="H42" i="6"/>
  <c r="E42" i="6"/>
  <c r="AG41" i="6"/>
  <c r="AE41" i="6"/>
  <c r="AD41" i="6"/>
  <c r="R41" i="6"/>
  <c r="Q41" i="6"/>
  <c r="P41" i="6"/>
  <c r="N41" i="6"/>
  <c r="J41" i="6"/>
  <c r="I41" i="6"/>
  <c r="H41" i="6"/>
  <c r="E41" i="6"/>
  <c r="AG40" i="6"/>
  <c r="AD40" i="6"/>
  <c r="AC40" i="6"/>
  <c r="R40" i="6"/>
  <c r="Q40" i="6"/>
  <c r="P40" i="6"/>
  <c r="N40" i="6"/>
  <c r="J40" i="6"/>
  <c r="I40" i="6"/>
  <c r="H40" i="6"/>
  <c r="AO39" i="6"/>
  <c r="AN39" i="6"/>
  <c r="AM39" i="6"/>
  <c r="AL39" i="6"/>
  <c r="AK39" i="6"/>
  <c r="AJ39" i="6"/>
  <c r="AG39" i="6"/>
  <c r="AE39" i="6"/>
  <c r="AD39" i="6"/>
  <c r="AC39" i="6"/>
  <c r="R39" i="6"/>
  <c r="Q39" i="6"/>
  <c r="P39" i="6"/>
  <c r="N39" i="6"/>
  <c r="J39" i="6"/>
  <c r="I39" i="6"/>
  <c r="H39" i="6"/>
  <c r="AO38" i="6"/>
  <c r="AN38" i="6"/>
  <c r="AM38" i="6"/>
  <c r="AL38" i="6"/>
  <c r="AK38" i="6"/>
  <c r="AJ38" i="6"/>
  <c r="AG38" i="6"/>
  <c r="AF38" i="6"/>
  <c r="AE38" i="6"/>
  <c r="AD38" i="6"/>
  <c r="R38" i="6"/>
  <c r="Q38" i="6"/>
  <c r="P38" i="6"/>
  <c r="N38" i="6"/>
  <c r="J38" i="6"/>
  <c r="I38" i="6"/>
  <c r="H38" i="6"/>
  <c r="AO37" i="6"/>
  <c r="AN37" i="6"/>
  <c r="AM37" i="6"/>
  <c r="AL37" i="6"/>
  <c r="AK37" i="6"/>
  <c r="AJ37" i="6"/>
  <c r="AG37" i="6"/>
  <c r="AE37" i="6"/>
  <c r="AD37" i="6"/>
  <c r="AC37" i="6"/>
  <c r="R37" i="6"/>
  <c r="Q37" i="6"/>
  <c r="P37" i="6"/>
  <c r="N37" i="6"/>
  <c r="J37" i="6"/>
  <c r="I37" i="6"/>
  <c r="H37" i="6"/>
  <c r="AO36" i="6"/>
  <c r="AN36" i="6"/>
  <c r="AM36" i="6"/>
  <c r="AL36" i="6"/>
  <c r="AK36" i="6"/>
  <c r="AJ36" i="6"/>
  <c r="AG36" i="6"/>
  <c r="AE36" i="6"/>
  <c r="AD36" i="6"/>
  <c r="R36" i="6"/>
  <c r="Q36" i="6"/>
  <c r="P36" i="6"/>
  <c r="N36" i="6"/>
  <c r="J36" i="6"/>
  <c r="I36" i="6"/>
  <c r="H36" i="6"/>
  <c r="E36" i="6"/>
  <c r="AO35" i="6"/>
  <c r="AN35" i="6"/>
  <c r="AM35" i="6"/>
  <c r="AL35" i="6"/>
  <c r="AK35" i="6"/>
  <c r="AJ35" i="6"/>
  <c r="AG35" i="6"/>
  <c r="AE35" i="6"/>
  <c r="AD35" i="6"/>
  <c r="AC35" i="6"/>
  <c r="R35" i="6"/>
  <c r="Q35" i="6"/>
  <c r="P35" i="6"/>
  <c r="N35" i="6"/>
  <c r="J35" i="6"/>
  <c r="I35" i="6"/>
  <c r="H35" i="6"/>
  <c r="AO34" i="6"/>
  <c r="AN34" i="6"/>
  <c r="AM34" i="6"/>
  <c r="AL34" i="6"/>
  <c r="AK34" i="6"/>
  <c r="AJ34" i="6"/>
  <c r="AG34" i="6"/>
  <c r="AF34" i="6"/>
  <c r="AD34" i="6"/>
  <c r="R34" i="6"/>
  <c r="Q34" i="6"/>
  <c r="P34" i="6"/>
  <c r="N34" i="6"/>
  <c r="J34" i="6"/>
  <c r="I34" i="6"/>
  <c r="H34" i="6"/>
  <c r="E34" i="6"/>
  <c r="AO33" i="6"/>
  <c r="AN33" i="6"/>
  <c r="AM33" i="6"/>
  <c r="AL33" i="6"/>
  <c r="AK33" i="6"/>
  <c r="AJ33" i="6"/>
  <c r="AG33" i="6"/>
  <c r="AF33" i="6"/>
  <c r="AD33" i="6"/>
  <c r="AC33" i="6"/>
  <c r="R33" i="6"/>
  <c r="Q33" i="6"/>
  <c r="P33" i="6"/>
  <c r="N33" i="6"/>
  <c r="J33" i="6"/>
  <c r="I33" i="6"/>
  <c r="H33" i="6"/>
  <c r="E33" i="6"/>
  <c r="AO32" i="6"/>
  <c r="AN32" i="6"/>
  <c r="AM32" i="6"/>
  <c r="AL32" i="6"/>
  <c r="AK32" i="6"/>
  <c r="AJ32" i="6"/>
  <c r="AG32" i="6"/>
  <c r="AE32" i="6"/>
  <c r="AD32" i="6"/>
  <c r="AC32" i="6"/>
  <c r="W32" i="6"/>
  <c r="R32" i="6"/>
  <c r="Q32" i="6"/>
  <c r="P32" i="6"/>
  <c r="N32" i="6"/>
  <c r="J32" i="6"/>
  <c r="I32" i="6"/>
  <c r="H32" i="6"/>
  <c r="AO31" i="6"/>
  <c r="AN31" i="6"/>
  <c r="AM31" i="6"/>
  <c r="AL31" i="6"/>
  <c r="AK31" i="6"/>
  <c r="AJ31" i="6"/>
  <c r="R31" i="6"/>
  <c r="Q31" i="6"/>
  <c r="P31" i="6"/>
  <c r="N31" i="6"/>
  <c r="J31" i="6"/>
  <c r="I31" i="6"/>
  <c r="H31" i="6"/>
  <c r="E31" i="6"/>
  <c r="AO30" i="6"/>
  <c r="AN30" i="6"/>
  <c r="AM30" i="6"/>
  <c r="AL30" i="6"/>
  <c r="AK30" i="6"/>
  <c r="AJ30" i="6"/>
  <c r="R30" i="6"/>
  <c r="Q30" i="6"/>
  <c r="P30" i="6"/>
  <c r="N30" i="6"/>
  <c r="J30" i="6"/>
  <c r="I30" i="6"/>
  <c r="H30" i="6"/>
  <c r="E30" i="6"/>
  <c r="AO29" i="6"/>
  <c r="AN29" i="6"/>
  <c r="AM29" i="6"/>
  <c r="AL29" i="6"/>
  <c r="AK29" i="6"/>
  <c r="AJ29" i="6"/>
  <c r="R29" i="6"/>
  <c r="Q29" i="6"/>
  <c r="P29" i="6"/>
  <c r="N29" i="6"/>
  <c r="J29" i="6"/>
  <c r="I29" i="6"/>
  <c r="H29" i="6"/>
  <c r="E29" i="6"/>
  <c r="AO28" i="6"/>
  <c r="AN28" i="6"/>
  <c r="AM28" i="6"/>
  <c r="AL28" i="6"/>
  <c r="AK28" i="6"/>
  <c r="AJ28" i="6"/>
  <c r="X28" i="6"/>
  <c r="R28" i="6"/>
  <c r="Q28" i="6"/>
  <c r="P28" i="6"/>
  <c r="N28" i="6"/>
  <c r="J28" i="6"/>
  <c r="I28" i="6"/>
  <c r="H28" i="6"/>
  <c r="E28" i="6"/>
  <c r="AO27" i="6"/>
  <c r="AN27" i="6"/>
  <c r="AM27" i="6"/>
  <c r="AL27" i="6"/>
  <c r="AK27" i="6"/>
  <c r="AJ27" i="6"/>
  <c r="X27" i="6"/>
  <c r="R27" i="6"/>
  <c r="Q27" i="6"/>
  <c r="P27" i="6"/>
  <c r="N27" i="6"/>
  <c r="J27" i="6"/>
  <c r="I27" i="6"/>
  <c r="H27" i="6"/>
  <c r="AO26" i="6"/>
  <c r="AN26" i="6"/>
  <c r="AM26" i="6"/>
  <c r="AL26" i="6"/>
  <c r="AK26" i="6"/>
  <c r="AJ26" i="6"/>
  <c r="AG26" i="6"/>
  <c r="AF26" i="6"/>
  <c r="AE26" i="6"/>
  <c r="AD26" i="6"/>
  <c r="AC26" i="6"/>
  <c r="AB26" i="6"/>
  <c r="R26" i="6"/>
  <c r="Q26" i="6"/>
  <c r="P26" i="6"/>
  <c r="N26" i="6"/>
  <c r="J26" i="6"/>
  <c r="I26" i="6"/>
  <c r="H26" i="6"/>
  <c r="AO25" i="6"/>
  <c r="AN25" i="6"/>
  <c r="AM25" i="6"/>
  <c r="AL25" i="6"/>
  <c r="AK25" i="6"/>
  <c r="AJ25" i="6"/>
  <c r="AG25" i="6"/>
  <c r="AF25" i="6"/>
  <c r="AE25" i="6"/>
  <c r="AD25" i="6"/>
  <c r="AC25" i="6"/>
  <c r="AB25" i="6"/>
  <c r="P25" i="6"/>
  <c r="H25" i="6"/>
  <c r="AG24" i="6"/>
  <c r="AF24" i="6"/>
  <c r="AE24" i="6"/>
  <c r="AD24" i="6"/>
  <c r="AC24" i="6"/>
  <c r="AB24" i="6"/>
  <c r="R24" i="6"/>
  <c r="Q24" i="6"/>
  <c r="P24" i="6"/>
  <c r="N24" i="6"/>
  <c r="J24" i="6"/>
  <c r="I24" i="6"/>
  <c r="H24" i="6"/>
  <c r="E24" i="6"/>
  <c r="AG23" i="6"/>
  <c r="R23" i="6"/>
  <c r="Q23" i="6"/>
  <c r="P23" i="6"/>
  <c r="N23" i="6"/>
  <c r="J23" i="6"/>
  <c r="I23" i="6"/>
  <c r="H23" i="6"/>
  <c r="AG22" i="6"/>
  <c r="R22" i="6"/>
  <c r="Q22" i="6"/>
  <c r="P22" i="6"/>
  <c r="N22" i="6"/>
  <c r="J22" i="6"/>
  <c r="I22" i="6"/>
  <c r="H22" i="6"/>
  <c r="E22" i="6"/>
  <c r="AG21" i="6"/>
  <c r="R21" i="6"/>
  <c r="Q21" i="6"/>
  <c r="P21" i="6"/>
  <c r="N21" i="6"/>
  <c r="J21" i="6"/>
  <c r="I21" i="6"/>
  <c r="H21" i="6"/>
  <c r="E21" i="6"/>
  <c r="AG20" i="6"/>
  <c r="R20" i="6"/>
  <c r="Q20" i="6"/>
  <c r="P20" i="6"/>
  <c r="N20" i="6"/>
  <c r="J20" i="6"/>
  <c r="I20" i="6"/>
  <c r="H20" i="6"/>
  <c r="E20" i="6"/>
  <c r="AG19" i="6"/>
  <c r="R19" i="6"/>
  <c r="Q19" i="6"/>
  <c r="P19" i="6"/>
  <c r="N19" i="6"/>
  <c r="J19" i="6"/>
  <c r="I19" i="6"/>
  <c r="H19" i="6"/>
  <c r="E19" i="6"/>
  <c r="AG18" i="6"/>
  <c r="R18" i="6"/>
  <c r="Q18" i="6"/>
  <c r="P18" i="6"/>
  <c r="N18" i="6"/>
  <c r="J18" i="6"/>
  <c r="I18" i="6"/>
  <c r="H18" i="6"/>
  <c r="AG17" i="6"/>
  <c r="R17" i="6"/>
  <c r="Q17" i="6"/>
  <c r="P17" i="6"/>
  <c r="N17" i="6"/>
  <c r="J17" i="6"/>
  <c r="I17" i="6"/>
  <c r="H17" i="6"/>
  <c r="AG16" i="6"/>
  <c r="R16" i="6"/>
  <c r="Q16" i="6"/>
  <c r="P16" i="6"/>
  <c r="N16" i="6"/>
  <c r="J16" i="6"/>
  <c r="I16" i="6"/>
  <c r="H16" i="6"/>
  <c r="AG15" i="6"/>
  <c r="R15" i="6"/>
  <c r="Q15" i="6"/>
  <c r="P15" i="6"/>
  <c r="N15" i="6"/>
  <c r="J15" i="6"/>
  <c r="I15" i="6"/>
  <c r="H15" i="6"/>
  <c r="AG14" i="6"/>
  <c r="P14" i="6"/>
  <c r="H14" i="6"/>
  <c r="AG13" i="6"/>
  <c r="R13" i="6"/>
  <c r="Q13" i="6"/>
  <c r="P13" i="6"/>
  <c r="N13" i="6"/>
  <c r="J13" i="6"/>
  <c r="I13" i="6"/>
  <c r="H13" i="6"/>
  <c r="AG12" i="6"/>
  <c r="R12" i="6"/>
  <c r="Q12" i="6"/>
  <c r="P12" i="6"/>
  <c r="N12" i="6"/>
  <c r="J12" i="6"/>
  <c r="I12" i="6"/>
  <c r="H12" i="6"/>
  <c r="R11" i="6"/>
  <c r="Q11" i="6"/>
  <c r="P11" i="6"/>
  <c r="N11" i="6"/>
  <c r="J11" i="6"/>
  <c r="I11" i="6"/>
  <c r="H11" i="6"/>
  <c r="Q10" i="6"/>
  <c r="P10" i="6"/>
  <c r="N10" i="6"/>
  <c r="J10" i="6"/>
  <c r="I10" i="6"/>
  <c r="H10" i="6"/>
  <c r="R9" i="6"/>
  <c r="Q9" i="6"/>
  <c r="P9" i="6"/>
  <c r="N9" i="6"/>
  <c r="J9" i="6"/>
  <c r="I9" i="6"/>
  <c r="H9" i="6"/>
  <c r="R8" i="6"/>
  <c r="Q8" i="6"/>
  <c r="P8" i="6"/>
  <c r="N8" i="6"/>
  <c r="J8" i="6"/>
  <c r="I8" i="6"/>
  <c r="H8" i="6"/>
  <c r="R7" i="6"/>
  <c r="Q7" i="6"/>
  <c r="P7" i="6"/>
  <c r="N7" i="6"/>
  <c r="J7" i="6"/>
  <c r="I7" i="6"/>
  <c r="H7" i="6"/>
  <c r="R6" i="6"/>
  <c r="Q6" i="6"/>
  <c r="P6" i="6"/>
  <c r="N6" i="6"/>
  <c r="J6" i="6"/>
  <c r="I6" i="6"/>
  <c r="H6" i="6"/>
  <c r="R5" i="6"/>
  <c r="Q5" i="6"/>
  <c r="P5" i="6"/>
  <c r="N5" i="6"/>
  <c r="J5" i="6"/>
  <c r="I5" i="6"/>
  <c r="H5" i="6"/>
  <c r="R4" i="6"/>
  <c r="Q4" i="6"/>
  <c r="P4" i="6"/>
  <c r="N4" i="6"/>
  <c r="J4" i="6"/>
  <c r="I4" i="6"/>
  <c r="H4" i="6"/>
  <c r="R3" i="6"/>
  <c r="Q3" i="6"/>
  <c r="P3" i="6"/>
  <c r="N3" i="6"/>
  <c r="J3" i="6"/>
  <c r="I3" i="6"/>
  <c r="H3" i="6"/>
  <c r="Q56" i="5"/>
  <c r="P56" i="5"/>
  <c r="O56" i="5"/>
  <c r="M56" i="5"/>
  <c r="I56" i="5"/>
  <c r="H56" i="5"/>
  <c r="E56" i="5"/>
  <c r="Q55" i="5"/>
  <c r="P55" i="5"/>
  <c r="O55" i="5"/>
  <c r="M55" i="5"/>
  <c r="I55" i="5"/>
  <c r="H55" i="5"/>
  <c r="E55" i="5"/>
  <c r="Q54" i="5"/>
  <c r="P54" i="5"/>
  <c r="O54" i="5"/>
  <c r="M54" i="5"/>
  <c r="I54" i="5"/>
  <c r="H54" i="5"/>
  <c r="Q53" i="5"/>
  <c r="P53" i="5"/>
  <c r="O53" i="5"/>
  <c r="M53" i="5"/>
  <c r="I53" i="5"/>
  <c r="H53" i="5"/>
  <c r="E53" i="5"/>
  <c r="Q52" i="5"/>
  <c r="P52" i="5"/>
  <c r="O52" i="5"/>
  <c r="M52" i="5"/>
  <c r="I52" i="5"/>
  <c r="H52" i="5"/>
  <c r="Q51" i="5"/>
  <c r="P51" i="5"/>
  <c r="O51" i="5"/>
  <c r="M51" i="5"/>
  <c r="I51" i="5"/>
  <c r="H51" i="5"/>
  <c r="E51" i="5"/>
  <c r="Q50" i="5"/>
  <c r="P50" i="5"/>
  <c r="O50" i="5"/>
  <c r="M50" i="5"/>
  <c r="I50" i="5"/>
  <c r="H50" i="5"/>
  <c r="E50" i="5"/>
  <c r="Q49" i="5"/>
  <c r="P49" i="5"/>
  <c r="O49" i="5"/>
  <c r="M49" i="5"/>
  <c r="I49" i="5"/>
  <c r="H49" i="5"/>
  <c r="E49" i="5"/>
  <c r="Q48" i="5"/>
  <c r="P48" i="5"/>
  <c r="O48" i="5"/>
  <c r="M48" i="5"/>
  <c r="I48" i="5"/>
  <c r="H48" i="5"/>
  <c r="Q47" i="5"/>
  <c r="P47" i="5"/>
  <c r="O47" i="5"/>
  <c r="M47" i="5"/>
  <c r="I47" i="5"/>
  <c r="H47" i="5"/>
  <c r="Q46" i="5"/>
  <c r="P46" i="5"/>
  <c r="O46" i="5"/>
  <c r="M46" i="5"/>
  <c r="I46" i="5"/>
  <c r="H46" i="5"/>
  <c r="Q45" i="5"/>
  <c r="P45" i="5"/>
  <c r="O45" i="5"/>
  <c r="M45" i="5"/>
  <c r="I45" i="5"/>
  <c r="H45" i="5"/>
  <c r="Q44" i="5"/>
  <c r="P44" i="5"/>
  <c r="O44" i="5"/>
  <c r="M44" i="5"/>
  <c r="I44" i="5"/>
  <c r="H44" i="5"/>
  <c r="AF43" i="5"/>
  <c r="AE43" i="5"/>
  <c r="AD43" i="5"/>
  <c r="AC43" i="5"/>
  <c r="AB43" i="5"/>
  <c r="AA43" i="5"/>
  <c r="Q43" i="5"/>
  <c r="P43" i="5"/>
  <c r="O43" i="5"/>
  <c r="M43" i="5"/>
  <c r="I43" i="5"/>
  <c r="H43" i="5"/>
  <c r="AF42" i="5"/>
  <c r="AE42" i="5"/>
  <c r="AD42" i="5"/>
  <c r="AC42" i="5"/>
  <c r="AB42" i="5"/>
  <c r="AA42" i="5"/>
  <c r="Q42" i="5"/>
  <c r="P42" i="5"/>
  <c r="O42" i="5"/>
  <c r="M42" i="5"/>
  <c r="I42" i="5"/>
  <c r="H42" i="5"/>
  <c r="E42" i="5"/>
  <c r="AF41" i="5"/>
  <c r="AE41" i="5"/>
  <c r="AD41" i="5"/>
  <c r="AC41" i="5"/>
  <c r="AB41" i="5"/>
  <c r="AA41" i="5"/>
  <c r="Q41" i="5"/>
  <c r="P41" i="5"/>
  <c r="O41" i="5"/>
  <c r="M41" i="5"/>
  <c r="I41" i="5"/>
  <c r="H41" i="5"/>
  <c r="E41" i="5"/>
  <c r="AF40" i="5"/>
  <c r="AC40" i="5"/>
  <c r="AB40" i="5"/>
  <c r="Q40" i="5"/>
  <c r="P40" i="5"/>
  <c r="O40" i="5"/>
  <c r="M40" i="5"/>
  <c r="I40" i="5"/>
  <c r="H40" i="5"/>
  <c r="AF39" i="5"/>
  <c r="AD39" i="5"/>
  <c r="AC39" i="5"/>
  <c r="AB39" i="5"/>
  <c r="V39" i="5"/>
  <c r="Q39" i="5"/>
  <c r="P39" i="5"/>
  <c r="O39" i="5"/>
  <c r="M39" i="5"/>
  <c r="I39" i="5"/>
  <c r="H39" i="5"/>
  <c r="AF38" i="5"/>
  <c r="AD38" i="5"/>
  <c r="AC38" i="5"/>
  <c r="V38" i="5"/>
  <c r="Q38" i="5"/>
  <c r="P38" i="5"/>
  <c r="O38" i="5"/>
  <c r="M38" i="5"/>
  <c r="I38" i="5"/>
  <c r="H38" i="5"/>
  <c r="AO37" i="5"/>
  <c r="AN37" i="5"/>
  <c r="AM37" i="5"/>
  <c r="AL37" i="5"/>
  <c r="AK37" i="5"/>
  <c r="AJ37" i="5"/>
  <c r="AF37" i="5"/>
  <c r="AC37" i="5"/>
  <c r="AB37" i="5"/>
  <c r="Q37" i="5"/>
  <c r="P37" i="5"/>
  <c r="O37" i="5"/>
  <c r="M37" i="5"/>
  <c r="I37" i="5"/>
  <c r="H37" i="5"/>
  <c r="AO36" i="5"/>
  <c r="AN36" i="5"/>
  <c r="AM36" i="5"/>
  <c r="AL36" i="5"/>
  <c r="AK36" i="5"/>
  <c r="AJ36" i="5"/>
  <c r="AF36" i="5"/>
  <c r="AD36" i="5"/>
  <c r="AC36" i="5"/>
  <c r="AB36" i="5"/>
  <c r="Q36" i="5"/>
  <c r="P36" i="5"/>
  <c r="O36" i="5"/>
  <c r="M36" i="5"/>
  <c r="I36" i="5"/>
  <c r="H36" i="5"/>
  <c r="E36" i="5"/>
  <c r="AO35" i="5"/>
  <c r="AN35" i="5"/>
  <c r="AM35" i="5"/>
  <c r="AL35" i="5"/>
  <c r="AK35" i="5"/>
  <c r="AJ35" i="5"/>
  <c r="AF35" i="5"/>
  <c r="AE35" i="5"/>
  <c r="AD35" i="5"/>
  <c r="AC35" i="5"/>
  <c r="Q35" i="5"/>
  <c r="P35" i="5"/>
  <c r="O35" i="5"/>
  <c r="M35" i="5"/>
  <c r="I35" i="5"/>
  <c r="H35" i="5"/>
  <c r="AO34" i="5"/>
  <c r="AN34" i="5"/>
  <c r="AM34" i="5"/>
  <c r="AL34" i="5"/>
  <c r="AK34" i="5"/>
  <c r="AJ34" i="5"/>
  <c r="AF34" i="5"/>
  <c r="AD34" i="5"/>
  <c r="AC34" i="5"/>
  <c r="AB34" i="5"/>
  <c r="Q34" i="5"/>
  <c r="P34" i="5"/>
  <c r="O34" i="5"/>
  <c r="M34" i="5"/>
  <c r="I34" i="5"/>
  <c r="H34" i="5"/>
  <c r="E34" i="5"/>
  <c r="AO33" i="5"/>
  <c r="AN33" i="5"/>
  <c r="AM33" i="5"/>
  <c r="AL33" i="5"/>
  <c r="AK33" i="5"/>
  <c r="AJ33" i="5"/>
  <c r="AF33" i="5"/>
  <c r="AD33" i="5"/>
  <c r="AC33" i="5"/>
  <c r="Q33" i="5"/>
  <c r="P33" i="5"/>
  <c r="O33" i="5"/>
  <c r="M33" i="5"/>
  <c r="I33" i="5"/>
  <c r="H33" i="5"/>
  <c r="E33" i="5"/>
  <c r="AO32" i="5"/>
  <c r="AN32" i="5"/>
  <c r="AM32" i="5"/>
  <c r="AL32" i="5"/>
  <c r="AK32" i="5"/>
  <c r="AJ32" i="5"/>
  <c r="AF32" i="5"/>
  <c r="AD32" i="5"/>
  <c r="AC32" i="5"/>
  <c r="AB32" i="5"/>
  <c r="Q32" i="5"/>
  <c r="P32" i="5"/>
  <c r="O32" i="5"/>
  <c r="M32" i="5"/>
  <c r="I32" i="5"/>
  <c r="H32" i="5"/>
  <c r="AO31" i="5"/>
  <c r="AN31" i="5"/>
  <c r="AM31" i="5"/>
  <c r="AL31" i="5"/>
  <c r="AK31" i="5"/>
  <c r="AJ31" i="5"/>
  <c r="AF31" i="5"/>
  <c r="AE31" i="5"/>
  <c r="AC31" i="5"/>
  <c r="Q31" i="5"/>
  <c r="P31" i="5"/>
  <c r="O31" i="5"/>
  <c r="M31" i="5"/>
  <c r="I31" i="5"/>
  <c r="H31" i="5"/>
  <c r="E31" i="5"/>
  <c r="AO30" i="5"/>
  <c r="AN30" i="5"/>
  <c r="AM30" i="5"/>
  <c r="AL30" i="5"/>
  <c r="AK30" i="5"/>
  <c r="AJ30" i="5"/>
  <c r="AF30" i="5"/>
  <c r="AE30" i="5"/>
  <c r="AC30" i="5"/>
  <c r="AB30" i="5"/>
  <c r="W30" i="5"/>
  <c r="V30" i="5"/>
  <c r="Q30" i="5"/>
  <c r="P30" i="5"/>
  <c r="O30" i="5"/>
  <c r="M30" i="5"/>
  <c r="I30" i="5"/>
  <c r="H30" i="5"/>
  <c r="E30" i="5"/>
  <c r="AO29" i="5"/>
  <c r="AN29" i="5"/>
  <c r="AM29" i="5"/>
  <c r="AL29" i="5"/>
  <c r="AK29" i="5"/>
  <c r="AJ29" i="5"/>
  <c r="AF29" i="5"/>
  <c r="AD29" i="5"/>
  <c r="AC29" i="5"/>
  <c r="AB29" i="5"/>
  <c r="W29" i="5"/>
  <c r="Q29" i="5"/>
  <c r="P29" i="5"/>
  <c r="O29" i="5"/>
  <c r="M29" i="5"/>
  <c r="I29" i="5"/>
  <c r="H29" i="5"/>
  <c r="E29" i="5"/>
  <c r="AO28" i="5"/>
  <c r="AN28" i="5"/>
  <c r="AM28" i="5"/>
  <c r="AL28" i="5"/>
  <c r="AK28" i="5"/>
  <c r="AJ28" i="5"/>
  <c r="W28" i="5"/>
  <c r="Q28" i="5"/>
  <c r="P28" i="5"/>
  <c r="O28" i="5"/>
  <c r="M28" i="5"/>
  <c r="I28" i="5"/>
  <c r="H28" i="5"/>
  <c r="E28" i="5"/>
  <c r="AO27" i="5"/>
  <c r="AN27" i="5"/>
  <c r="AM27" i="5"/>
  <c r="AL27" i="5"/>
  <c r="AK27" i="5"/>
  <c r="AJ27" i="5"/>
  <c r="W27" i="5"/>
  <c r="Q27" i="5"/>
  <c r="P27" i="5"/>
  <c r="O27" i="5"/>
  <c r="M27" i="5"/>
  <c r="I27" i="5"/>
  <c r="H27" i="5"/>
  <c r="AO26" i="5"/>
  <c r="AN26" i="5"/>
  <c r="AM26" i="5"/>
  <c r="AL26" i="5"/>
  <c r="AK26" i="5"/>
  <c r="AJ26" i="5"/>
  <c r="W26" i="5"/>
  <c r="V26" i="5"/>
  <c r="Q26" i="5"/>
  <c r="P26" i="5"/>
  <c r="O26" i="5"/>
  <c r="M26" i="5"/>
  <c r="I26" i="5"/>
  <c r="H26" i="5"/>
  <c r="AO25" i="5"/>
  <c r="AN25" i="5"/>
  <c r="AM25" i="5"/>
  <c r="AL25" i="5"/>
  <c r="AK25" i="5"/>
  <c r="AJ25" i="5"/>
  <c r="W25" i="5"/>
  <c r="O25" i="5"/>
  <c r="H25" i="5"/>
  <c r="AO24" i="5"/>
  <c r="AN24" i="5"/>
  <c r="AM24" i="5"/>
  <c r="AL24" i="5"/>
  <c r="AK24" i="5"/>
  <c r="AJ24" i="5"/>
  <c r="W24" i="5"/>
  <c r="Q24" i="5"/>
  <c r="P24" i="5"/>
  <c r="O24" i="5"/>
  <c r="M24" i="5"/>
  <c r="I24" i="5"/>
  <c r="H24" i="5"/>
  <c r="E24" i="5"/>
  <c r="AO23" i="5"/>
  <c r="AN23" i="5"/>
  <c r="AM23" i="5"/>
  <c r="AL23" i="5"/>
  <c r="AK23" i="5"/>
  <c r="AJ23" i="5"/>
  <c r="AF23" i="5"/>
  <c r="AE23" i="5"/>
  <c r="AD23" i="5"/>
  <c r="AC23" i="5"/>
  <c r="AB23" i="5"/>
  <c r="AA23" i="5"/>
  <c r="W23" i="5"/>
  <c r="Q23" i="5"/>
  <c r="P23" i="5"/>
  <c r="O23" i="5"/>
  <c r="M23" i="5"/>
  <c r="I23" i="5"/>
  <c r="H23" i="5"/>
  <c r="AF22" i="5"/>
  <c r="AE22" i="5"/>
  <c r="AD22" i="5"/>
  <c r="AC22" i="5"/>
  <c r="AB22" i="5"/>
  <c r="AA22" i="5"/>
  <c r="W22" i="5"/>
  <c r="Q22" i="5"/>
  <c r="P22" i="5"/>
  <c r="O22" i="5"/>
  <c r="M22" i="5"/>
  <c r="I22" i="5"/>
  <c r="H22" i="5"/>
  <c r="E22" i="5"/>
  <c r="AF21" i="5"/>
  <c r="AE21" i="5"/>
  <c r="AD21" i="5"/>
  <c r="AC21" i="5"/>
  <c r="AB21" i="5"/>
  <c r="AA21" i="5"/>
  <c r="P21" i="5"/>
  <c r="O21" i="5"/>
  <c r="M21" i="5"/>
  <c r="I21" i="5"/>
  <c r="H21" i="5"/>
  <c r="E21" i="5"/>
  <c r="AF20" i="5"/>
  <c r="Q20" i="5"/>
  <c r="P20" i="5"/>
  <c r="O20" i="5"/>
  <c r="M20" i="5"/>
  <c r="I20" i="5"/>
  <c r="H20" i="5"/>
  <c r="E20" i="5"/>
  <c r="AF19" i="5"/>
  <c r="Q19" i="5"/>
  <c r="P19" i="5"/>
  <c r="O19" i="5"/>
  <c r="M19" i="5"/>
  <c r="I19" i="5"/>
  <c r="H19" i="5"/>
  <c r="E19" i="5"/>
  <c r="AF18" i="5"/>
  <c r="Q18" i="5"/>
  <c r="P18" i="5"/>
  <c r="O18" i="5"/>
  <c r="M18" i="5"/>
  <c r="I18" i="5"/>
  <c r="H18" i="5"/>
  <c r="AF17" i="5"/>
  <c r="Q17" i="5"/>
  <c r="P17" i="5"/>
  <c r="O17" i="5"/>
  <c r="M17" i="5"/>
  <c r="I17" i="5"/>
  <c r="H17" i="5"/>
  <c r="AF16" i="5"/>
  <c r="Q16" i="5"/>
  <c r="P16" i="5"/>
  <c r="O16" i="5"/>
  <c r="M16" i="5"/>
  <c r="I16" i="5"/>
  <c r="H16" i="5"/>
  <c r="AF15" i="5"/>
  <c r="Q15" i="5"/>
  <c r="P15" i="5"/>
  <c r="O15" i="5"/>
  <c r="M15" i="5"/>
  <c r="I15" i="5"/>
  <c r="H15" i="5"/>
  <c r="AF14" i="5"/>
  <c r="O14" i="5"/>
  <c r="H14" i="5"/>
  <c r="AF13" i="5"/>
  <c r="Q13" i="5"/>
  <c r="P13" i="5"/>
  <c r="O13" i="5"/>
  <c r="M13" i="5"/>
  <c r="I13" i="5"/>
  <c r="H13" i="5"/>
  <c r="AF12" i="5"/>
  <c r="Q12" i="5"/>
  <c r="P12" i="5"/>
  <c r="O12" i="5"/>
  <c r="M12" i="5"/>
  <c r="I12" i="5"/>
  <c r="H12" i="5"/>
  <c r="AF11" i="5"/>
  <c r="Q11" i="5"/>
  <c r="P11" i="5"/>
  <c r="O11" i="5"/>
  <c r="M11" i="5"/>
  <c r="I11" i="5"/>
  <c r="H11" i="5"/>
  <c r="AF10" i="5"/>
  <c r="P10" i="5"/>
  <c r="O10" i="5"/>
  <c r="M10" i="5"/>
  <c r="I10" i="5"/>
  <c r="H10" i="5"/>
  <c r="AF9" i="5"/>
  <c r="Q9" i="5"/>
  <c r="P9" i="5"/>
  <c r="O9" i="5"/>
  <c r="M9" i="5"/>
  <c r="I9" i="5"/>
  <c r="H9" i="5"/>
  <c r="Q8" i="5"/>
  <c r="P8" i="5"/>
  <c r="O8" i="5"/>
  <c r="M8" i="5"/>
  <c r="I8" i="5"/>
  <c r="H8" i="5"/>
  <c r="Q7" i="5"/>
  <c r="P7" i="5"/>
  <c r="O7" i="5"/>
  <c r="M7" i="5"/>
  <c r="I7" i="5"/>
  <c r="H7" i="5"/>
  <c r="Q6" i="5"/>
  <c r="P6" i="5"/>
  <c r="O6" i="5"/>
  <c r="M6" i="5"/>
  <c r="I6" i="5"/>
  <c r="H6" i="5"/>
  <c r="Q5" i="5"/>
  <c r="P5" i="5"/>
  <c r="O5" i="5"/>
  <c r="M5" i="5"/>
  <c r="I5" i="5"/>
  <c r="H5" i="5"/>
  <c r="Q4" i="5"/>
  <c r="P4" i="5"/>
  <c r="O4" i="5"/>
  <c r="M4" i="5"/>
  <c r="I4" i="5"/>
  <c r="H4" i="5"/>
  <c r="Q3" i="5"/>
  <c r="P3" i="5"/>
  <c r="O3" i="5"/>
  <c r="M3" i="5"/>
  <c r="I3" i="5"/>
  <c r="H3" i="5"/>
  <c r="X118" i="15"/>
  <c r="W118" i="15"/>
  <c r="V118" i="15"/>
  <c r="U118" i="15"/>
  <c r="T118" i="15"/>
  <c r="S118" i="15"/>
  <c r="X117" i="15"/>
  <c r="W117" i="15"/>
  <c r="V117" i="15"/>
  <c r="U117" i="15"/>
  <c r="T117" i="15"/>
  <c r="S117" i="15"/>
  <c r="X116" i="15"/>
  <c r="W116" i="15"/>
  <c r="V116" i="15"/>
  <c r="U116" i="15"/>
  <c r="T116" i="15"/>
  <c r="S116" i="15"/>
  <c r="X115" i="15"/>
  <c r="U115" i="15"/>
  <c r="T115" i="15"/>
  <c r="X114" i="15"/>
  <c r="V114" i="15"/>
  <c r="U114" i="15"/>
  <c r="T114" i="15"/>
  <c r="X113" i="15"/>
  <c r="V113" i="15"/>
  <c r="U113" i="15"/>
  <c r="AG112" i="15"/>
  <c r="AF112" i="15"/>
  <c r="AE112" i="15"/>
  <c r="AD112" i="15"/>
  <c r="AC112" i="15"/>
  <c r="AB112" i="15"/>
  <c r="X112" i="15"/>
  <c r="U112" i="15"/>
  <c r="T112" i="15"/>
  <c r="AG111" i="15"/>
  <c r="AF111" i="15"/>
  <c r="AE111" i="15"/>
  <c r="AD111" i="15"/>
  <c r="AC111" i="15"/>
  <c r="AB111" i="15"/>
  <c r="X111" i="15"/>
  <c r="V111" i="15"/>
  <c r="U111" i="15"/>
  <c r="T111" i="15"/>
  <c r="AG110" i="15"/>
  <c r="AF110" i="15"/>
  <c r="AE110" i="15"/>
  <c r="AD110" i="15"/>
  <c r="AC110" i="15"/>
  <c r="AB110" i="15"/>
  <c r="X110" i="15"/>
  <c r="W110" i="15"/>
  <c r="V110" i="15"/>
  <c r="U110" i="15"/>
  <c r="AG109" i="15"/>
  <c r="AF109" i="15"/>
  <c r="AE109" i="15"/>
  <c r="AD109" i="15"/>
  <c r="AC109" i="15"/>
  <c r="AB109" i="15"/>
  <c r="X109" i="15"/>
  <c r="V109" i="15"/>
  <c r="U109" i="15"/>
  <c r="T109" i="15"/>
  <c r="AG108" i="15"/>
  <c r="AF108" i="15"/>
  <c r="AE108" i="15"/>
  <c r="AD108" i="15"/>
  <c r="AC108" i="15"/>
  <c r="AB108" i="15"/>
  <c r="X108" i="15"/>
  <c r="V108" i="15"/>
  <c r="U108" i="15"/>
  <c r="AG107" i="15"/>
  <c r="AF107" i="15"/>
  <c r="AE107" i="15"/>
  <c r="AD107" i="15"/>
  <c r="AC107" i="15"/>
  <c r="AB107" i="15"/>
  <c r="X107" i="15"/>
  <c r="V107" i="15"/>
  <c r="U107" i="15"/>
  <c r="T107" i="15"/>
  <c r="AG106" i="15"/>
  <c r="AF106" i="15"/>
  <c r="AE106" i="15"/>
  <c r="AD106" i="15"/>
  <c r="AC106" i="15"/>
  <c r="AB106" i="15"/>
  <c r="X106" i="15"/>
  <c r="W106" i="15"/>
  <c r="U106" i="15"/>
  <c r="AG105" i="15"/>
  <c r="AF105" i="15"/>
  <c r="AE105" i="15"/>
  <c r="AD105" i="15"/>
  <c r="AC105" i="15"/>
  <c r="AB105" i="15"/>
  <c r="X105" i="15"/>
  <c r="W105" i="15"/>
  <c r="U105" i="15"/>
  <c r="T105" i="15"/>
  <c r="AG104" i="15"/>
  <c r="AF104" i="15"/>
  <c r="AE104" i="15"/>
  <c r="AD104" i="15"/>
  <c r="AC104" i="15"/>
  <c r="AB104" i="15"/>
  <c r="X104" i="15"/>
  <c r="V104" i="15"/>
  <c r="U104" i="15"/>
  <c r="T104" i="15"/>
  <c r="AG103" i="15"/>
  <c r="AF103" i="15"/>
  <c r="AE103" i="15"/>
  <c r="AD103" i="15"/>
  <c r="AC103" i="15"/>
  <c r="AB103" i="15"/>
  <c r="AG102" i="15"/>
  <c r="AF102" i="15"/>
  <c r="AE102" i="15"/>
  <c r="AD102" i="15"/>
  <c r="AC102" i="15"/>
  <c r="AB102" i="15"/>
  <c r="AG101" i="15"/>
  <c r="AF101" i="15"/>
  <c r="AE101" i="15"/>
  <c r="AD101" i="15"/>
  <c r="AC101" i="15"/>
  <c r="AB101" i="15"/>
  <c r="AG100" i="15"/>
  <c r="AF100" i="15"/>
  <c r="AE100" i="15"/>
  <c r="AD100" i="15"/>
  <c r="AC100" i="15"/>
  <c r="AB100" i="15"/>
  <c r="AG99" i="15"/>
  <c r="AF99" i="15"/>
  <c r="AE99" i="15"/>
  <c r="AD99" i="15"/>
  <c r="AC99" i="15"/>
  <c r="AB99" i="15"/>
  <c r="AG98" i="15"/>
  <c r="AF98" i="15"/>
  <c r="AE98" i="15"/>
  <c r="AD98" i="15"/>
  <c r="AC98" i="15"/>
  <c r="AB98" i="15"/>
  <c r="X98" i="15"/>
  <c r="W98" i="15"/>
  <c r="V98" i="15"/>
  <c r="U98" i="15"/>
  <c r="T98" i="15"/>
  <c r="S98" i="15"/>
  <c r="X97" i="15"/>
  <c r="W97" i="15"/>
  <c r="V97" i="15"/>
  <c r="U97" i="15"/>
  <c r="T97" i="15"/>
  <c r="S97" i="15"/>
  <c r="X96" i="15"/>
  <c r="W96" i="15"/>
  <c r="V96" i="15"/>
  <c r="U96" i="15"/>
  <c r="T96" i="15"/>
  <c r="S96" i="15"/>
  <c r="X95" i="15"/>
  <c r="X94" i="15"/>
  <c r="X93" i="15"/>
  <c r="X92" i="15"/>
  <c r="X91" i="15"/>
  <c r="X90" i="15"/>
  <c r="X89" i="15"/>
  <c r="X88" i="15"/>
  <c r="X87" i="15"/>
  <c r="X86" i="15"/>
  <c r="X85" i="15"/>
  <c r="X84" i="15"/>
  <c r="N56" i="15"/>
  <c r="M56" i="15"/>
  <c r="I56" i="15"/>
  <c r="H56" i="15"/>
  <c r="E56" i="15"/>
  <c r="N55" i="15"/>
  <c r="M55" i="15"/>
  <c r="I55" i="15"/>
  <c r="H55" i="15"/>
  <c r="E55" i="15"/>
  <c r="N54" i="15"/>
  <c r="M54" i="15"/>
  <c r="I54" i="15"/>
  <c r="H54" i="15"/>
  <c r="N53" i="15"/>
  <c r="M53" i="15"/>
  <c r="I53" i="15"/>
  <c r="H53" i="15"/>
  <c r="E53" i="15"/>
  <c r="N52" i="15"/>
  <c r="M52" i="15"/>
  <c r="I52" i="15"/>
  <c r="H52" i="15"/>
  <c r="N51" i="15"/>
  <c r="M51" i="15"/>
  <c r="I51" i="15"/>
  <c r="H51" i="15"/>
  <c r="E51" i="15"/>
  <c r="N50" i="15"/>
  <c r="M50" i="15"/>
  <c r="I50" i="15"/>
  <c r="H50" i="15"/>
  <c r="E50" i="15"/>
  <c r="N49" i="15"/>
  <c r="M49" i="15"/>
  <c r="I49" i="15"/>
  <c r="H49" i="15"/>
  <c r="E49" i="15"/>
  <c r="N48" i="15"/>
  <c r="M48" i="15"/>
  <c r="I48" i="15"/>
  <c r="H48" i="15"/>
  <c r="N47" i="15"/>
  <c r="M47" i="15"/>
  <c r="I47" i="15"/>
  <c r="H47" i="15"/>
  <c r="N46" i="15"/>
  <c r="M46" i="15"/>
  <c r="I46" i="15"/>
  <c r="H46" i="15"/>
  <c r="N45" i="15"/>
  <c r="M45" i="15"/>
  <c r="I45" i="15"/>
  <c r="H45" i="15"/>
  <c r="N44" i="15"/>
  <c r="M44" i="15"/>
  <c r="I44" i="15"/>
  <c r="H44" i="15"/>
  <c r="N43" i="15"/>
  <c r="M43" i="15"/>
  <c r="I43" i="15"/>
  <c r="H43" i="15"/>
  <c r="N42" i="15"/>
  <c r="M42" i="15"/>
  <c r="I42" i="15"/>
  <c r="H42" i="15"/>
  <c r="E42" i="15"/>
  <c r="N41" i="15"/>
  <c r="M41" i="15"/>
  <c r="I41" i="15"/>
  <c r="H41" i="15"/>
  <c r="E41" i="15"/>
  <c r="N40" i="15"/>
  <c r="M40" i="15"/>
  <c r="I40" i="15"/>
  <c r="H40" i="15"/>
  <c r="N39" i="15"/>
  <c r="M39" i="15"/>
  <c r="I39" i="15"/>
  <c r="H39" i="15"/>
  <c r="N38" i="15"/>
  <c r="M38" i="15"/>
  <c r="I38" i="15"/>
  <c r="H38" i="15"/>
  <c r="N37" i="15"/>
  <c r="M37" i="15"/>
  <c r="I37" i="15"/>
  <c r="H37" i="15"/>
  <c r="N36" i="15"/>
  <c r="M36" i="15"/>
  <c r="I36" i="15"/>
  <c r="H36" i="15"/>
  <c r="E36" i="15"/>
  <c r="N35" i="15"/>
  <c r="M35" i="15"/>
  <c r="I35" i="15"/>
  <c r="H35" i="15"/>
  <c r="N34" i="15"/>
  <c r="M34" i="15"/>
  <c r="I34" i="15"/>
  <c r="H34" i="15"/>
  <c r="E34" i="15"/>
  <c r="N33" i="15"/>
  <c r="M33" i="15"/>
  <c r="I33" i="15"/>
  <c r="H33" i="15"/>
  <c r="E33" i="15"/>
  <c r="N32" i="15"/>
  <c r="M32" i="15"/>
  <c r="I32" i="15"/>
  <c r="H32" i="15"/>
  <c r="N31" i="15"/>
  <c r="M31" i="15"/>
  <c r="I31" i="15"/>
  <c r="H31" i="15"/>
  <c r="E31" i="15"/>
  <c r="N30" i="15"/>
  <c r="M30" i="15"/>
  <c r="I30" i="15"/>
  <c r="H30" i="15"/>
  <c r="E30" i="15"/>
  <c r="N29" i="15"/>
  <c r="M29" i="15"/>
  <c r="I29" i="15"/>
  <c r="H29" i="15"/>
  <c r="E29" i="15"/>
  <c r="N28" i="15"/>
  <c r="M28" i="15"/>
  <c r="I28" i="15"/>
  <c r="H28" i="15"/>
  <c r="E28" i="15"/>
  <c r="N27" i="15"/>
  <c r="M27" i="15"/>
  <c r="I27" i="15"/>
  <c r="H27" i="15"/>
  <c r="N26" i="15"/>
  <c r="M26" i="15"/>
  <c r="I26" i="15"/>
  <c r="H26" i="15"/>
  <c r="H25" i="15"/>
  <c r="N24" i="15"/>
  <c r="M24" i="15"/>
  <c r="I24" i="15"/>
  <c r="H24" i="15"/>
  <c r="E24" i="15"/>
  <c r="N23" i="15"/>
  <c r="M23" i="15"/>
  <c r="I23" i="15"/>
  <c r="H23" i="15"/>
  <c r="N22" i="15"/>
  <c r="M22" i="15"/>
  <c r="I22" i="15"/>
  <c r="H22" i="15"/>
  <c r="E22" i="15"/>
  <c r="N21" i="15"/>
  <c r="M21" i="15"/>
  <c r="I21" i="15"/>
  <c r="H21" i="15"/>
  <c r="E21" i="15"/>
  <c r="N20" i="15"/>
  <c r="M20" i="15"/>
  <c r="I20" i="15"/>
  <c r="H20" i="15"/>
  <c r="E20" i="15"/>
  <c r="N19" i="15"/>
  <c r="M19" i="15"/>
  <c r="I19" i="15"/>
  <c r="H19" i="15"/>
  <c r="E19" i="15"/>
  <c r="N18" i="15"/>
  <c r="M18" i="15"/>
  <c r="I18" i="15"/>
  <c r="H18" i="15"/>
  <c r="N17" i="15"/>
  <c r="M17" i="15"/>
  <c r="I17" i="15"/>
  <c r="H17" i="15"/>
  <c r="N16" i="15"/>
  <c r="M16" i="15"/>
  <c r="I16" i="15"/>
  <c r="H16" i="15"/>
  <c r="N15" i="15"/>
  <c r="M15" i="15"/>
  <c r="I15" i="15"/>
  <c r="H15" i="15"/>
  <c r="H14" i="15"/>
  <c r="N13" i="15"/>
  <c r="M13" i="15"/>
  <c r="I13" i="15"/>
  <c r="H13" i="15"/>
  <c r="N12" i="15"/>
  <c r="M12" i="15"/>
  <c r="I12" i="15"/>
  <c r="H12" i="15"/>
  <c r="N11" i="15"/>
  <c r="M11" i="15"/>
  <c r="I11" i="15"/>
  <c r="H11" i="15"/>
  <c r="N10" i="15"/>
  <c r="M10" i="15"/>
  <c r="I10" i="15"/>
  <c r="H10" i="15"/>
  <c r="N9" i="15"/>
  <c r="M9" i="15"/>
  <c r="I9" i="15"/>
  <c r="H9" i="15"/>
  <c r="N8" i="15"/>
  <c r="M8" i="15"/>
  <c r="I8" i="15"/>
  <c r="H8" i="15"/>
  <c r="N7" i="15"/>
  <c r="M7" i="15"/>
  <c r="I7" i="15"/>
  <c r="H7" i="15"/>
  <c r="N6" i="15"/>
  <c r="M6" i="15"/>
  <c r="I6" i="15"/>
  <c r="H6" i="15"/>
  <c r="N5" i="15"/>
  <c r="M5" i="15"/>
  <c r="I5" i="15"/>
  <c r="H5" i="15"/>
  <c r="N4" i="15"/>
  <c r="M4" i="15"/>
  <c r="I4" i="15"/>
  <c r="H4" i="15"/>
  <c r="N3" i="15"/>
  <c r="M3" i="15"/>
  <c r="I3" i="15"/>
  <c r="H3" i="15"/>
  <c r="AK58" i="16"/>
  <c r="AJ58" i="16"/>
  <c r="AI58" i="16"/>
  <c r="AH58" i="16"/>
  <c r="AG58" i="16"/>
  <c r="AF58" i="16"/>
  <c r="AT58" i="16"/>
  <c r="AS58" i="16"/>
  <c r="AR58" i="16"/>
  <c r="AQ58" i="16"/>
  <c r="AP58" i="16"/>
  <c r="AK57" i="16"/>
  <c r="AU57" i="16"/>
  <c r="AK56" i="16"/>
  <c r="AU56" i="16"/>
  <c r="AK55" i="16"/>
  <c r="AU55" i="16"/>
  <c r="AK54" i="16"/>
  <c r="AU54" i="16"/>
  <c r="AK53" i="16"/>
  <c r="AU53" i="16"/>
  <c r="AK52" i="16"/>
  <c r="AU52" i="16"/>
  <c r="AK51" i="16"/>
  <c r="AU51" i="16"/>
  <c r="AK50" i="16"/>
  <c r="AU50" i="16"/>
  <c r="AK49" i="16"/>
  <c r="AU49" i="16"/>
  <c r="AK48" i="16"/>
  <c r="AU48" i="16"/>
  <c r="AK47" i="16"/>
  <c r="AU47" i="16"/>
  <c r="AK46" i="16"/>
  <c r="AU46" i="16"/>
  <c r="AU58" i="16" s="1"/>
  <c r="AC79" i="16"/>
  <c r="AC78" i="16"/>
  <c r="AC77" i="16"/>
  <c r="AB77" i="16"/>
  <c r="AA77" i="16"/>
  <c r="Z77" i="16"/>
  <c r="Y77" i="16"/>
  <c r="X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X59" i="16"/>
  <c r="X58" i="16"/>
  <c r="Y57" i="16"/>
  <c r="Y56" i="16"/>
  <c r="N56" i="16"/>
  <c r="M56" i="16"/>
  <c r="I56" i="16"/>
  <c r="H56" i="16"/>
  <c r="E56" i="16"/>
  <c r="Y55" i="16"/>
  <c r="N55" i="16"/>
  <c r="M55" i="16"/>
  <c r="I55" i="16"/>
  <c r="H55" i="16"/>
  <c r="E55" i="16"/>
  <c r="Y54" i="16"/>
  <c r="N54" i="16"/>
  <c r="M54" i="16"/>
  <c r="I54" i="16"/>
  <c r="H54" i="16"/>
  <c r="Y53" i="16"/>
  <c r="N53" i="16"/>
  <c r="M53" i="16"/>
  <c r="I53" i="16"/>
  <c r="H53" i="16"/>
  <c r="E53" i="16"/>
  <c r="N52" i="16"/>
  <c r="M52" i="16"/>
  <c r="I52" i="16"/>
  <c r="H52" i="16"/>
  <c r="N51" i="16"/>
  <c r="M51" i="16"/>
  <c r="I51" i="16"/>
  <c r="H51" i="16"/>
  <c r="E51" i="16"/>
  <c r="N50" i="16"/>
  <c r="M50" i="16"/>
  <c r="I50" i="16"/>
  <c r="H50" i="16"/>
  <c r="E50" i="16"/>
  <c r="N49" i="16"/>
  <c r="M49" i="16"/>
  <c r="I49" i="16"/>
  <c r="H49" i="16"/>
  <c r="E49" i="16"/>
  <c r="N48" i="16"/>
  <c r="M48" i="16"/>
  <c r="I48" i="16"/>
  <c r="H48" i="16"/>
  <c r="N47" i="16"/>
  <c r="M47" i="16"/>
  <c r="I47" i="16"/>
  <c r="H47" i="16"/>
  <c r="N46" i="16"/>
  <c r="M46" i="16"/>
  <c r="I46" i="16"/>
  <c r="H46" i="16"/>
  <c r="N45" i="16"/>
  <c r="M45" i="16"/>
  <c r="I45" i="16"/>
  <c r="H45" i="16"/>
  <c r="N44" i="16"/>
  <c r="M44" i="16"/>
  <c r="I44" i="16"/>
  <c r="H44" i="16"/>
  <c r="N43" i="16"/>
  <c r="M43" i="16"/>
  <c r="I43" i="16"/>
  <c r="H43" i="16"/>
  <c r="N42" i="16"/>
  <c r="M42" i="16"/>
  <c r="I42" i="16"/>
  <c r="H42" i="16"/>
  <c r="E42" i="16"/>
  <c r="N41" i="16"/>
  <c r="M41" i="16"/>
  <c r="I41" i="16"/>
  <c r="H41" i="16"/>
  <c r="E41" i="16"/>
  <c r="N40" i="16"/>
  <c r="M40" i="16"/>
  <c r="I40" i="16"/>
  <c r="H40" i="16"/>
  <c r="O39" i="16"/>
  <c r="N39" i="16"/>
  <c r="M39" i="16"/>
  <c r="I39" i="16"/>
  <c r="H39" i="16"/>
  <c r="O38" i="16"/>
  <c r="N38" i="16"/>
  <c r="M38" i="16"/>
  <c r="I38" i="16"/>
  <c r="H38" i="16"/>
  <c r="N37" i="16"/>
  <c r="M37" i="16"/>
  <c r="I37" i="16"/>
  <c r="H37" i="16"/>
  <c r="N36" i="16"/>
  <c r="M36" i="16"/>
  <c r="I36" i="16"/>
  <c r="H36" i="16"/>
  <c r="E36" i="16"/>
  <c r="N35" i="16"/>
  <c r="M35" i="16"/>
  <c r="I35" i="16"/>
  <c r="H35" i="16"/>
  <c r="N34" i="16"/>
  <c r="M34" i="16"/>
  <c r="I34" i="16"/>
  <c r="H34" i="16"/>
  <c r="E34" i="16"/>
  <c r="N33" i="16"/>
  <c r="M33" i="16"/>
  <c r="I33" i="16"/>
  <c r="H33" i="16"/>
  <c r="E33" i="16"/>
  <c r="O32" i="16"/>
  <c r="N32" i="16"/>
  <c r="M32" i="16"/>
  <c r="I32" i="16"/>
  <c r="H32" i="16"/>
  <c r="O31" i="16"/>
  <c r="N31" i="16"/>
  <c r="M31" i="16"/>
  <c r="I31" i="16"/>
  <c r="H31" i="16"/>
  <c r="E31" i="16"/>
  <c r="O30" i="16"/>
  <c r="N30" i="16"/>
  <c r="M30" i="16"/>
  <c r="I30" i="16"/>
  <c r="H30" i="16"/>
  <c r="E30" i="16"/>
  <c r="N29" i="16"/>
  <c r="M29" i="16"/>
  <c r="I29" i="16"/>
  <c r="H29" i="16"/>
  <c r="E29" i="16"/>
  <c r="O28" i="16"/>
  <c r="N28" i="16"/>
  <c r="M28" i="16"/>
  <c r="I28" i="16"/>
  <c r="H28" i="16"/>
  <c r="E28" i="16"/>
  <c r="N27" i="16"/>
  <c r="M27" i="16"/>
  <c r="I27" i="16"/>
  <c r="H27" i="16"/>
  <c r="O26" i="16"/>
  <c r="N26" i="16"/>
  <c r="M26" i="16"/>
  <c r="I26" i="16"/>
  <c r="H26" i="16"/>
  <c r="H25" i="16"/>
  <c r="N24" i="16"/>
  <c r="M24" i="16"/>
  <c r="I24" i="16"/>
  <c r="H24" i="16"/>
  <c r="E24" i="16"/>
  <c r="N23" i="16"/>
  <c r="M23" i="16"/>
  <c r="I23" i="16"/>
  <c r="H23" i="16"/>
  <c r="N22" i="16"/>
  <c r="M22" i="16"/>
  <c r="I22" i="16"/>
  <c r="H22" i="16"/>
  <c r="E22" i="16"/>
  <c r="N21" i="16"/>
  <c r="M21" i="16"/>
  <c r="I21" i="16"/>
  <c r="H21" i="16"/>
  <c r="E21" i="16"/>
  <c r="N20" i="16"/>
  <c r="M20" i="16"/>
  <c r="I20" i="16"/>
  <c r="H20" i="16"/>
  <c r="E20" i="16"/>
  <c r="N19" i="16"/>
  <c r="M19" i="16"/>
  <c r="I19" i="16"/>
  <c r="H19" i="16"/>
  <c r="E19" i="16"/>
  <c r="N18" i="16"/>
  <c r="M18" i="16"/>
  <c r="I18" i="16"/>
  <c r="H18" i="16"/>
  <c r="N17" i="16"/>
  <c r="M17" i="16"/>
  <c r="I17" i="16"/>
  <c r="H17" i="16"/>
  <c r="N16" i="16"/>
  <c r="M16" i="16"/>
  <c r="I16" i="16"/>
  <c r="H16" i="16"/>
  <c r="N15" i="16"/>
  <c r="M15" i="16"/>
  <c r="I15" i="16"/>
  <c r="H15" i="16"/>
  <c r="H14" i="16"/>
  <c r="N13" i="16"/>
  <c r="M13" i="16"/>
  <c r="I13" i="16"/>
  <c r="H13" i="16"/>
  <c r="N12" i="16"/>
  <c r="M12" i="16"/>
  <c r="I12" i="16"/>
  <c r="H12" i="16"/>
  <c r="N11" i="16"/>
  <c r="M11" i="16"/>
  <c r="I11" i="16"/>
  <c r="H11" i="16"/>
  <c r="N10" i="16"/>
  <c r="M10" i="16"/>
  <c r="I10" i="16"/>
  <c r="H10" i="16"/>
  <c r="N9" i="16"/>
  <c r="M9" i="16"/>
  <c r="I9" i="16"/>
  <c r="H9" i="16"/>
  <c r="N8" i="16"/>
  <c r="M8" i="16"/>
  <c r="I8" i="16"/>
  <c r="H8" i="16"/>
  <c r="N7" i="16"/>
  <c r="M7" i="16"/>
  <c r="I7" i="16"/>
  <c r="H7" i="16"/>
  <c r="N6" i="16"/>
  <c r="M6" i="16"/>
  <c r="I6" i="16"/>
  <c r="H6" i="16"/>
  <c r="N5" i="16"/>
  <c r="M5" i="16"/>
  <c r="I5" i="16"/>
  <c r="H5" i="16"/>
  <c r="N4" i="16"/>
  <c r="M4" i="16"/>
  <c r="I4" i="16"/>
  <c r="H4" i="16"/>
  <c r="N3" i="16"/>
  <c r="M3" i="16"/>
  <c r="I3" i="16"/>
  <c r="H3" i="16"/>
  <c r="AF118" i="4"/>
  <c r="AE118" i="4"/>
  <c r="AD118" i="4"/>
  <c r="AC118" i="4"/>
  <c r="AB118" i="4"/>
  <c r="AA118" i="4"/>
  <c r="AF117" i="4"/>
  <c r="AE117" i="4"/>
  <c r="AD117" i="4"/>
  <c r="AC117" i="4"/>
  <c r="AB117" i="4"/>
  <c r="AA117" i="4"/>
  <c r="AF116" i="4"/>
  <c r="AE116" i="4"/>
  <c r="AD116" i="4"/>
  <c r="AC116" i="4"/>
  <c r="AB116" i="4"/>
  <c r="AA116" i="4"/>
  <c r="AF115" i="4"/>
  <c r="AC115" i="4"/>
  <c r="AB115" i="4"/>
  <c r="AF114" i="4"/>
  <c r="AD114" i="4"/>
  <c r="AC114" i="4"/>
  <c r="AB114" i="4"/>
  <c r="AF113" i="4"/>
  <c r="AD113" i="4"/>
  <c r="AC113" i="4"/>
  <c r="AN112" i="4"/>
  <c r="AM112" i="4"/>
  <c r="AK112" i="4"/>
  <c r="AJ112" i="4"/>
  <c r="AF112" i="4"/>
  <c r="AC112" i="4"/>
  <c r="AB112" i="4"/>
  <c r="AN111" i="4"/>
  <c r="AM111" i="4"/>
  <c r="AK111" i="4"/>
  <c r="AJ111" i="4"/>
  <c r="AF111" i="4"/>
  <c r="AD111" i="4"/>
  <c r="AC111" i="4"/>
  <c r="AB111" i="4"/>
  <c r="AN110" i="4"/>
  <c r="AM110" i="4"/>
  <c r="AK110" i="4"/>
  <c r="AJ110" i="4"/>
  <c r="AF110" i="4"/>
  <c r="AE110" i="4"/>
  <c r="AD110" i="4"/>
  <c r="AC110" i="4"/>
  <c r="AO109" i="4"/>
  <c r="AN109" i="4"/>
  <c r="AM109" i="4"/>
  <c r="AL109" i="4"/>
  <c r="AK109" i="4"/>
  <c r="AJ109" i="4"/>
  <c r="AF109" i="4"/>
  <c r="AD109" i="4"/>
  <c r="AC109" i="4"/>
  <c r="AB109" i="4"/>
  <c r="AO108" i="4"/>
  <c r="AN108" i="4"/>
  <c r="AM108" i="4"/>
  <c r="AL108" i="4"/>
  <c r="AK108" i="4"/>
  <c r="AJ108" i="4"/>
  <c r="AF108" i="4"/>
  <c r="AD108" i="4"/>
  <c r="AC108" i="4"/>
  <c r="AO107" i="4"/>
  <c r="AN107" i="4"/>
  <c r="AM107" i="4"/>
  <c r="AL107" i="4"/>
  <c r="AK107" i="4"/>
  <c r="AJ107" i="4"/>
  <c r="AF107" i="4"/>
  <c r="AD107" i="4"/>
  <c r="AC107" i="4"/>
  <c r="AB107" i="4"/>
  <c r="AN106" i="4"/>
  <c r="AM106" i="4"/>
  <c r="AL106" i="4"/>
  <c r="AO106" i="4" s="1"/>
  <c r="AO110" i="4" s="1"/>
  <c r="AK106" i="4"/>
  <c r="AJ106" i="4"/>
  <c r="AF106" i="4"/>
  <c r="AE106" i="4"/>
  <c r="AC106" i="4"/>
  <c r="AO105" i="4"/>
  <c r="AN105" i="4"/>
  <c r="AM105" i="4"/>
  <c r="AL105" i="4"/>
  <c r="AK105" i="4"/>
  <c r="AJ105" i="4"/>
  <c r="AF105" i="4"/>
  <c r="AE105" i="4"/>
  <c r="AC105" i="4"/>
  <c r="AB105" i="4"/>
  <c r="AO104" i="4"/>
  <c r="AN104" i="4"/>
  <c r="AM104" i="4"/>
  <c r="AL104" i="4"/>
  <c r="AK104" i="4"/>
  <c r="AJ104" i="4"/>
  <c r="AF104" i="4"/>
  <c r="AD104" i="4"/>
  <c r="AC104" i="4"/>
  <c r="AB104" i="4"/>
  <c r="AO103" i="4"/>
  <c r="AN103" i="4"/>
  <c r="AM103" i="4"/>
  <c r="AL103" i="4"/>
  <c r="AK103" i="4"/>
  <c r="AJ103" i="4"/>
  <c r="AO102" i="4"/>
  <c r="AN102" i="4"/>
  <c r="AM102" i="4"/>
  <c r="AL102" i="4"/>
  <c r="AK102" i="4"/>
  <c r="AJ102" i="4"/>
  <c r="AO101" i="4"/>
  <c r="AN101" i="4"/>
  <c r="AM101" i="4"/>
  <c r="AL101" i="4"/>
  <c r="AK101" i="4"/>
  <c r="AJ101" i="4"/>
  <c r="AO100" i="4"/>
  <c r="AN100" i="4"/>
  <c r="AM100" i="4"/>
  <c r="AL100" i="4"/>
  <c r="AK100" i="4"/>
  <c r="AJ100" i="4"/>
  <c r="AO99" i="4"/>
  <c r="AN99" i="4"/>
  <c r="AM99" i="4"/>
  <c r="AL99" i="4"/>
  <c r="AK99" i="4"/>
  <c r="AJ99" i="4"/>
  <c r="AO98" i="4"/>
  <c r="AN98" i="4"/>
  <c r="AM98" i="4"/>
  <c r="AL98" i="4"/>
  <c r="AK98" i="4"/>
  <c r="AJ98" i="4"/>
  <c r="AE98" i="4"/>
  <c r="AD98" i="4"/>
  <c r="AB98" i="4"/>
  <c r="AA98" i="4"/>
  <c r="AE97" i="4"/>
  <c r="AD97" i="4"/>
  <c r="AC97" i="4"/>
  <c r="AF97" i="4" s="1"/>
  <c r="AB97" i="4"/>
  <c r="AA97" i="4"/>
  <c r="AE96" i="4"/>
  <c r="AD96" i="4"/>
  <c r="AC96" i="4"/>
  <c r="AC98" i="4" s="1"/>
  <c r="AF98" i="4" s="1"/>
  <c r="AB96" i="4"/>
  <c r="AA96" i="4"/>
  <c r="AF95" i="4"/>
  <c r="AF94" i="4"/>
  <c r="AF93" i="4"/>
  <c r="AF92" i="4"/>
  <c r="AF96" i="4" s="1"/>
  <c r="AF91" i="4"/>
  <c r="AF90" i="4"/>
  <c r="AF89" i="4"/>
  <c r="AF88" i="4"/>
  <c r="AF87" i="4"/>
  <c r="AF86" i="4"/>
  <c r="AF85" i="4"/>
  <c r="AF84" i="4"/>
  <c r="N56" i="4"/>
  <c r="M56" i="4"/>
  <c r="I56" i="4"/>
  <c r="H56" i="4"/>
  <c r="E56" i="4"/>
  <c r="N55" i="4"/>
  <c r="M55" i="4"/>
  <c r="I55" i="4"/>
  <c r="H55" i="4"/>
  <c r="E55" i="4"/>
  <c r="N54" i="4"/>
  <c r="M54" i="4"/>
  <c r="I54" i="4"/>
  <c r="H54" i="4"/>
  <c r="N53" i="4"/>
  <c r="M53" i="4"/>
  <c r="I53" i="4"/>
  <c r="H53" i="4"/>
  <c r="E53" i="4"/>
  <c r="N52" i="4"/>
  <c r="M52" i="4"/>
  <c r="I52" i="4"/>
  <c r="H52" i="4"/>
  <c r="N51" i="4"/>
  <c r="M51" i="4"/>
  <c r="I51" i="4"/>
  <c r="H51" i="4"/>
  <c r="E51" i="4"/>
  <c r="N50" i="4"/>
  <c r="M50" i="4"/>
  <c r="I50" i="4"/>
  <c r="H50" i="4"/>
  <c r="E50" i="4"/>
  <c r="N49" i="4"/>
  <c r="M49" i="4"/>
  <c r="I49" i="4"/>
  <c r="H49" i="4"/>
  <c r="E49" i="4"/>
  <c r="N48" i="4"/>
  <c r="M48" i="4"/>
  <c r="I48" i="4"/>
  <c r="H48" i="4"/>
  <c r="N47" i="4"/>
  <c r="M47" i="4"/>
  <c r="I47" i="4"/>
  <c r="H47" i="4"/>
  <c r="N46" i="4"/>
  <c r="M46" i="4"/>
  <c r="I46" i="4"/>
  <c r="H46" i="4"/>
  <c r="N45" i="4"/>
  <c r="M45" i="4"/>
  <c r="I45" i="4"/>
  <c r="H45" i="4"/>
  <c r="N44" i="4"/>
  <c r="M44" i="4"/>
  <c r="I44" i="4"/>
  <c r="H44" i="4"/>
  <c r="N43" i="4"/>
  <c r="M43" i="4"/>
  <c r="I43" i="4"/>
  <c r="H43" i="4"/>
  <c r="N42" i="4"/>
  <c r="M42" i="4"/>
  <c r="I42" i="4"/>
  <c r="H42" i="4"/>
  <c r="E42" i="4"/>
  <c r="N41" i="4"/>
  <c r="M41" i="4"/>
  <c r="I41" i="4"/>
  <c r="H41" i="4"/>
  <c r="E41" i="4"/>
  <c r="N40" i="4"/>
  <c r="M40" i="4"/>
  <c r="I40" i="4"/>
  <c r="H40" i="4"/>
  <c r="N39" i="4"/>
  <c r="M39" i="4"/>
  <c r="I39" i="4"/>
  <c r="H39" i="4"/>
  <c r="N38" i="4"/>
  <c r="M38" i="4"/>
  <c r="I38" i="4"/>
  <c r="H38" i="4"/>
  <c r="N37" i="4"/>
  <c r="M37" i="4"/>
  <c r="I37" i="4"/>
  <c r="H37" i="4"/>
  <c r="N36" i="4"/>
  <c r="M36" i="4"/>
  <c r="I36" i="4"/>
  <c r="H36" i="4"/>
  <c r="E36" i="4"/>
  <c r="N35" i="4"/>
  <c r="M35" i="4"/>
  <c r="I35" i="4"/>
  <c r="H35" i="4"/>
  <c r="N34" i="4"/>
  <c r="M34" i="4"/>
  <c r="I34" i="4"/>
  <c r="H34" i="4"/>
  <c r="E34" i="4"/>
  <c r="N33" i="4"/>
  <c r="M33" i="4"/>
  <c r="I33" i="4"/>
  <c r="H33" i="4"/>
  <c r="E33" i="4"/>
  <c r="N32" i="4"/>
  <c r="M32" i="4"/>
  <c r="I32" i="4"/>
  <c r="H32" i="4"/>
  <c r="N31" i="4"/>
  <c r="M31" i="4"/>
  <c r="I31" i="4"/>
  <c r="H31" i="4"/>
  <c r="E31" i="4"/>
  <c r="N30" i="4"/>
  <c r="M30" i="4"/>
  <c r="I30" i="4"/>
  <c r="H30" i="4"/>
  <c r="E30" i="4"/>
  <c r="N29" i="4"/>
  <c r="M29" i="4"/>
  <c r="I29" i="4"/>
  <c r="H29" i="4"/>
  <c r="E29" i="4"/>
  <c r="N28" i="4"/>
  <c r="M28" i="4"/>
  <c r="I28" i="4"/>
  <c r="H28" i="4"/>
  <c r="E28" i="4"/>
  <c r="N27" i="4"/>
  <c r="M27" i="4"/>
  <c r="I27" i="4"/>
  <c r="H27" i="4"/>
  <c r="N26" i="4"/>
  <c r="M26" i="4"/>
  <c r="I26" i="4"/>
  <c r="H26" i="4"/>
  <c r="H25" i="4"/>
  <c r="N24" i="4"/>
  <c r="M24" i="4"/>
  <c r="I24" i="4"/>
  <c r="H24" i="4"/>
  <c r="E24" i="4"/>
  <c r="N23" i="4"/>
  <c r="M23" i="4"/>
  <c r="I23" i="4"/>
  <c r="H23" i="4"/>
  <c r="N22" i="4"/>
  <c r="M22" i="4"/>
  <c r="I22" i="4"/>
  <c r="H22" i="4"/>
  <c r="E22" i="4"/>
  <c r="N21" i="4"/>
  <c r="M21" i="4"/>
  <c r="I21" i="4"/>
  <c r="H21" i="4"/>
  <c r="E21" i="4"/>
  <c r="N20" i="4"/>
  <c r="M20" i="4"/>
  <c r="I20" i="4"/>
  <c r="H20" i="4"/>
  <c r="E20" i="4"/>
  <c r="N19" i="4"/>
  <c r="M19" i="4"/>
  <c r="I19" i="4"/>
  <c r="H19" i="4"/>
  <c r="E19" i="4"/>
  <c r="N18" i="4"/>
  <c r="M18" i="4"/>
  <c r="I18" i="4"/>
  <c r="H18" i="4"/>
  <c r="N17" i="4"/>
  <c r="M17" i="4"/>
  <c r="I17" i="4"/>
  <c r="H17" i="4"/>
  <c r="N16" i="4"/>
  <c r="M16" i="4"/>
  <c r="I16" i="4"/>
  <c r="H16" i="4"/>
  <c r="N15" i="4"/>
  <c r="M15" i="4"/>
  <c r="I15" i="4"/>
  <c r="H15" i="4"/>
  <c r="H14" i="4"/>
  <c r="N13" i="4"/>
  <c r="M13" i="4"/>
  <c r="I13" i="4"/>
  <c r="H13" i="4"/>
  <c r="N12" i="4"/>
  <c r="M12" i="4"/>
  <c r="I12" i="4"/>
  <c r="H12" i="4"/>
  <c r="N11" i="4"/>
  <c r="M11" i="4"/>
  <c r="I11" i="4"/>
  <c r="H11" i="4"/>
  <c r="N10" i="4"/>
  <c r="M10" i="4"/>
  <c r="I10" i="4"/>
  <c r="H10" i="4"/>
  <c r="N9" i="4"/>
  <c r="M9" i="4"/>
  <c r="I9" i="4"/>
  <c r="H9" i="4"/>
  <c r="N8" i="4"/>
  <c r="M8" i="4"/>
  <c r="I8" i="4"/>
  <c r="H8" i="4"/>
  <c r="N7" i="4"/>
  <c r="M7" i="4"/>
  <c r="I7" i="4"/>
  <c r="H7" i="4"/>
  <c r="N6" i="4"/>
  <c r="M6" i="4"/>
  <c r="I6" i="4"/>
  <c r="H6" i="4"/>
  <c r="N5" i="4"/>
  <c r="M5" i="4"/>
  <c r="I5" i="4"/>
  <c r="H5" i="4"/>
  <c r="N4" i="4"/>
  <c r="M4" i="4"/>
  <c r="I4" i="4"/>
  <c r="H4" i="4"/>
  <c r="N3" i="4"/>
  <c r="M3" i="4"/>
  <c r="I3" i="4"/>
  <c r="H3" i="4"/>
  <c r="J34" i="1"/>
  <c r="E34" i="1"/>
  <c r="K33" i="1"/>
  <c r="J33" i="1"/>
  <c r="H33" i="1"/>
  <c r="F33" i="1"/>
  <c r="E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L110" i="4" l="1"/>
  <c r="AK92" i="16"/>
  <c r="AU60" i="16"/>
  <c r="AK59" i="16"/>
  <c r="AK60" i="16"/>
  <c r="AL112" i="4" l="1"/>
  <c r="AO112" i="4" s="1"/>
  <c r="AL111" i="4"/>
  <c r="AO111" i="4" s="1"/>
  <c r="AU59" i="16"/>
</calcChain>
</file>

<file path=xl/sharedStrings.xml><?xml version="1.0" encoding="utf-8"?>
<sst xmlns="http://schemas.openxmlformats.org/spreadsheetml/2006/main" count="4163" uniqueCount="606">
  <si>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</si>
  <si>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</si>
  <si>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</si>
  <si>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</si>
  <si>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</si>
  <si>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</si>
  <si>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</si>
  <si>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</si>
  <si>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</si>
  <si>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</si>
  <si>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</si>
  <si>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</si>
  <si>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</si>
  <si>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</si>
  <si>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</si>
  <si>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</si>
  <si>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</si>
  <si>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</si>
  <si>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</si>
  <si>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</si>
  <si>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</si>
  <si>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</si>
  <si>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</si>
  <si>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</si>
  <si>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</si>
  <si>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</si>
  <si>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</si>
  <si>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</si>
  <si>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</si>
  <si>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</si>
  <si>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</si>
  <si>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</si>
  <si>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</si>
  <si>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</si>
  <si>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</si>
  <si>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</si>
  <si>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</si>
  <si>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</si>
  <si>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</si>
  <si>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</si>
  <si>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</si>
  <si>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</si>
  <si>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</si>
  <si>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</si>
  <si>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</si>
  <si>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</si>
  <si>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</si>
  <si>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</si>
  <si>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</si>
  <si>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</si>
  <si>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</si>
  <si>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</si>
  <si>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</si>
  <si>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</si>
  <si>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</si>
  <si>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</si>
  <si>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</si>
  <si>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</si>
  <si>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</si>
  <si>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</si>
  <si>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</si>
  <si>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</si>
  <si>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</si>
  <si>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</si>
  <si>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</si>
  <si>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</si>
  <si>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</si>
  <si>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</si>
  <si>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</si>
  <si>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</si>
  <si>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</si>
  <si>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</si>
  <si>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</si>
  <si>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</si>
  <si>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</si>
  <si>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</si>
  <si>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</si>
  <si>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</si>
  <si>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</si>
  <si>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</si>
  <si>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</si>
  <si>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</si>
  <si>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</si>
  <si>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</si>
  <si>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</si>
  <si>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</si>
  <si>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</si>
  <si>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</si>
  <si>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</si>
  <si>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</si>
  <si>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</si>
  <si>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</si>
  <si>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</si>
  <si>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</si>
  <si>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</si>
  <si>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</si>
  <si>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</si>
  <si>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</si>
  <si>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</si>
  <si>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</si>
  <si>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</si>
  <si>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</si>
  <si>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</si>
  <si>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</si>
  <si>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</si>
  <si>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</si>
  <si>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</si>
  <si>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</si>
  <si>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</si>
  <si>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</si>
  <si>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</si>
  <si>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</si>
  <si>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</si>
  <si>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</si>
  <si>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</si>
  <si>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</si>
  <si>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</si>
  <si>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</si>
  <si>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</si>
  <si>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</si>
  <si>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</si>
  <si>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</si>
  <si>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</si>
  <si>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</si>
  <si>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</si>
  <si>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</si>
  <si>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</si>
  <si>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</si>
  <si>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</si>
  <si>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</si>
  <si>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</si>
  <si>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</si>
  <si>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</si>
  <si>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</si>
  <si>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</si>
  <si>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</si>
  <si>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</si>
  <si>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</si>
  <si>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</si>
  <si>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</si>
  <si>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</si>
  <si>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</si>
  <si>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</si>
  <si>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</si>
  <si>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</si>
  <si>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</si>
  <si>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</si>
  <si>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</si>
  <si>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</si>
  <si>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</si>
  <si>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</si>
  <si>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</si>
  <si>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</si>
  <si>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</si>
  <si>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</si>
  <si>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</si>
  <si>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</si>
  <si>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</si>
  <si>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</si>
  <si>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</si>
  <si>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</si>
  <si>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</si>
  <si>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</si>
  <si>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</si>
  <si>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</si>
  <si>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</si>
  <si>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</si>
  <si>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</si>
  <si>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</si>
  <si>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</si>
  <si>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</si>
  <si>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</si>
  <si>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</si>
  <si>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</si>
  <si>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</si>
  <si>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</si>
  <si>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</si>
  <si>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</si>
  <si>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</si>
  <si>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</si>
  <si>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</si>
  <si>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</si>
  <si>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</si>
  <si>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</si>
  <si>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</si>
  <si>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</si>
  <si>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</si>
  <si>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</si>
  <si>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</si>
  <si>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</si>
  <si>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</si>
  <si>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</si>
  <si>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</si>
  <si>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</si>
  <si>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</si>
  <si>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</si>
  <si>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</si>
  <si>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</si>
  <si>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</si>
  <si>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</si>
  <si>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</si>
  <si>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</si>
  <si>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</si>
  <si>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</si>
  <si>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</si>
  <si>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</si>
  <si>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</si>
  <si>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</si>
  <si>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</si>
  <si>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</si>
  <si>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</si>
  <si>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</si>
  <si>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</si>
  <si>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</si>
  <si>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</si>
  <si>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</si>
  <si>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</si>
  <si>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</si>
  <si>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</si>
  <si>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</si>
  <si>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</si>
  <si>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</si>
  <si>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</si>
  <si>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</si>
  <si>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</si>
  <si>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</si>
  <si>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</si>
  <si>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</si>
  <si>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</si>
  <si>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</si>
  <si>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</si>
  <si>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</si>
  <si>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</si>
  <si>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</si>
  <si>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</si>
  <si>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</si>
  <si>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</si>
  <si>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</si>
  <si>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</si>
  <si>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</si>
  <si>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</si>
  <si>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</si>
  <si>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</si>
  <si>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</si>
  <si>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</si>
  <si>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</si>
  <si>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</si>
  <si>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</si>
  <si>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</si>
  <si>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</si>
  <si>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</si>
  <si>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</si>
  <si>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</si>
  <si>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</si>
  <si>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</si>
  <si>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</si>
  <si>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</si>
  <si>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</si>
  <si>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</si>
  <si>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</si>
  <si>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</si>
  <si>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</si>
  <si>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</si>
  <si>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</si>
  <si>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</si>
  <si>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</si>
  <si>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</si>
  <si>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</si>
  <si>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</si>
  <si>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</si>
  <si>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</si>
  <si>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</si>
  <si>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</si>
  <si>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</si>
  <si>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</si>
  <si>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</si>
  <si>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</si>
  <si>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</si>
  <si>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</si>
  <si>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</si>
  <si>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</si>
  <si>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</si>
  <si>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</si>
  <si>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</si>
  <si>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</si>
  <si>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</si>
  <si>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</si>
  <si>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</si>
  <si>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</si>
  <si>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</si>
  <si>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</si>
  <si>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</si>
  <si>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</si>
  <si>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</si>
  <si>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</si>
  <si>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</si>
  <si>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</si>
  <si>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</si>
  <si>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</si>
  <si>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</si>
  <si>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</si>
  <si>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</si>
  <si>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</si>
  <si>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</si>
  <si>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</si>
  <si>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</si>
  <si>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</si>
  <si>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</si>
  <si>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</si>
  <si>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</si>
  <si>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</si>
  <si>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</si>
  <si>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</si>
  <si>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</si>
  <si>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</si>
  <si>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</si>
  <si>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</si>
  <si>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</si>
  <si>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</si>
  <si>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</si>
  <si>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</si>
  <si>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</si>
  <si>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</si>
  <si>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</si>
  <si>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</si>
  <si>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</si>
  <si>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</si>
  <si>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</si>
  <si>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</si>
  <si>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</si>
  <si>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</si>
  <si>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</si>
  <si>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</si>
  <si>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</si>
  <si>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</si>
  <si>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</si>
  <si>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</si>
  <si>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</si>
  <si>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</si>
  <si>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</si>
  <si>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</si>
  <si>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</si>
  <si>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</si>
  <si>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</si>
  <si>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</si>
  <si>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</si>
  <si>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</si>
  <si>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</si>
  <si>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</si>
  <si>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</si>
  <si>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</si>
  <si>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</si>
  <si>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</si>
  <si>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</si>
  <si>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</si>
  <si>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</si>
  <si>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</si>
  <si>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</si>
  <si>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</si>
  <si>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</si>
  <si>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</si>
  <si>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</si>
  <si>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</si>
  <si>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</si>
  <si>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 xml:space="preserve"> F - U</t>
  </si>
  <si>
    <t>%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</si>
  <si>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</si>
  <si>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</si>
  <si>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</si>
  <si>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</si>
  <si>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</si>
  <si>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</si>
  <si>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</si>
  <si>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</si>
  <si>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</si>
  <si>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</si>
  <si>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</si>
  <si>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</si>
  <si>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</si>
  <si>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</si>
  <si>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DO - F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</si>
  <si>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</si>
  <si>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</si>
  <si>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</si>
  <si>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</si>
  <si>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</si>
  <si>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</si>
  <si>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</si>
  <si>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</si>
  <si>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</si>
  <si>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</si>
  <si>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</si>
  <si>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</si>
  <si>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</si>
  <si>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</si>
  <si>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</si>
  <si>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</si>
  <si>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</si>
  <si>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</si>
  <si>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</si>
  <si>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</si>
  <si>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</si>
  <si>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</si>
  <si>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</si>
  <si>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</si>
  <si>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</si>
  <si>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</si>
  <si>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</si>
  <si>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</si>
  <si>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</si>
  <si>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</si>
  <si>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</si>
  <si>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</si>
  <si>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</si>
  <si>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</si>
  <si>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</si>
  <si>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</si>
  <si>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</si>
  <si>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</si>
  <si>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</si>
  <si>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</si>
  <si>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</si>
  <si>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</si>
  <si>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</si>
  <si>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</si>
  <si>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</si>
  <si>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</si>
  <si>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</si>
  <si>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</si>
  <si>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</si>
  <si>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>B -- H -- L</t>
  </si>
  <si>
    <t>B -- H -- F</t>
  </si>
  <si>
    <t xml:space="preserve"> B - F</t>
  </si>
  <si>
    <t xml:space="preserve">B -- L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</si>
  <si>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</si>
  <si>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</si>
  <si>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</si>
  <si>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</si>
  <si>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</si>
  <si>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</si>
  <si>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</si>
  <si>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</si>
  <si>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</si>
  <si>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</si>
  <si>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</si>
  <si>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</si>
  <si>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</si>
  <si>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</si>
  <si>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</si>
  <si>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</si>
  <si>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</si>
  <si>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</si>
  <si>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</si>
  <si>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M - S, N - S</t>
  </si>
  <si>
    <t>F - L, F - N, L - S</t>
  </si>
  <si>
    <t>Conclusion</t>
  </si>
  <si>
    <t>No</t>
  </si>
  <si>
    <t>Amount of Extra Capacity Required (G)</t>
  </si>
  <si>
    <t>Reroute required?</t>
  </si>
  <si>
    <t>Link Utilization (%)</t>
  </si>
  <si>
    <t>Scale</t>
  </si>
  <si>
    <t>Traffic Carried After Scale (G)</t>
  </si>
  <si>
    <t>Traffic After Scale (G)</t>
  </si>
  <si>
    <t>D-H , F-K</t>
  </si>
  <si>
    <t xml:space="preserve">46.44, 62.64, </t>
  </si>
  <si>
    <t>DO - F, H-HH, H-L</t>
  </si>
  <si>
    <t>27.45, 16.78, 47.14</t>
  </si>
  <si>
    <t>D-L, DO-H</t>
  </si>
  <si>
    <t>8.65, 209.21</t>
  </si>
  <si>
    <t>F-H, H-K</t>
  </si>
  <si>
    <t>560.23, 130</t>
  </si>
  <si>
    <t>F - L , F-S, L - N, N - S</t>
  </si>
  <si>
    <t>267.37, 9.38, 202.828, 280.104</t>
  </si>
  <si>
    <t>200.31, 32.387, 194.45</t>
  </si>
  <si>
    <t xml:space="preserve"> 168.942, 213.05</t>
  </si>
  <si>
    <t>D -H</t>
  </si>
  <si>
    <t xml:space="preserve">F -H </t>
  </si>
  <si>
    <t xml:space="preserve">H -K </t>
  </si>
  <si>
    <t>Yes</t>
  </si>
  <si>
    <t>F -L , F-N, L-S</t>
  </si>
  <si>
    <t>247, 79.31, 318.78</t>
  </si>
  <si>
    <t>M-S, N-S</t>
  </si>
  <si>
    <t>237, 260</t>
  </si>
  <si>
    <t xml:space="preserve">H - L </t>
  </si>
  <si>
    <t>D - H, H - HH</t>
  </si>
  <si>
    <t>55.71, 26.05</t>
  </si>
  <si>
    <t xml:space="preserve">DO - F, F - K, H - L </t>
  </si>
  <si>
    <t>36.72, 72, 56.41</t>
  </si>
  <si>
    <t xml:space="preserve">D - L , DO - H </t>
  </si>
  <si>
    <t>160, 255.64</t>
  </si>
  <si>
    <t xml:space="preserve">D - H , H - K </t>
  </si>
  <si>
    <t>70.63, 173.67</t>
  </si>
  <si>
    <t>F - L , F - S, L - N, N - S</t>
  </si>
  <si>
    <t>349, 91, 285, 362</t>
  </si>
  <si>
    <t>243, 75, 237</t>
  </si>
  <si>
    <t xml:space="preserve"> 211, 256</t>
  </si>
  <si>
    <t>Extra # of Trans required</t>
  </si>
  <si>
    <t>LP Capacity accor Reach (G)</t>
  </si>
  <si>
    <t># of LP's required</t>
  </si>
  <si>
    <t>Total Cap (G)</t>
  </si>
  <si>
    <t xml:space="preserve">Link Utilization </t>
  </si>
  <si>
    <t>NO REROUTING DONE</t>
  </si>
  <si>
    <t xml:space="preserve">Traffic carried after Scale(G) </t>
  </si>
  <si>
    <t>alpha 0.6 chosen</t>
  </si>
  <si>
    <t>Extra Cap Installed Directly at Failed Link</t>
  </si>
  <si>
    <t>U</t>
  </si>
  <si>
    <t>Node</t>
  </si>
  <si>
    <t>100G</t>
  </si>
  <si>
    <t>150G</t>
  </si>
  <si>
    <t>200G</t>
  </si>
  <si>
    <t>250G</t>
  </si>
  <si>
    <t>400G</t>
  </si>
  <si>
    <t>Transponder Type</t>
  </si>
  <si>
    <t>Bit Rate (Gbps)</t>
  </si>
  <si>
    <t>Cost (cu)</t>
  </si>
  <si>
    <t># of Trans.</t>
  </si>
  <si>
    <t>Path</t>
  </si>
  <si>
    <t>Selective alpha = 0  (reroutes every multiple-path demand from failed link)</t>
  </si>
  <si>
    <t>Selective 0&lt;alpha&lt;1 (Reroutes 1-alpha% of each multi-path demands)</t>
  </si>
  <si>
    <t>Selective alpha=0</t>
  </si>
  <si>
    <t>Selective 0&lt;alpha&lt;1</t>
  </si>
  <si>
    <t>Ignored</t>
  </si>
  <si>
    <t>ignored</t>
  </si>
  <si>
    <t>D - H, F-K, H - HH</t>
  </si>
  <si>
    <t>75, 72, 26</t>
  </si>
  <si>
    <t xml:space="preserve">DO - F, H - L </t>
  </si>
  <si>
    <t>36, 101</t>
  </si>
  <si>
    <t>D - H, D - HH</t>
  </si>
  <si>
    <t>47, 25</t>
  </si>
  <si>
    <t xml:space="preserve">DO - H , D - L </t>
  </si>
  <si>
    <t>308, 330</t>
  </si>
  <si>
    <t>352, 98, 411, 380</t>
  </si>
  <si>
    <t>F - L , F - N, L - S</t>
  </si>
  <si>
    <t>540, 73, 320</t>
  </si>
  <si>
    <t>L - U, M - S, N - S</t>
  </si>
  <si>
    <t>270, 237, 258</t>
  </si>
  <si>
    <t xml:space="preserve">L - U </t>
  </si>
  <si>
    <t>alpha=0</t>
  </si>
  <si>
    <t>Approaches</t>
  </si>
  <si>
    <t>NoRerouting</t>
  </si>
  <si>
    <t>ES-EP</t>
  </si>
  <si>
    <t>US-EP</t>
  </si>
  <si>
    <t>US-UP</t>
  </si>
  <si>
    <t>US</t>
  </si>
  <si>
    <t>Multiple-path Reroute</t>
  </si>
  <si>
    <t>Shut-off lambda</t>
  </si>
  <si>
    <t>BDF</t>
  </si>
  <si>
    <t>SDF</t>
  </si>
  <si>
    <t>Single-hop Reroute</t>
  </si>
  <si>
    <t>C_failure (Gbps)</t>
  </si>
  <si>
    <t>CAPEX (SCU)</t>
  </si>
  <si>
    <t>Shut-off lambda = 0  (reroutes every demand from affected link)</t>
  </si>
  <si>
    <t xml:space="preserve">Selective 0&lt;alpha&lt;1 </t>
  </si>
  <si>
    <t>Cost (scu)</t>
  </si>
  <si>
    <t>Working capacity of IP link e [Gbit/s]:</t>
  </si>
  <si>
    <t>Nominal capacity of IP link e in failure free mode [Gbit/s]:</t>
  </si>
  <si>
    <t>Spare capacity of IP link e [Gbit/s]:</t>
  </si>
  <si>
    <t>Flow Thinning with Modular Capacities</t>
  </si>
  <si>
    <t>300G</t>
  </si>
  <si>
    <t>Bit Rate (gbps)</t>
  </si>
  <si>
    <t>Affine Flow Thinning</t>
  </si>
  <si>
    <t>Flow Thinning</t>
  </si>
  <si>
    <t>Affine Flow Thinning with modular capacities</t>
  </si>
  <si>
    <t>Flow Thinning with modular capacities</t>
  </si>
  <si>
    <t>Working Capacity (Gbps)</t>
  </si>
  <si>
    <t>Spare Capacity (Gbps)</t>
  </si>
  <si>
    <t>Total Capacity (Gbps)</t>
  </si>
  <si>
    <t>ES-ES</t>
  </si>
  <si>
    <t>Shut-off lambda - Working Capacity</t>
  </si>
  <si>
    <t>Shut-off lambda - Total Capacity</t>
  </si>
  <si>
    <t>Multiple-path Reroute - Working Capacity</t>
  </si>
  <si>
    <t>Multiple-path Reroute - Total Capacity</t>
  </si>
  <si>
    <t>Multiple-path Reroute - Spare Capacity</t>
  </si>
  <si>
    <t>BDF - Spare Capacity</t>
  </si>
  <si>
    <t>BDF - Working Capacity</t>
  </si>
  <si>
    <t>BDF - Total Capacity</t>
  </si>
  <si>
    <t>SDF - Spare Capacity</t>
  </si>
  <si>
    <t>SDF - Working Capacity</t>
  </si>
  <si>
    <t>SDF - Total Capacity</t>
  </si>
  <si>
    <t>Single-hop Reroute - Spare Capacity</t>
  </si>
  <si>
    <t>Single-hop Reroute - Working Capacity</t>
  </si>
  <si>
    <t>Single-hop Reroute - Total Capacity</t>
  </si>
  <si>
    <t>No-Reroute - Spare Capacity</t>
  </si>
  <si>
    <t>No-Reroute - Working Capacity</t>
  </si>
  <si>
    <t>No-Reroute - Total Capacity</t>
  </si>
  <si>
    <t>ES-EP - Spare Capacity</t>
  </si>
  <si>
    <t>ES-EP - Working Capacity</t>
  </si>
  <si>
    <t>ES-EP - Total Capacity</t>
  </si>
  <si>
    <t>US-EP - Spare Capacity</t>
  </si>
  <si>
    <t>US-EP - Working Capacity</t>
  </si>
  <si>
    <t>US-EP - Total Capacity</t>
  </si>
  <si>
    <t>US-UP - Spare Capacity</t>
  </si>
  <si>
    <t>US-UP - Working Capacity</t>
  </si>
  <si>
    <t>US-UP - Total Capacity</t>
  </si>
  <si>
    <t>US - Spare Capacity</t>
  </si>
  <si>
    <t>US - Working Capacity</t>
  </si>
  <si>
    <t>US - Total Capacity</t>
  </si>
  <si>
    <t xml:space="preserve">Flow Thinning </t>
  </si>
  <si>
    <t>Total:</t>
  </si>
  <si>
    <t>Flow Thinning with Modular Capacities - Total Capacity</t>
  </si>
  <si>
    <t xml:space="preserve">Affine Flow Thinning </t>
  </si>
  <si>
    <t>Affine Flow Thinning with modular capacities - Total Capacity</t>
  </si>
  <si>
    <t>Selective 0&lt;alpha&lt;1 - Spare Capacity</t>
  </si>
  <si>
    <t>Selective 0&lt;alpha&lt;1 - Working Capacity</t>
  </si>
  <si>
    <t>Selective 0&lt;alpha&lt;1 - Total Capacity</t>
  </si>
  <si>
    <t>Shut-off lambda - Spare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</si>
</sst>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9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8" fillId="0" borderId="0"/>
    <xf numFmtId="43" fontId="19" fillId="0" borderId="0" applyFont="0" applyFill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</cellStyleXfs>
  <cellXfs count="5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1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4" borderId="49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7" borderId="59" xfId="0" applyFont="1" applyFill="1" applyBorder="1" applyAlignment="1">
      <alignment horizontal="center"/>
    </xf>
    <xf numFmtId="0" fontId="4" fillId="7" borderId="60" xfId="0" applyFont="1" applyFill="1" applyBorder="1" applyAlignment="1">
      <alignment horizontal="center"/>
    </xf>
    <xf numFmtId="0" fontId="4" fillId="3" borderId="62" xfId="0" applyFont="1" applyFill="1" applyBorder="1" applyAlignment="1">
      <alignment horizontal="center"/>
    </xf>
    <xf numFmtId="0" fontId="4" fillId="3" borderId="6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61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5" fillId="4" borderId="67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8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0" borderId="28" xfId="0" applyFont="1" applyFill="1" applyBorder="1" applyAlignment="1">
      <alignment horizontal="center"/>
    </xf>
    <xf numFmtId="0" fontId="5" fillId="10" borderId="31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5" fillId="12" borderId="58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15" fillId="4" borderId="58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0" xfId="0" applyBorder="1"/>
    <xf numFmtId="0" fontId="5" fillId="0" borderId="27" xfId="0" applyFont="1" applyBorder="1"/>
    <xf numFmtId="0" fontId="5" fillId="0" borderId="10" xfId="0" applyFont="1" applyBorder="1"/>
    <xf numFmtId="0" fontId="5" fillId="0" borderId="0" xfId="0" applyFont="1" applyFill="1" applyBorder="1" applyAlignment="1"/>
    <xf numFmtId="0" fontId="4" fillId="0" borderId="7" xfId="0" applyFont="1" applyBorder="1" applyAlignment="1">
      <alignment horizontal="center"/>
    </xf>
    <xf numFmtId="0" fontId="5" fillId="0" borderId="61" xfId="0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5" borderId="41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18" fillId="0" borderId="61" xfId="0" applyFont="1" applyFill="1" applyBorder="1" applyAlignment="1">
      <alignment horizontal="center"/>
    </xf>
    <xf numFmtId="0" fontId="4" fillId="0" borderId="60" xfId="0" applyFont="1" applyFill="1" applyBorder="1" applyAlignment="1"/>
    <xf numFmtId="0" fontId="4" fillId="0" borderId="60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19" fillId="16" borderId="73" xfId="6" applyBorder="1" applyAlignment="1">
      <alignment horizontal="center"/>
    </xf>
    <xf numFmtId="0" fontId="0" fillId="16" borderId="73" xfId="6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2" fontId="23" fillId="0" borderId="23" xfId="0" applyNumberFormat="1" applyFont="1" applyBorder="1" applyAlignment="1">
      <alignment horizontal="center"/>
    </xf>
    <xf numFmtId="0" fontId="0" fillId="0" borderId="19" xfId="0" applyBorder="1"/>
    <xf numFmtId="0" fontId="0" fillId="0" borderId="74" xfId="0" applyBorder="1"/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10" xfId="0" applyBorder="1"/>
    <xf numFmtId="0" fontId="4" fillId="0" borderId="0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5" fillId="0" borderId="60" xfId="0" applyNumberFormat="1" applyFont="1" applyFill="1" applyBorder="1" applyAlignment="1">
      <alignment horizontal="center"/>
    </xf>
    <xf numFmtId="1" fontId="4" fillId="0" borderId="61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71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/>
    <xf numFmtId="1" fontId="0" fillId="0" borderId="0" xfId="0" applyNumberFormat="1"/>
    <xf numFmtId="43" fontId="25" fillId="15" borderId="75" xfId="5" applyNumberFormat="1" applyFont="1" applyBorder="1" applyAlignment="1">
      <alignment horizontal="center" wrapText="1"/>
    </xf>
    <xf numFmtId="43" fontId="25" fillId="15" borderId="60" xfId="5" applyNumberFormat="1" applyFont="1" applyBorder="1" applyAlignment="1">
      <alignment horizontal="center" wrapText="1"/>
    </xf>
    <xf numFmtId="0" fontId="25" fillId="15" borderId="75" xfId="5" applyFont="1" applyBorder="1" applyAlignment="1">
      <alignment horizontal="center" wrapText="1"/>
    </xf>
    <xf numFmtId="43" fontId="20" fillId="13" borderId="61" xfId="3" applyNumberFormat="1" applyBorder="1"/>
    <xf numFmtId="1" fontId="0" fillId="0" borderId="61" xfId="0" applyNumberFormat="1" applyBorder="1" applyAlignment="1">
      <alignment horizontal="center"/>
    </xf>
    <xf numFmtId="1" fontId="26" fillId="0" borderId="61" xfId="2" applyNumberFormat="1" applyFont="1" applyFill="1" applyBorder="1" applyAlignment="1">
      <alignment horizontal="center"/>
    </xf>
    <xf numFmtId="43" fontId="20" fillId="13" borderId="64" xfId="3" applyNumberFormat="1" applyBorder="1"/>
    <xf numFmtId="1" fontId="0" fillId="0" borderId="64" xfId="0" applyNumberFormat="1" applyBorder="1" applyAlignment="1">
      <alignment horizontal="center"/>
    </xf>
    <xf numFmtId="1" fontId="26" fillId="0" borderId="64" xfId="2" applyNumberFormat="1" applyFont="1" applyFill="1" applyBorder="1" applyAlignment="1">
      <alignment horizontal="center"/>
    </xf>
    <xf numFmtId="0" fontId="1" fillId="0" borderId="40" xfId="0" applyFont="1" applyBorder="1"/>
    <xf numFmtId="1" fontId="27" fillId="0" borderId="49" xfId="2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0" fontId="25" fillId="15" borderId="76" xfId="5" applyFont="1" applyBorder="1" applyAlignment="1">
      <alignment horizontal="center" wrapText="1"/>
    </xf>
    <xf numFmtId="0" fontId="25" fillId="15" borderId="77" xfId="5" applyFont="1" applyBorder="1" applyAlignment="1">
      <alignment horizontal="center" wrapText="1"/>
    </xf>
    <xf numFmtId="0" fontId="25" fillId="15" borderId="77" xfId="5" applyFont="1" applyFill="1" applyBorder="1" applyAlignment="1">
      <alignment horizontal="center" wrapText="1"/>
    </xf>
    <xf numFmtId="0" fontId="25" fillId="15" borderId="78" xfId="5" applyFont="1" applyBorder="1" applyAlignment="1">
      <alignment horizontal="center" wrapText="1"/>
    </xf>
    <xf numFmtId="0" fontId="20" fillId="13" borderId="71" xfId="3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4" fillId="0" borderId="8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/>
    </xf>
    <xf numFmtId="0" fontId="5" fillId="0" borderId="61" xfId="0" applyFont="1" applyBorder="1" applyAlignment="1">
      <alignment horizontal="center" vertical="center"/>
    </xf>
    <xf numFmtId="1" fontId="5" fillId="0" borderId="61" xfId="0" applyNumberFormat="1" applyFont="1" applyBorder="1" applyAlignment="1">
      <alignment horizontal="center"/>
    </xf>
    <xf numFmtId="0" fontId="20" fillId="13" borderId="61" xfId="3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84" xfId="0" applyFont="1" applyFill="1" applyBorder="1" applyAlignment="1">
      <alignment horizontal="center"/>
    </xf>
    <xf numFmtId="0" fontId="5" fillId="0" borderId="61" xfId="0" applyFont="1" applyFill="1" applyBorder="1" applyAlignment="1">
      <alignment horizontal="center" vertical="center"/>
    </xf>
    <xf numFmtId="1" fontId="5" fillId="0" borderId="61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85" xfId="0" applyFont="1" applyFill="1" applyBorder="1" applyAlignment="1">
      <alignment horizontal="center"/>
    </xf>
    <xf numFmtId="0" fontId="5" fillId="0" borderId="86" xfId="0" applyFont="1" applyFill="1" applyBorder="1" applyAlignment="1">
      <alignment horizontal="center"/>
    </xf>
    <xf numFmtId="0" fontId="4" fillId="0" borderId="63" xfId="0" applyFont="1" applyFill="1" applyBorder="1" applyAlignment="1">
      <alignment horizontal="center"/>
    </xf>
    <xf numFmtId="0" fontId="4" fillId="0" borderId="83" xfId="0" applyFont="1" applyFill="1" applyBorder="1" applyAlignment="1">
      <alignment horizontal="center" vertical="center"/>
    </xf>
    <xf numFmtId="1" fontId="4" fillId="0" borderId="83" xfId="0" applyNumberFormat="1" applyFont="1" applyFill="1" applyBorder="1" applyAlignment="1">
      <alignment horizontal="center"/>
    </xf>
    <xf numFmtId="0" fontId="4" fillId="0" borderId="87" xfId="0" applyFont="1" applyFill="1" applyBorder="1" applyAlignment="1">
      <alignment horizontal="center"/>
    </xf>
    <xf numFmtId="0" fontId="5" fillId="0" borderId="88" xfId="0" applyFont="1" applyFill="1" applyBorder="1" applyAlignment="1">
      <alignment horizontal="center"/>
    </xf>
    <xf numFmtId="0" fontId="4" fillId="0" borderId="89" xfId="0" applyFont="1" applyFill="1" applyBorder="1" applyAlignment="1">
      <alignment horizontal="center"/>
    </xf>
    <xf numFmtId="0" fontId="20" fillId="13" borderId="64" xfId="3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64" xfId="0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25" fillId="15" borderId="76" xfId="5" applyFont="1" applyBorder="1" applyAlignment="1">
      <alignment horizontal="center" vertical="center" wrapText="1"/>
    </xf>
    <xf numFmtId="0" fontId="25" fillId="15" borderId="77" xfId="5" applyFont="1" applyBorder="1" applyAlignment="1">
      <alignment horizontal="center" vertical="center" wrapText="1"/>
    </xf>
    <xf numFmtId="0" fontId="25" fillId="15" borderId="77" xfId="5" applyFont="1" applyFill="1" applyBorder="1" applyAlignment="1">
      <alignment horizontal="center" vertical="center" wrapText="1"/>
    </xf>
    <xf numFmtId="0" fontId="25" fillId="15" borderId="78" xfId="5" applyFont="1" applyBorder="1" applyAlignment="1">
      <alignment horizontal="center" vertical="center" wrapText="1"/>
    </xf>
    <xf numFmtId="1" fontId="19" fillId="0" borderId="61" xfId="0" applyNumberFormat="1" applyFont="1" applyBorder="1" applyAlignment="1">
      <alignment horizontal="center" vertical="center"/>
    </xf>
    <xf numFmtId="1" fontId="19" fillId="0" borderId="64" xfId="0" applyNumberFormat="1" applyFont="1" applyBorder="1" applyAlignment="1">
      <alignment horizontal="center" vertical="center"/>
    </xf>
    <xf numFmtId="1" fontId="26" fillId="0" borderId="61" xfId="1" applyNumberFormat="1" applyFont="1" applyBorder="1" applyAlignment="1">
      <alignment horizontal="center"/>
    </xf>
    <xf numFmtId="1" fontId="26" fillId="0" borderId="64" xfId="1" applyNumberFormat="1" applyFont="1" applyBorder="1" applyAlignment="1">
      <alignment horizontal="center"/>
    </xf>
    <xf numFmtId="1" fontId="21" fillId="14" borderId="49" xfId="4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2" fontId="23" fillId="0" borderId="15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1" fontId="19" fillId="16" borderId="72" xfId="6" applyNumberFormat="1" applyBorder="1" applyAlignment="1">
      <alignment horizontal="center"/>
    </xf>
    <xf numFmtId="0" fontId="23" fillId="0" borderId="40" xfId="0" applyFont="1" applyBorder="1" applyAlignment="1">
      <alignment horizontal="center"/>
    </xf>
    <xf numFmtId="1" fontId="23" fillId="0" borderId="38" xfId="0" applyNumberFormat="1" applyFont="1" applyBorder="1" applyAlignment="1">
      <alignment horizontal="center"/>
    </xf>
    <xf numFmtId="2" fontId="23" fillId="0" borderId="38" xfId="0" applyNumberFormat="1" applyFont="1" applyBorder="1" applyAlignment="1">
      <alignment horizontal="center"/>
    </xf>
    <xf numFmtId="0" fontId="5" fillId="3" borderId="40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10" borderId="22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4" borderId="62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3" borderId="2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4" borderId="59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C-49DC-82E4-F51EDED943F5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lambda'!$N$3:$N$56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C-49DC-82E4-F51EDED9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68288"/>
        <c:axId val="195130112"/>
      </c:barChart>
      <c:catAx>
        <c:axId val="1954682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5130112"/>
        <c:crosses val="autoZero"/>
        <c:auto val="1"/>
        <c:lblAlgn val="ctr"/>
        <c:lblOffset val="100"/>
        <c:noMultiLvlLbl val="0"/>
      </c:catAx>
      <c:valAx>
        <c:axId val="1951301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68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BDF!$V$21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BDF!$U$22:$U$38</c:f>
              <c:strCache>
                <c:ptCount val="17"/>
                <c:pt idx="0">
                  <c:v>D -H</c:v>
                </c:pt>
                <c:pt idx="1">
                  <c:v>DO - F</c:v>
                </c:pt>
                <c:pt idx="2">
                  <c:v>F - S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F - K </c:v>
                </c:pt>
                <c:pt idx="10">
                  <c:v>H - HH</c:v>
                </c:pt>
                <c:pt idx="11">
                  <c:v>H - L</c:v>
                </c:pt>
                <c:pt idx="12">
                  <c:v>D - L</c:v>
                </c:pt>
                <c:pt idx="13">
                  <c:v>DO - H</c:v>
                </c:pt>
                <c:pt idx="14">
                  <c:v>F -H </c:v>
                </c:pt>
                <c:pt idx="15">
                  <c:v>H -K </c:v>
                </c:pt>
                <c:pt idx="16">
                  <c:v>Total </c:v>
                </c:pt>
              </c:strCache>
            </c:strRef>
          </c:cat>
          <c:val>
            <c:numRef>
              <c:f>BDF!$V$22:$V$38</c:f>
              <c:numCache>
                <c:formatCode>General</c:formatCode>
                <c:ptCount val="17"/>
                <c:pt idx="0">
                  <c:v>46.44</c:v>
                </c:pt>
                <c:pt idx="1">
                  <c:v>27.45</c:v>
                </c:pt>
                <c:pt idx="2">
                  <c:v>9.3800000000000008</c:v>
                </c:pt>
                <c:pt idx="3">
                  <c:v>202.83</c:v>
                </c:pt>
                <c:pt idx="4">
                  <c:v>467.68</c:v>
                </c:pt>
                <c:pt idx="5">
                  <c:v>32.39</c:v>
                </c:pt>
                <c:pt idx="6">
                  <c:v>194.45</c:v>
                </c:pt>
                <c:pt idx="7">
                  <c:v>168.95</c:v>
                </c:pt>
                <c:pt idx="8">
                  <c:v>493.154</c:v>
                </c:pt>
                <c:pt idx="9">
                  <c:v>62.64</c:v>
                </c:pt>
                <c:pt idx="10">
                  <c:v>16.78</c:v>
                </c:pt>
                <c:pt idx="11">
                  <c:v>47.14</c:v>
                </c:pt>
                <c:pt idx="12">
                  <c:v>8.65</c:v>
                </c:pt>
                <c:pt idx="13">
                  <c:v>209.21</c:v>
                </c:pt>
                <c:pt idx="14">
                  <c:v>560.23</c:v>
                </c:pt>
                <c:pt idx="15">
                  <c:v>130</c:v>
                </c:pt>
                <c:pt idx="16">
                  <c:v>2677.3740000000003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483F-9127-D98163D50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235136"/>
        <c:axId val="144236928"/>
      </c:barChart>
      <c:catAx>
        <c:axId val="1442351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236928"/>
        <c:crosses val="autoZero"/>
        <c:auto val="1"/>
        <c:lblAlgn val="ctr"/>
        <c:lblOffset val="100"/>
        <c:noMultiLvlLbl val="0"/>
      </c:catAx>
      <c:valAx>
        <c:axId val="14423692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3513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2B5-95F6-D34C252FDA8F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SDF!$Q$3:$Q$56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1-42B5-95F6-D34C252F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47360"/>
        <c:axId val="144448896"/>
      </c:barChart>
      <c:catAx>
        <c:axId val="1444473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448896"/>
        <c:crosses val="autoZero"/>
        <c:auto val="1"/>
        <c:lblAlgn val="ctr"/>
        <c:lblOffset val="100"/>
        <c:noMultiLvlLbl val="0"/>
      </c:catAx>
      <c:valAx>
        <c:axId val="1444488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47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7-47C9-A781-8F3F240B722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7-47C9-A781-8F3F240B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03552"/>
        <c:axId val="144505088"/>
      </c:barChart>
      <c:catAx>
        <c:axId val="1445035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505088"/>
        <c:crosses val="autoZero"/>
        <c:auto val="1"/>
        <c:lblAlgn val="ctr"/>
        <c:lblOffset val="100"/>
        <c:noMultiLvlLbl val="0"/>
      </c:catAx>
      <c:valAx>
        <c:axId val="1445050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503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SDF!$V$27:$V$32</c:f>
              <c:strCache>
                <c:ptCount val="6"/>
                <c:pt idx="0">
                  <c:v>F - L</c:v>
                </c:pt>
                <c:pt idx="1">
                  <c:v>L - S</c:v>
                </c:pt>
                <c:pt idx="2">
                  <c:v>F - N</c:v>
                </c:pt>
                <c:pt idx="3">
                  <c:v>M - S</c:v>
                </c:pt>
                <c:pt idx="4">
                  <c:v>N - S</c:v>
                </c:pt>
                <c:pt idx="5">
                  <c:v>Total </c:v>
                </c:pt>
              </c:strCache>
            </c:strRef>
          </c:cat>
          <c:val>
            <c:numRef>
              <c:f>SDF!$W$27:$W$32</c:f>
              <c:numCache>
                <c:formatCode>General</c:formatCode>
                <c:ptCount val="6"/>
                <c:pt idx="0">
                  <c:v>247</c:v>
                </c:pt>
                <c:pt idx="1">
                  <c:v>318.77999999999997</c:v>
                </c:pt>
                <c:pt idx="2">
                  <c:v>79.31</c:v>
                </c:pt>
                <c:pt idx="3">
                  <c:v>237</c:v>
                </c:pt>
                <c:pt idx="4">
                  <c:v>260</c:v>
                </c:pt>
                <c:pt idx="5">
                  <c:v>1142.0899999999999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24E-AB08-B11457BCE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00448"/>
        <c:axId val="144602240"/>
      </c:barChart>
      <c:catAx>
        <c:axId val="1446004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602240"/>
        <c:crosses val="autoZero"/>
        <c:auto val="1"/>
        <c:lblAlgn val="ctr"/>
        <c:lblOffset val="100"/>
        <c:noMultiLvlLbl val="0"/>
      </c:catAx>
      <c:valAx>
        <c:axId val="1446022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0044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Reroute'!$U$35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'Single-hop Reroute'!$T$36:$T$54</c:f>
              <c:strCache>
                <c:ptCount val="19"/>
                <c:pt idx="0">
                  <c:v>D - H</c:v>
                </c:pt>
                <c:pt idx="1">
                  <c:v>DO - F</c:v>
                </c:pt>
                <c:pt idx="2">
                  <c:v>D - L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F - H</c:v>
                </c:pt>
                <c:pt idx="10">
                  <c:v>F - M</c:v>
                </c:pt>
                <c:pt idx="11">
                  <c:v>H - HH</c:v>
                </c:pt>
                <c:pt idx="12">
                  <c:v>F - K </c:v>
                </c:pt>
                <c:pt idx="13">
                  <c:v>H - L </c:v>
                </c:pt>
                <c:pt idx="14">
                  <c:v>D - HH </c:v>
                </c:pt>
                <c:pt idx="15">
                  <c:v>H - K </c:v>
                </c:pt>
                <c:pt idx="16">
                  <c:v>F - S</c:v>
                </c:pt>
                <c:pt idx="17">
                  <c:v>DO - H</c:v>
                </c:pt>
                <c:pt idx="18">
                  <c:v>Total </c:v>
                </c:pt>
              </c:strCache>
            </c:strRef>
          </c:cat>
          <c:val>
            <c:numRef>
              <c:f>'Single-hop Reroute'!$U$36:$U$54</c:f>
              <c:numCache>
                <c:formatCode>General</c:formatCode>
                <c:ptCount val="19"/>
                <c:pt idx="0">
                  <c:v>126.34</c:v>
                </c:pt>
                <c:pt idx="1">
                  <c:v>36.72</c:v>
                </c:pt>
                <c:pt idx="2">
                  <c:v>160</c:v>
                </c:pt>
                <c:pt idx="3">
                  <c:v>285</c:v>
                </c:pt>
                <c:pt idx="4">
                  <c:v>357.58</c:v>
                </c:pt>
                <c:pt idx="5">
                  <c:v>75</c:v>
                </c:pt>
                <c:pt idx="6">
                  <c:v>237</c:v>
                </c:pt>
                <c:pt idx="7">
                  <c:v>211</c:v>
                </c:pt>
                <c:pt idx="8">
                  <c:v>573</c:v>
                </c:pt>
                <c:pt idx="9">
                  <c:v>727</c:v>
                </c:pt>
                <c:pt idx="10">
                  <c:v>256</c:v>
                </c:pt>
                <c:pt idx="11">
                  <c:v>26.05</c:v>
                </c:pt>
                <c:pt idx="12">
                  <c:v>72</c:v>
                </c:pt>
                <c:pt idx="13">
                  <c:v>56.41</c:v>
                </c:pt>
                <c:pt idx="14">
                  <c:v>44.68</c:v>
                </c:pt>
                <c:pt idx="15">
                  <c:v>173.67</c:v>
                </c:pt>
                <c:pt idx="16">
                  <c:v>91</c:v>
                </c:pt>
                <c:pt idx="17">
                  <c:v>256</c:v>
                </c:pt>
                <c:pt idx="18">
                  <c:v>3764.45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9-493F-887B-B97D11B3FD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841728"/>
        <c:axId val="144868096"/>
      </c:barChart>
      <c:catAx>
        <c:axId val="1448417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868096"/>
        <c:crosses val="autoZero"/>
        <c:auto val="1"/>
        <c:lblAlgn val="ctr"/>
        <c:lblOffset val="100"/>
        <c:noMultiLvlLbl val="0"/>
      </c:catAx>
      <c:valAx>
        <c:axId val="1448680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44841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24E-8837-10803B40341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'ES-EP'!$Q$3:$Q$56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A-424E-8837-10803B40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7632"/>
        <c:axId val="206839168"/>
      </c:barChart>
      <c:catAx>
        <c:axId val="2068376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839168"/>
        <c:crosses val="autoZero"/>
        <c:auto val="1"/>
        <c:lblAlgn val="ctr"/>
        <c:lblOffset val="100"/>
        <c:noMultiLvlLbl val="0"/>
      </c:catAx>
      <c:valAx>
        <c:axId val="20683916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37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0-49B3-9D60-CD1DB4AE69C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0-49B3-9D60-CD1DB4AE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77440"/>
        <c:axId val="206878976"/>
      </c:barChart>
      <c:catAx>
        <c:axId val="20687744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878976"/>
        <c:crosses val="autoZero"/>
        <c:auto val="1"/>
        <c:lblAlgn val="ctr"/>
        <c:lblOffset val="100"/>
        <c:noMultiLvlLbl val="0"/>
      </c:catAx>
      <c:valAx>
        <c:axId val="20687897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774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'ES-EP'!$V$27:$V$32</c:f>
              <c:strCache>
                <c:ptCount val="6"/>
                <c:pt idx="0">
                  <c:v>F - H</c:v>
                </c:pt>
                <c:pt idx="1">
                  <c:v>DO - F</c:v>
                </c:pt>
                <c:pt idx="2">
                  <c:v>F - K</c:v>
                </c:pt>
                <c:pt idx="3">
                  <c:v>F - N</c:v>
                </c:pt>
                <c:pt idx="4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'ES-EP'!$W$27:$W$32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107</c:v>
                </c:pt>
                <c:pt idx="3">
                  <c:v>200</c:v>
                </c:pt>
                <c:pt idx="4">
                  <c:v>230</c:v>
                </c:pt>
                <c:pt idx="5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6D9-9652-0CC0BCEF1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586944"/>
        <c:axId val="143975552"/>
      </c:barChart>
      <c:catAx>
        <c:axId val="139586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3975552"/>
        <c:crosses val="autoZero"/>
        <c:auto val="1"/>
        <c:lblAlgn val="ctr"/>
        <c:lblOffset val="100"/>
        <c:noMultiLvlLbl val="0"/>
      </c:catAx>
      <c:valAx>
        <c:axId val="1439755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8694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ED6-BEF5-A0DF6E25E5D8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'US-EP'!$Q$3:$Q$56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A-4ED6-BEF5-A0DF6E25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73568"/>
        <c:axId val="206999936"/>
      </c:barChart>
      <c:catAx>
        <c:axId val="206973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999936"/>
        <c:crosses val="autoZero"/>
        <c:auto val="1"/>
        <c:lblAlgn val="ctr"/>
        <c:lblOffset val="100"/>
        <c:noMultiLvlLbl val="0"/>
      </c:catAx>
      <c:valAx>
        <c:axId val="20699993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73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8-4977-B05D-4FD804DDE741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8-4977-B05D-4FD804DD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3456"/>
        <c:axId val="207444992"/>
      </c:barChart>
      <c:catAx>
        <c:axId val="2074434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7444992"/>
        <c:crosses val="autoZero"/>
        <c:auto val="1"/>
        <c:lblAlgn val="ctr"/>
        <c:lblOffset val="100"/>
        <c:noMultiLvlLbl val="0"/>
      </c:catAx>
      <c:valAx>
        <c:axId val="2074449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43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46C7-8BE7-37457BE6CF3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lambda'!$L$3:$L$56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2-46C7-8BE7-37457BE6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95808"/>
        <c:axId val="195497344"/>
      </c:barChart>
      <c:catAx>
        <c:axId val="1954958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5497344"/>
        <c:crosses val="autoZero"/>
        <c:auto val="1"/>
        <c:lblAlgn val="ctr"/>
        <c:lblOffset val="100"/>
        <c:noMultiLvlLbl val="0"/>
      </c:catAx>
      <c:valAx>
        <c:axId val="1954973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4958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'US-EP'!$V$27:$V$32</c:f>
              <c:strCache>
                <c:ptCount val="6"/>
                <c:pt idx="0">
                  <c:v>F - H</c:v>
                </c:pt>
                <c:pt idx="1">
                  <c:v>F - K</c:v>
                </c:pt>
                <c:pt idx="2">
                  <c:v>F - N</c:v>
                </c:pt>
                <c:pt idx="3">
                  <c:v>0</c:v>
                </c:pt>
                <c:pt idx="4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'US-EP'!$W$27:$W$32</c:f>
              <c:numCache>
                <c:formatCode>General</c:formatCode>
                <c:ptCount val="6"/>
                <c:pt idx="0">
                  <c:v>23</c:v>
                </c:pt>
                <c:pt idx="1">
                  <c:v>68</c:v>
                </c:pt>
                <c:pt idx="2">
                  <c:v>140</c:v>
                </c:pt>
                <c:pt idx="3">
                  <c:v>0</c:v>
                </c:pt>
                <c:pt idx="4">
                  <c:v>192</c:v>
                </c:pt>
                <c:pt idx="5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6-478A-904C-A0D05ABE1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479168"/>
        <c:axId val="207480704"/>
      </c:barChart>
      <c:catAx>
        <c:axId val="2074791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7480704"/>
        <c:crosses val="autoZero"/>
        <c:auto val="1"/>
        <c:lblAlgn val="ctr"/>
        <c:lblOffset val="100"/>
        <c:noMultiLvlLbl val="0"/>
      </c:catAx>
      <c:valAx>
        <c:axId val="20748070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7916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E-4CE8-B670-420B530D360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'US-UP'!$Q$3:$Q$56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E-4CE8-B670-420B530D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5216"/>
        <c:axId val="206410880"/>
      </c:barChart>
      <c:catAx>
        <c:axId val="2065852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410880"/>
        <c:crosses val="autoZero"/>
        <c:auto val="1"/>
        <c:lblAlgn val="ctr"/>
        <c:lblOffset val="100"/>
        <c:noMultiLvlLbl val="0"/>
      </c:catAx>
      <c:valAx>
        <c:axId val="2064108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85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4-4A6C-AA88-154BC1E1A3F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4-4A6C-AA88-154BC1E1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29120"/>
        <c:axId val="207101952"/>
      </c:barChart>
      <c:catAx>
        <c:axId val="2066291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7101952"/>
        <c:crosses val="autoZero"/>
        <c:auto val="1"/>
        <c:lblAlgn val="ctr"/>
        <c:lblOffset val="100"/>
        <c:noMultiLvlLbl val="0"/>
      </c:catAx>
      <c:valAx>
        <c:axId val="2071019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291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'US-UP'!$V$27:$V$32</c:f>
              <c:strCache>
                <c:ptCount val="6"/>
                <c:pt idx="4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'US-UP'!$W$27:$W$32</c:f>
              <c:numCache>
                <c:formatCode>General</c:formatCode>
                <c:ptCount val="6"/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1-4702-9F96-DF579AA6C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648448"/>
        <c:axId val="206649984"/>
      </c:barChart>
      <c:catAx>
        <c:axId val="2066484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649984"/>
        <c:crosses val="autoZero"/>
        <c:auto val="1"/>
        <c:lblAlgn val="ctr"/>
        <c:lblOffset val="100"/>
        <c:noMultiLvlLbl val="0"/>
      </c:catAx>
      <c:valAx>
        <c:axId val="2066499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48448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9-40F7-9376-0A8EC5CCFB74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US!$Q$3:$Q$56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9-40F7-9376-0A8EC5CC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82560"/>
        <c:axId val="207284096"/>
      </c:barChart>
      <c:catAx>
        <c:axId val="207282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7284096"/>
        <c:crosses val="autoZero"/>
        <c:auto val="1"/>
        <c:lblAlgn val="ctr"/>
        <c:lblOffset val="100"/>
        <c:noMultiLvlLbl val="0"/>
      </c:catAx>
      <c:valAx>
        <c:axId val="2072840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82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016-94BB-404B90B42B2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7-4016-94BB-404B90B4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7712"/>
        <c:axId val="206725888"/>
      </c:barChart>
      <c:catAx>
        <c:axId val="2067077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725888"/>
        <c:crosses val="autoZero"/>
        <c:auto val="1"/>
        <c:lblAlgn val="ctr"/>
        <c:lblOffset val="100"/>
        <c:noMultiLvlLbl val="0"/>
      </c:catAx>
      <c:valAx>
        <c:axId val="2067258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077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US!$V$27:$V$32</c:f>
              <c:strCache>
                <c:ptCount val="6"/>
                <c:pt idx="5">
                  <c:v>Total </c:v>
                </c:pt>
              </c:strCache>
            </c:strRef>
          </c:cat>
          <c:val>
            <c:numRef>
              <c:f>US!$W$27:$W$32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C-4D80-969E-06E28F6FF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772096"/>
        <c:axId val="206773632"/>
      </c:barChart>
      <c:catAx>
        <c:axId val="2067720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773632"/>
        <c:crosses val="autoZero"/>
        <c:auto val="1"/>
        <c:lblAlgn val="ctr"/>
        <c:lblOffset val="100"/>
        <c:noMultiLvlLbl val="0"/>
      </c:catAx>
      <c:valAx>
        <c:axId val="2067736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7209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FlowThinning!$G$5:$G$7</c:f>
              <c:numCache>
                <c:formatCode>General</c:formatCode>
                <c:ptCount val="3"/>
              </c:numCache>
            </c:numRef>
          </c:cat>
          <c:val>
            <c:numRef>
              <c:f>FlowThinning!$H$5:$H$7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86E-49E3-B98A-EA6B1FE42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FlowThinningModularCapacities!$F$6:$F$8</c:f>
              <c:numCache>
                <c:formatCode>General</c:formatCode>
                <c:ptCount val="3"/>
              </c:numCache>
            </c:numRef>
          </c:cat>
          <c:val>
            <c:numRef>
              <c:f>FlowThinningModularCapacities!$G$6:$G$8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39D-40D5-A345-1B0904BDF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AffineFlowThinning!$F$6:$F$15</c:f>
              <c:strCache>
                <c:ptCount val="10"/>
                <c:pt idx="0">
                  <c:v>D - DO</c:v>
                </c:pt>
                <c:pt idx="1">
                  <c:v>D - F</c:v>
                </c:pt>
                <c:pt idx="2">
                  <c:v>D - M</c:v>
                </c:pt>
                <c:pt idx="3">
                  <c:v>DO - F</c:v>
                </c:pt>
                <c:pt idx="4">
                  <c:v>F - H</c:v>
                </c:pt>
                <c:pt idx="5">
                  <c:v>F - K</c:v>
                </c:pt>
                <c:pt idx="6">
                  <c:v>F - N</c:v>
                </c:pt>
                <c:pt idx="7">
                  <c:v>F - S</c:v>
                </c:pt>
                <c:pt idx="8">
                  <c:v>F - U</c:v>
                </c:pt>
                <c:pt idx="9">
                  <c:v>H - HH</c:v>
                </c:pt>
              </c:strCache>
            </c:strRef>
          </c:cat>
          <c:val>
            <c:numRef>
              <c:f>AffineFlowThinning!$G$6:$G$15</c:f>
              <c:numCache>
                <c:formatCode>0</c:formatCode>
                <c:ptCount val="10"/>
                <c:pt idx="0">
                  <c:v>68</c:v>
                </c:pt>
                <c:pt idx="1">
                  <c:v>54</c:v>
                </c:pt>
                <c:pt idx="2">
                  <c:v>10</c:v>
                </c:pt>
                <c:pt idx="3">
                  <c:v>119</c:v>
                </c:pt>
                <c:pt idx="4">
                  <c:v>184</c:v>
                </c:pt>
                <c:pt idx="5">
                  <c:v>165</c:v>
                </c:pt>
                <c:pt idx="6">
                  <c:v>621</c:v>
                </c:pt>
                <c:pt idx="7">
                  <c:v>714</c:v>
                </c:pt>
                <c:pt idx="8">
                  <c:v>94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0-418E-AA3C-CD3D5789C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70D-8C08-34DF9E7134CD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0&lt;alpha&lt;1'!$N$3:$N$56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70D-8C08-34DF9E71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01056"/>
        <c:axId val="206302592"/>
      </c:barChart>
      <c:catAx>
        <c:axId val="2063010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302592"/>
        <c:crosses val="autoZero"/>
        <c:auto val="1"/>
        <c:lblAlgn val="ctr"/>
        <c:lblOffset val="100"/>
        <c:noMultiLvlLbl val="0"/>
      </c:catAx>
      <c:valAx>
        <c:axId val="2063025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010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conclusion!$C$6</c:f>
              <c:strCache>
                <c:ptCount val="1"/>
                <c:pt idx="0">
                  <c:v>C_failure (Gbps)</c:v>
                </c:pt>
              </c:strCache>
            </c:strRef>
          </c:tx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conclusion!$C$7:$C$21</c:f>
              <c:numCache>
                <c:formatCode>General</c:formatCode>
                <c:ptCount val="15"/>
                <c:pt idx="0">
                  <c:v>7250</c:v>
                </c:pt>
                <c:pt idx="1">
                  <c:v>800</c:v>
                </c:pt>
                <c:pt idx="2">
                  <c:v>1050</c:v>
                </c:pt>
                <c:pt idx="3">
                  <c:v>4150</c:v>
                </c:pt>
                <c:pt idx="4">
                  <c:v>2500</c:v>
                </c:pt>
                <c:pt idx="5">
                  <c:v>5600</c:v>
                </c:pt>
                <c:pt idx="6">
                  <c:v>1650</c:v>
                </c:pt>
                <c:pt idx="7">
                  <c:v>1050</c:v>
                </c:pt>
                <c:pt idx="8">
                  <c:v>800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D-4183-BEC3-6D5CF160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21152"/>
        <c:axId val="206322688"/>
      </c:barChart>
      <c:catAx>
        <c:axId val="20632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322688"/>
        <c:crosses val="autoZero"/>
        <c:auto val="1"/>
        <c:lblAlgn val="ctr"/>
        <c:lblOffset val="100"/>
        <c:noMultiLvlLbl val="0"/>
      </c:catAx>
      <c:valAx>
        <c:axId val="206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conclusion!$D$6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conclusion!$B$7:$B$21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conclusion!$D$7:$D$21</c:f>
              <c:numCache>
                <c:formatCode>General</c:formatCode>
                <c:ptCount val="15"/>
                <c:pt idx="0">
                  <c:v>754.51610000000005</c:v>
                </c:pt>
                <c:pt idx="1">
                  <c:v>107.73779999999999</c:v>
                </c:pt>
                <c:pt idx="2">
                  <c:v>139.10669999999999</c:v>
                </c:pt>
                <c:pt idx="3">
                  <c:v>448.04039999999998</c:v>
                </c:pt>
                <c:pt idx="4">
                  <c:v>309.72460000000001</c:v>
                </c:pt>
                <c:pt idx="5">
                  <c:v>603.42280000000005</c:v>
                </c:pt>
                <c:pt idx="6">
                  <c:v>204.5823</c:v>
                </c:pt>
                <c:pt idx="7">
                  <c:v>139.10669999999999</c:v>
                </c:pt>
                <c:pt idx="8">
                  <c:v>107.73779999999999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413C-8DFC-2170FA2E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1360"/>
        <c:axId val="206361344"/>
      </c:barChart>
      <c:catAx>
        <c:axId val="2063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361344"/>
        <c:crosses val="autoZero"/>
        <c:auto val="1"/>
        <c:lblAlgn val="ctr"/>
        <c:lblOffset val="100"/>
        <c:noMultiLvlLbl val="0"/>
      </c:catAx>
      <c:valAx>
        <c:axId val="2063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conclusion!$D$41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conclusion!$B$42:$B$56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conclusion!$D$42:$D$56</c:f>
              <c:numCache>
                <c:formatCode>General</c:formatCode>
                <c:ptCount val="15"/>
                <c:pt idx="0">
                  <c:v>7250</c:v>
                </c:pt>
                <c:pt idx="1">
                  <c:v>800</c:v>
                </c:pt>
                <c:pt idx="2">
                  <c:v>1050</c:v>
                </c:pt>
                <c:pt idx="3">
                  <c:v>4150</c:v>
                </c:pt>
                <c:pt idx="4">
                  <c:v>2500</c:v>
                </c:pt>
                <c:pt idx="5">
                  <c:v>5600</c:v>
                </c:pt>
                <c:pt idx="6">
                  <c:v>1650</c:v>
                </c:pt>
                <c:pt idx="7">
                  <c:v>1050</c:v>
                </c:pt>
                <c:pt idx="8">
                  <c:v>800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A-487F-B1E2-B57DB488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conclusion!$E$41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conclusion!$B$42:$B$56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conclusion!$E$42:$E$56</c:f>
              <c:numCache>
                <c:formatCode>General</c:formatCode>
                <c:ptCount val="15"/>
                <c:pt idx="0">
                  <c:v>46350</c:v>
                </c:pt>
                <c:pt idx="1">
                  <c:v>39900</c:v>
                </c:pt>
                <c:pt idx="2">
                  <c:v>40150</c:v>
                </c:pt>
                <c:pt idx="3">
                  <c:v>43250</c:v>
                </c:pt>
                <c:pt idx="4">
                  <c:v>41600</c:v>
                </c:pt>
                <c:pt idx="5">
                  <c:v>44700</c:v>
                </c:pt>
                <c:pt idx="6">
                  <c:v>40750</c:v>
                </c:pt>
                <c:pt idx="7">
                  <c:v>40150</c:v>
                </c:pt>
                <c:pt idx="8">
                  <c:v>39900</c:v>
                </c:pt>
                <c:pt idx="9">
                  <c:v>39300</c:v>
                </c:pt>
                <c:pt idx="10">
                  <c:v>39100</c:v>
                </c:pt>
                <c:pt idx="12">
                  <c:v>33800</c:v>
                </c:pt>
                <c:pt idx="14">
                  <c:v>33800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A-4130-BF7E-2374A847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conclusion!$C$41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conclusion!$B$42:$B$56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conclusion!$C$42:$C$56</c:f>
              <c:numCache>
                <c:formatCode>General</c:formatCode>
                <c:ptCount val="15"/>
                <c:pt idx="0">
                  <c:v>39100</c:v>
                </c:pt>
                <c:pt idx="1">
                  <c:v>39100</c:v>
                </c:pt>
                <c:pt idx="2">
                  <c:v>39100</c:v>
                </c:pt>
                <c:pt idx="3">
                  <c:v>39100</c:v>
                </c:pt>
                <c:pt idx="4">
                  <c:v>39100</c:v>
                </c:pt>
                <c:pt idx="5">
                  <c:v>39100</c:v>
                </c:pt>
                <c:pt idx="6">
                  <c:v>39100</c:v>
                </c:pt>
                <c:pt idx="7">
                  <c:v>39100</c:v>
                </c:pt>
                <c:pt idx="8">
                  <c:v>39100</c:v>
                </c:pt>
                <c:pt idx="9">
                  <c:v>39100</c:v>
                </c:pt>
                <c:pt idx="10">
                  <c:v>39100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C-47DE-9A7F-BA3F1CB6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conclusion!$D$59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conclusion!$B$60:$B$74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conclusion!$D$60:$D$74</c:f>
              <c:numCache>
                <c:formatCode>General</c:formatCode>
                <c:ptCount val="15"/>
                <c:pt idx="0">
                  <c:v>4115</c:v>
                </c:pt>
                <c:pt idx="1">
                  <c:v>3468</c:v>
                </c:pt>
                <c:pt idx="2">
                  <c:v>3500</c:v>
                </c:pt>
                <c:pt idx="3">
                  <c:v>3808</c:v>
                </c:pt>
                <c:pt idx="4">
                  <c:v>3670</c:v>
                </c:pt>
                <c:pt idx="5">
                  <c:v>3964</c:v>
                </c:pt>
                <c:pt idx="6">
                  <c:v>3565</c:v>
                </c:pt>
                <c:pt idx="7">
                  <c:v>3500</c:v>
                </c:pt>
                <c:pt idx="8">
                  <c:v>3468</c:v>
                </c:pt>
                <c:pt idx="9">
                  <c:v>3390</c:v>
                </c:pt>
                <c:pt idx="10">
                  <c:v>3360</c:v>
                </c:pt>
                <c:pt idx="12">
                  <c:v>2204</c:v>
                </c:pt>
                <c:pt idx="14">
                  <c:v>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230-871E-180427F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419-AF3E-AF80899EFC80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0&lt;alpha&lt;1'!$L$3:$L$56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419-AF3E-AF80899E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7856"/>
        <c:axId val="206539392"/>
      </c:barChart>
      <c:catAx>
        <c:axId val="2065378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6539392"/>
        <c:crosses val="autoZero"/>
        <c:auto val="1"/>
        <c:lblAlgn val="ctr"/>
        <c:lblOffset val="100"/>
        <c:noMultiLvlLbl val="0"/>
      </c:catAx>
      <c:valAx>
        <c:axId val="2065393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37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0&lt;alpha&lt;1 Extra Capacity Needed(G)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0&lt;alpha&lt;1'!$X$52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'Selective 0&lt;alpha&lt;1'!$W$53:$W$58</c:f>
              <c:strCache>
                <c:ptCount val="6"/>
                <c:pt idx="0">
                  <c:v>F - H </c:v>
                </c:pt>
                <c:pt idx="1">
                  <c:v>DO - F </c:v>
                </c:pt>
                <c:pt idx="2">
                  <c:v>F - N</c:v>
                </c:pt>
                <c:pt idx="3">
                  <c:v>F - S</c:v>
                </c:pt>
                <c:pt idx="4">
                  <c:v>F - K </c:v>
                </c:pt>
                <c:pt idx="5">
                  <c:v>Total </c:v>
                </c:pt>
              </c:strCache>
            </c:strRef>
          </c:cat>
          <c:val>
            <c:numRef>
              <c:f>'Selective 0&lt;alpha&lt;1'!$X$53:$X$58</c:f>
              <c:numCache>
                <c:formatCode>General</c:formatCode>
                <c:ptCount val="6"/>
                <c:pt idx="0">
                  <c:v>80.89</c:v>
                </c:pt>
                <c:pt idx="1">
                  <c:v>16.11</c:v>
                </c:pt>
                <c:pt idx="2">
                  <c:v>217.37</c:v>
                </c:pt>
                <c:pt idx="3">
                  <c:v>244.27</c:v>
                </c:pt>
                <c:pt idx="4">
                  <c:v>96.69</c:v>
                </c:pt>
                <c:pt idx="5">
                  <c:v>655.32999999999993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8D9-8607-150E78AD5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6560640"/>
        <c:axId val="143991936"/>
      </c:barChart>
      <c:catAx>
        <c:axId val="20656064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3991936"/>
        <c:crosses val="autoZero"/>
        <c:auto val="1"/>
        <c:lblAlgn val="ctr"/>
        <c:lblOffset val="100"/>
        <c:noMultiLvlLbl val="0"/>
      </c:catAx>
      <c:valAx>
        <c:axId val="1439919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65606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606.61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269.96280000000002</c:v>
                </c:pt>
                <c:pt idx="7">
                  <c:v>199.89</c:v>
                </c:pt>
                <c:pt idx="8">
                  <c:v>333.85219999999998</c:v>
                </c:pt>
                <c:pt idx="9">
                  <c:v>279.22000000000003</c:v>
                </c:pt>
                <c:pt idx="10">
                  <c:v>177.65</c:v>
                </c:pt>
                <c:pt idx="12">
                  <c:v>385.49250000000001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236.15170000000001</c:v>
                </c:pt>
                <c:pt idx="16">
                  <c:v>279.2183</c:v>
                </c:pt>
                <c:pt idx="17">
                  <c:v>177.65</c:v>
                </c:pt>
                <c:pt idx="18">
                  <c:v>199.8878</c:v>
                </c:pt>
                <c:pt idx="19">
                  <c:v>333.85219999999998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535.48580000000004</c:v>
                </c:pt>
                <c:pt idx="24">
                  <c:v>475.33170000000001</c:v>
                </c:pt>
                <c:pt idx="25">
                  <c:v>385.49250000000001</c:v>
                </c:pt>
                <c:pt idx="26">
                  <c:v>264.56579999999997</c:v>
                </c:pt>
                <c:pt idx="27">
                  <c:v>236.15170000000001</c:v>
                </c:pt>
                <c:pt idx="28">
                  <c:v>279.2183</c:v>
                </c:pt>
                <c:pt idx="29">
                  <c:v>222.42579999999998</c:v>
                </c:pt>
                <c:pt idx="30">
                  <c:v>606.61</c:v>
                </c:pt>
                <c:pt idx="31">
                  <c:v>264.56579999999997</c:v>
                </c:pt>
                <c:pt idx="32">
                  <c:v>408.52429999999998</c:v>
                </c:pt>
                <c:pt idx="33">
                  <c:v>236.15170000000001</c:v>
                </c:pt>
                <c:pt idx="34">
                  <c:v>1048.672</c:v>
                </c:pt>
                <c:pt idx="35">
                  <c:v>720.47670000000005</c:v>
                </c:pt>
                <c:pt idx="36">
                  <c:v>863.84550000000002</c:v>
                </c:pt>
                <c:pt idx="37">
                  <c:v>366.19299999999998</c:v>
                </c:pt>
                <c:pt idx="38">
                  <c:v>333.85219999999998</c:v>
                </c:pt>
                <c:pt idx="39">
                  <c:v>475.33170000000001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D3F-94FB-85443A6B4403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Reroute'!$N$3:$N$56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0-4D3F-94FB-85443A6B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7808"/>
        <c:axId val="143773696"/>
      </c:barChart>
      <c:catAx>
        <c:axId val="1437678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3773696"/>
        <c:crosses val="autoZero"/>
        <c:auto val="1"/>
        <c:lblAlgn val="ctr"/>
        <c:lblOffset val="100"/>
        <c:noMultiLvlLbl val="0"/>
      </c:catAx>
      <c:valAx>
        <c:axId val="1437736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678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9-42FB-96D9-2C8F91067EA7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Reroute'!$L$3:$L$56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9-42FB-96D9-2C8F9106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3920"/>
        <c:axId val="197155456"/>
      </c:barChart>
      <c:catAx>
        <c:axId val="1971539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7155456"/>
        <c:crosses val="autoZero"/>
        <c:auto val="1"/>
        <c:lblAlgn val="ctr"/>
        <c:lblOffset val="100"/>
        <c:noMultiLvlLbl val="0"/>
      </c:catAx>
      <c:valAx>
        <c:axId val="19715545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539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BDF!$I$3:$I$56</c:f>
              <c:numCache>
                <c:formatCode>General</c:formatCode>
                <c:ptCount val="54"/>
                <c:pt idx="0">
                  <c:v>202.06899999999999</c:v>
                </c:pt>
                <c:pt idx="1">
                  <c:v>80.362250000000003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251.69</c:v>
                </c:pt>
                <c:pt idx="5">
                  <c:v>147.71445</c:v>
                </c:pt>
                <c:pt idx="6">
                  <c:v>104.94420000000002</c:v>
                </c:pt>
                <c:pt idx="7">
                  <c:v>99.83499999999998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166.47499999999999</c:v>
                </c:pt>
                <c:pt idx="12">
                  <c:v>178.23874999999998</c:v>
                </c:pt>
                <c:pt idx="13">
                  <c:v>226.40969999999999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166.47499999999999</c:v>
                </c:pt>
                <c:pt idx="18">
                  <c:v>99.831700000000012</c:v>
                </c:pt>
                <c:pt idx="19">
                  <c:v>125.77829999999994</c:v>
                </c:pt>
                <c:pt idx="20">
                  <c:v>163.84550000000002</c:v>
                </c:pt>
                <c:pt idx="21">
                  <c:v>166.47499999999999</c:v>
                </c:pt>
                <c:pt idx="23">
                  <c:v>203.22870000000012</c:v>
                </c:pt>
                <c:pt idx="24">
                  <c:v>262.99755000000005</c:v>
                </c:pt>
                <c:pt idx="25">
                  <c:v>178.23874999999998</c:v>
                </c:pt>
                <c:pt idx="26">
                  <c:v>171.84870000000001</c:v>
                </c:pt>
                <c:pt idx="27">
                  <c:v>129.22755000000001</c:v>
                </c:pt>
                <c:pt idx="28">
                  <c:v>118.82745</c:v>
                </c:pt>
                <c:pt idx="29">
                  <c:v>83.638699999999972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330.71505000000002</c:v>
                </c:pt>
                <c:pt idx="36">
                  <c:v>420.76825000000008</c:v>
                </c:pt>
                <c:pt idx="37">
                  <c:v>249.28950000000003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129.49499500000002</c:v>
                </c:pt>
                <c:pt idx="41">
                  <c:v>99.13725500000001</c:v>
                </c:pt>
                <c:pt idx="42">
                  <c:v>186.12120000000004</c:v>
                </c:pt>
                <c:pt idx="43">
                  <c:v>227.32855000000001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249.28950000000003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5-433F-AB63-341E6C28B240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BDF!$P$3:$P$56</c:f>
              <c:numCache>
                <c:formatCode>General</c:formatCode>
                <c:ptCount val="54"/>
                <c:pt idx="0">
                  <c:v>102.06899999999999</c:v>
                </c:pt>
                <c:pt idx="1">
                  <c:v>30.362250000000003</c:v>
                </c:pt>
                <c:pt idx="2">
                  <c:v>147.71445</c:v>
                </c:pt>
                <c:pt idx="3">
                  <c:v>309.91499999999996</c:v>
                </c:pt>
                <c:pt idx="4">
                  <c:v>51.69</c:v>
                </c:pt>
                <c:pt idx="5">
                  <c:v>147.71445</c:v>
                </c:pt>
                <c:pt idx="6">
                  <c:v>4.9442000000000235</c:v>
                </c:pt>
                <c:pt idx="7">
                  <c:v>-0.16500000000002046</c:v>
                </c:pt>
                <c:pt idx="8">
                  <c:v>125.77829999999994</c:v>
                </c:pt>
                <c:pt idx="9">
                  <c:v>118.83000000000004</c:v>
                </c:pt>
                <c:pt idx="10">
                  <c:v>116.47499999999999</c:v>
                </c:pt>
                <c:pt idx="12">
                  <c:v>178.23874999999998</c:v>
                </c:pt>
                <c:pt idx="13">
                  <c:v>126.40969999999999</c:v>
                </c:pt>
                <c:pt idx="14">
                  <c:v>171.84870000000001</c:v>
                </c:pt>
                <c:pt idx="15">
                  <c:v>129.22755000000001</c:v>
                </c:pt>
                <c:pt idx="16">
                  <c:v>118.82745</c:v>
                </c:pt>
                <c:pt idx="17">
                  <c:v>116.47499999999999</c:v>
                </c:pt>
                <c:pt idx="18">
                  <c:v>-0.1682999999999879</c:v>
                </c:pt>
                <c:pt idx="19">
                  <c:v>125.77829999999994</c:v>
                </c:pt>
                <c:pt idx="20">
                  <c:v>113.8455</c:v>
                </c:pt>
                <c:pt idx="21">
                  <c:v>116.47499999999999</c:v>
                </c:pt>
                <c:pt idx="23">
                  <c:v>-96.771299999999883</c:v>
                </c:pt>
                <c:pt idx="24">
                  <c:v>262.99755000000005</c:v>
                </c:pt>
                <c:pt idx="25">
                  <c:v>-21.761250000000018</c:v>
                </c:pt>
                <c:pt idx="26">
                  <c:v>171.84870000000001</c:v>
                </c:pt>
                <c:pt idx="27">
                  <c:v>-20.772449999999992</c:v>
                </c:pt>
                <c:pt idx="28">
                  <c:v>-31.172550000000001</c:v>
                </c:pt>
                <c:pt idx="29">
                  <c:v>-116.36130000000003</c:v>
                </c:pt>
                <c:pt idx="30">
                  <c:v>309.91499999999996</c:v>
                </c:pt>
                <c:pt idx="31">
                  <c:v>171.84870000000001</c:v>
                </c:pt>
                <c:pt idx="32">
                  <c:v>162.78644999999995</c:v>
                </c:pt>
                <c:pt idx="33">
                  <c:v>129.22755000000001</c:v>
                </c:pt>
                <c:pt idx="34">
                  <c:v>473.00800000000004</c:v>
                </c:pt>
                <c:pt idx="35">
                  <c:v>-269.28494999999998</c:v>
                </c:pt>
                <c:pt idx="36">
                  <c:v>-279.23174999999992</c:v>
                </c:pt>
                <c:pt idx="37">
                  <c:v>99.289500000000032</c:v>
                </c:pt>
                <c:pt idx="38">
                  <c:v>125.77829999999994</c:v>
                </c:pt>
                <c:pt idx="39">
                  <c:v>262.99755000000005</c:v>
                </c:pt>
                <c:pt idx="40">
                  <c:v>29.494995000000003</c:v>
                </c:pt>
                <c:pt idx="41">
                  <c:v>49.13725500000001</c:v>
                </c:pt>
                <c:pt idx="42">
                  <c:v>186.12120000000004</c:v>
                </c:pt>
                <c:pt idx="43">
                  <c:v>127.32855000000001</c:v>
                </c:pt>
                <c:pt idx="44">
                  <c:v>168.64724999999999</c:v>
                </c:pt>
                <c:pt idx="45">
                  <c:v>80.753999999999991</c:v>
                </c:pt>
                <c:pt idx="46">
                  <c:v>186.12120000000004</c:v>
                </c:pt>
                <c:pt idx="47">
                  <c:v>80.753999999999991</c:v>
                </c:pt>
                <c:pt idx="48">
                  <c:v>80.753999999999991</c:v>
                </c:pt>
                <c:pt idx="49">
                  <c:v>194.68705</c:v>
                </c:pt>
                <c:pt idx="50">
                  <c:v>168.64724999999999</c:v>
                </c:pt>
                <c:pt idx="51">
                  <c:v>150.052505</c:v>
                </c:pt>
                <c:pt idx="52">
                  <c:v>99.289500000000032</c:v>
                </c:pt>
                <c:pt idx="53">
                  <c:v>194.68705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5-433F-AB63-341E6C28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38688"/>
        <c:axId val="143940224"/>
      </c:barChart>
      <c:catAx>
        <c:axId val="1439386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3940224"/>
        <c:crosses val="autoZero"/>
        <c:auto val="1"/>
        <c:lblAlgn val="ctr"/>
        <c:lblOffset val="100"/>
        <c:noMultiLvlLbl val="0"/>
      </c:catAx>
      <c:valAx>
        <c:axId val="1439402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9386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1200</c:v>
                </c:pt>
                <c:pt idx="4">
                  <c:v>500</c:v>
                </c:pt>
                <c:pt idx="5">
                  <c:v>300</c:v>
                </c:pt>
                <c:pt idx="6">
                  <c:v>600</c:v>
                </c:pt>
                <c:pt idx="7">
                  <c:v>400</c:v>
                </c:pt>
                <c:pt idx="8">
                  <c:v>750</c:v>
                </c:pt>
                <c:pt idx="9">
                  <c:v>600</c:v>
                </c:pt>
                <c:pt idx="10">
                  <c:v>200</c:v>
                </c:pt>
                <c:pt idx="12">
                  <c:v>800</c:v>
                </c:pt>
                <c:pt idx="13">
                  <c:v>600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200</c:v>
                </c:pt>
                <c:pt idx="18">
                  <c:v>400</c:v>
                </c:pt>
                <c:pt idx="19">
                  <c:v>750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900</c:v>
                </c:pt>
                <c:pt idx="25">
                  <c:v>800</c:v>
                </c:pt>
                <c:pt idx="26">
                  <c:v>450</c:v>
                </c:pt>
                <c:pt idx="27">
                  <c:v>450</c:v>
                </c:pt>
                <c:pt idx="28">
                  <c:v>600</c:v>
                </c:pt>
                <c:pt idx="29">
                  <c:v>500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1500</c:v>
                </c:pt>
                <c:pt idx="36">
                  <c:v>1750</c:v>
                </c:pt>
                <c:pt idx="37">
                  <c:v>600</c:v>
                </c:pt>
                <c:pt idx="38">
                  <c:v>750</c:v>
                </c:pt>
                <c:pt idx="39">
                  <c:v>900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6-4D84-AB0D-D9CE266DA49F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BDF!$L$3:$L$56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1200</c:v>
                </c:pt>
                <c:pt idx="4">
                  <c:v>300</c:v>
                </c:pt>
                <c:pt idx="5">
                  <c:v>300</c:v>
                </c:pt>
                <c:pt idx="6">
                  <c:v>500</c:v>
                </c:pt>
                <c:pt idx="7">
                  <c:v>300</c:v>
                </c:pt>
                <c:pt idx="8">
                  <c:v>750</c:v>
                </c:pt>
                <c:pt idx="9">
                  <c:v>600</c:v>
                </c:pt>
                <c:pt idx="10">
                  <c:v>150</c:v>
                </c:pt>
                <c:pt idx="12">
                  <c:v>800</c:v>
                </c:pt>
                <c:pt idx="13">
                  <c:v>500</c:v>
                </c:pt>
                <c:pt idx="14">
                  <c:v>450</c:v>
                </c:pt>
                <c:pt idx="15">
                  <c:v>450</c:v>
                </c:pt>
                <c:pt idx="16">
                  <c:v>600</c:v>
                </c:pt>
                <c:pt idx="17">
                  <c:v>150</c:v>
                </c:pt>
                <c:pt idx="18">
                  <c:v>300</c:v>
                </c:pt>
                <c:pt idx="19">
                  <c:v>750</c:v>
                </c:pt>
                <c:pt idx="20">
                  <c:v>150</c:v>
                </c:pt>
                <c:pt idx="21">
                  <c:v>150</c:v>
                </c:pt>
                <c:pt idx="23">
                  <c:v>900</c:v>
                </c:pt>
                <c:pt idx="24">
                  <c:v>900</c:v>
                </c:pt>
                <c:pt idx="25">
                  <c:v>600</c:v>
                </c:pt>
                <c:pt idx="26">
                  <c:v>450</c:v>
                </c:pt>
                <c:pt idx="27">
                  <c:v>300</c:v>
                </c:pt>
                <c:pt idx="28">
                  <c:v>450</c:v>
                </c:pt>
                <c:pt idx="29">
                  <c:v>300</c:v>
                </c:pt>
                <c:pt idx="30">
                  <c:v>1200</c:v>
                </c:pt>
                <c:pt idx="31">
                  <c:v>450</c:v>
                </c:pt>
                <c:pt idx="32">
                  <c:v>900</c:v>
                </c:pt>
                <c:pt idx="33">
                  <c:v>450</c:v>
                </c:pt>
                <c:pt idx="34">
                  <c:v>2200</c:v>
                </c:pt>
                <c:pt idx="35">
                  <c:v>900</c:v>
                </c:pt>
                <c:pt idx="36">
                  <c:v>1050</c:v>
                </c:pt>
                <c:pt idx="37">
                  <c:v>450</c:v>
                </c:pt>
                <c:pt idx="38">
                  <c:v>750</c:v>
                </c:pt>
                <c:pt idx="39">
                  <c:v>900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6-4D84-AB0D-D9CE266DA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87392"/>
        <c:axId val="144188928"/>
      </c:barChart>
      <c:catAx>
        <c:axId val="144187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44188928"/>
        <c:crosses val="autoZero"/>
        <c:auto val="1"/>
        <c:lblAlgn val="ctr"/>
        <c:lblOffset val="100"/>
        <c:noMultiLvlLbl val="0"/>
      </c:catAx>
      <c:valAx>
        <c:axId val="14418892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187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2</xdr:row>
      <xdr:rowOff>95250</xdr:rowOff>
    </xdr:from>
    <xdr:to>
      <xdr:col>18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</xdr:row>
      <xdr:rowOff>129267</xdr:rowOff>
    </xdr:from>
    <xdr:to>
      <xdr:col>26</xdr:col>
      <xdr:colOff>607919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19</xdr:col>
      <xdr:colOff>647700</xdr:colOff>
      <xdr:row>9</xdr:row>
      <xdr:rowOff>76201</xdr:rowOff>
    </xdr:from>
    <xdr:to>
      <xdr:col>20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17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15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15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16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14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21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21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24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24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23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23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22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14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20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24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16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15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23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22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24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16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2137834</xdr:colOff>
      <xdr:row>36</xdr:row>
      <xdr:rowOff>25399</xdr:rowOff>
    </xdr:from>
    <xdr:to>
      <xdr:col>24</xdr:col>
      <xdr:colOff>42334</xdr:colOff>
      <xdr:row>52</xdr:row>
      <xdr:rowOff>74083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1816365</xdr:colOff>
      <xdr:row>34</xdr:row>
      <xdr:rowOff>132555</xdr:rowOff>
    </xdr:from>
    <xdr:to>
      <xdr:col>24</xdr:col>
      <xdr:colOff>484189</xdr:colOff>
      <xdr:row>51</xdr:row>
      <xdr:rowOff>10584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210344</xdr:colOff>
      <xdr:row>13</xdr:row>
      <xdr:rowOff>69057</xdr:rowOff>
    </xdr:from>
    <xdr:to>
      <xdr:col>9</xdr:col>
      <xdr:colOff>494960</xdr:colOff>
      <xdr:row>28</xdr:row>
      <xdr:rowOff>73819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694531</xdr:colOff>
      <xdr:row>13</xdr:row>
      <xdr:rowOff>169598</xdr:rowOff>
    </xdr:from>
    <xdr:to>
      <xdr:col>8</xdr:col>
      <xdr:colOff>162719</xdr:colOff>
      <xdr:row>28</xdr:row>
      <xdr:rowOff>174360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11</xdr:col>
      <xdr:colOff>374121</xdr:colOff>
      <xdr:row>36</xdr:row>
      <xdr:rowOff>183620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595313</xdr:colOff>
      <xdr:row>1</xdr:row>
      <xdr:rowOff>92869</xdr:rowOff>
    </xdr:from>
    <xdr:to>
      <xdr:col>8</xdr:col>
      <xdr:colOff>1389062</xdr:colOff>
      <xdr:row>15</xdr:row>
      <xdr:rowOff>169069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611186</xdr:colOff>
      <xdr:row>16</xdr:row>
      <xdr:rowOff>92869</xdr:rowOff>
    </xdr:from>
    <xdr:to>
      <xdr:col>8</xdr:col>
      <xdr:colOff>1444624</xdr:colOff>
      <xdr:row>30</xdr:row>
      <xdr:rowOff>169069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83345</xdr:colOff>
      <xdr:row>33</xdr:row>
      <xdr:rowOff>0</xdr:rowOff>
    </xdr:from>
    <xdr:to>
      <xdr:col>12</xdr:col>
      <xdr:colOff>1309689</xdr:colOff>
      <xdr:row>47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</xdr:colOff>
      <xdr:row>48</xdr:row>
      <xdr:rowOff>142875</xdr:rowOff>
    </xdr:from>
    <xdr:to>
      <xdr:col>12</xdr:col>
      <xdr:colOff>1297782</xdr:colOff>
      <xdr:row>63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35719</xdr:colOff>
      <xdr:row>64</xdr:row>
      <xdr:rowOff>95250</xdr:rowOff>
    </xdr:from>
    <xdr:to>
      <xdr:col>12</xdr:col>
      <xdr:colOff>1262064</xdr:colOff>
      <xdr:row>78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214313</xdr:colOff>
      <xdr:row>76</xdr:row>
      <xdr:rowOff>154782</xdr:rowOff>
    </xdr:from>
    <xdr:to>
      <xdr:col>5</xdr:col>
      <xdr:colOff>178594</xdr:colOff>
      <xdr:row>91</xdr:row>
      <xdr:rowOff>40482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583407</xdr:colOff>
      <xdr:row>22</xdr:row>
      <xdr:rowOff>108743</xdr:rowOff>
    </xdr:from>
    <xdr:to>
      <xdr:col>45</xdr:col>
      <xdr:colOff>636322</xdr:colOff>
      <xdr:row>38</xdr:row>
      <xdr:rowOff>57943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16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16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19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19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1482990</xdr:colOff>
      <xdr:row>55</xdr:row>
      <xdr:rowOff>107156</xdr:rowOff>
    </xdr:from>
    <xdr:to>
      <xdr:col>31</xdr:col>
      <xdr:colOff>238125</xdr:colOff>
      <xdr:row>73</xdr:row>
      <xdr:rowOff>153458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2304521</xdr:colOff>
      <xdr:row>38</xdr:row>
      <xdr:rowOff>73024</xdr:rowOff>
    </xdr:from>
    <xdr:to>
      <xdr:col>25</xdr:col>
      <xdr:colOff>377032</xdr:colOff>
      <xdr:row>54</xdr:row>
      <xdr:rowOff>129646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373856</xdr:colOff>
      <xdr:row>57</xdr:row>
      <xdr:rowOff>23811</xdr:rowOff>
    </xdr:from>
    <xdr:to>
      <xdr:col>22</xdr:col>
      <xdr:colOff>216694</xdr:colOff>
      <xdr:row>75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2128309</xdr:colOff>
      <xdr:row>36</xdr:row>
      <xdr:rowOff>149224</xdr:rowOff>
    </xdr:from>
    <xdr:to>
      <xdr:col>25</xdr:col>
      <xdr:colOff>212726</xdr:colOff>
      <xdr:row>53</xdr:row>
      <xdr:rowOff>29633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2063751</xdr:colOff>
      <xdr:row>36</xdr:row>
      <xdr:rowOff>35983</xdr:rowOff>
    </xdr:from>
    <xdr:to>
      <xdr:col>23</xdr:col>
      <xdr:colOff>1259417</xdr:colOff>
      <xdr:row>52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638" displayName="Table638" ref="A3:C4" totalsRowShown="0" headerRowDxfId="17" dataDxfId="15" headerRowBorderDxfId="16" headerRowCellStyle="Neutral" dataCellStyle="Comma">
  <tableColumns count="3">
    <tableColumn id="1" name="IP Links" dataDxfId="14" dataCellStyle="Comma"/>
    <tableColumn id="2" name="Working capacity of IP link e [Gbit/s]:" dataDxfId="13" dataCellStyle="Comma"/>
    <tableColumn id="4" name="Spare capacity of IP link e [Gbit/s]:" dataDxfId="12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zoomScaleNormal="100" workbookViewId="0">
      <selection activeCell="D39" sqref="D39"/>
    </sheetView>
  </sheetViews>
  <sheetFormatPr defaultRowHeight="1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8" width="22.28515625" customWidth="1"/>
    <col min="9" max="9" width="18.5703125" customWidth="1"/>
    <col min="10" max="10" width="17.140625" customWidth="1"/>
    <col min="11" max="12" width="17" customWidth="1"/>
  </cols>
  <sheetData>
    <row r="1" spans="1:23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310" t="s">
        <v>460</v>
      </c>
      <c r="H1" s="310" t="s">
        <v>462</v>
      </c>
      <c r="I1" s="310" t="s">
        <v>43</v>
      </c>
      <c r="J1" s="4" t="s">
        <v>33</v>
      </c>
      <c r="K1" s="4" t="s">
        <v>42</v>
      </c>
      <c r="L1" s="4" t="s">
        <v>79</v>
      </c>
    </row>
    <row r="2" spans="1:23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11">
        <v>1.5</v>
      </c>
      <c r="H2" s="11">
        <f>G2*F2</f>
        <v>890.08875000000012</v>
      </c>
      <c r="I2" s="11">
        <f>CEILING(H2/(E2*0.84),1)</f>
        <v>8</v>
      </c>
      <c r="J2" s="7">
        <f>I2*E2</f>
        <v>1200</v>
      </c>
      <c r="K2" s="7">
        <f>J2-H2</f>
        <v>309.91124999999988</v>
      </c>
      <c r="L2" s="9">
        <f>(H2/J2)*100</f>
        <v>74.174062500000019</v>
      </c>
      <c r="P2" s="3" t="s">
        <v>39</v>
      </c>
      <c r="W2" s="3" t="s">
        <v>40</v>
      </c>
    </row>
    <row r="3" spans="1:23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11">
        <v>1.5</v>
      </c>
      <c r="H3" s="11">
        <f t="shared" ref="H3:H32" si="0">G3*F3</f>
        <v>197.93100000000001</v>
      </c>
      <c r="I3" s="11">
        <f t="shared" ref="I3:I32" si="1">CEILING(H3/(E3*0.84),1)</f>
        <v>2</v>
      </c>
      <c r="J3" s="11">
        <f t="shared" ref="J3:J32" si="2">I3*E3</f>
        <v>400</v>
      </c>
      <c r="K3" s="366">
        <f t="shared" ref="K3:K33" si="3">J3-H3</f>
        <v>202.06899999999999</v>
      </c>
      <c r="L3" s="12">
        <f t="shared" ref="L3:L32" si="4">(H3/J3)*100</f>
        <v>49.482750000000003</v>
      </c>
    </row>
    <row r="4" spans="1:23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11">
        <v>1.5</v>
      </c>
      <c r="H4" s="11">
        <f t="shared" si="0"/>
        <v>119.63775</v>
      </c>
      <c r="I4" s="11">
        <f t="shared" si="1"/>
        <v>1</v>
      </c>
      <c r="J4" s="11">
        <f t="shared" si="2"/>
        <v>200</v>
      </c>
      <c r="K4" s="366">
        <f t="shared" si="3"/>
        <v>80.362250000000003</v>
      </c>
      <c r="L4" s="12">
        <f t="shared" si="4"/>
        <v>59.818874999999991</v>
      </c>
      <c r="P4" s="1"/>
    </row>
    <row r="5" spans="1:23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11">
        <v>1.5</v>
      </c>
      <c r="H5" s="11">
        <f t="shared" si="0"/>
        <v>248.31</v>
      </c>
      <c r="I5" s="11">
        <f t="shared" si="1"/>
        <v>2</v>
      </c>
      <c r="J5" s="11">
        <f t="shared" si="2"/>
        <v>500</v>
      </c>
      <c r="K5" s="366">
        <f t="shared" si="3"/>
        <v>251.69</v>
      </c>
      <c r="L5" s="12">
        <f t="shared" si="4"/>
        <v>49.661999999999999</v>
      </c>
      <c r="O5" s="2" t="s">
        <v>38</v>
      </c>
      <c r="P5" s="1"/>
    </row>
    <row r="6" spans="1:23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11">
        <v>1.5</v>
      </c>
      <c r="H6" s="11">
        <f t="shared" si="0"/>
        <v>495.05579999999998</v>
      </c>
      <c r="I6" s="11">
        <f t="shared" si="1"/>
        <v>2</v>
      </c>
      <c r="J6" s="11">
        <f t="shared" si="2"/>
        <v>600</v>
      </c>
      <c r="K6" s="366">
        <f t="shared" si="3"/>
        <v>104.94420000000002</v>
      </c>
      <c r="L6" s="12">
        <f t="shared" si="4"/>
        <v>82.509299999999996</v>
      </c>
      <c r="P6" s="1"/>
    </row>
    <row r="7" spans="1:23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11">
        <v>1.5</v>
      </c>
      <c r="H7" s="11">
        <f t="shared" si="0"/>
        <v>621.76125000000002</v>
      </c>
      <c r="I7" s="11">
        <f t="shared" si="1"/>
        <v>4</v>
      </c>
      <c r="J7" s="11">
        <f t="shared" si="2"/>
        <v>800</v>
      </c>
      <c r="K7" s="366">
        <f t="shared" si="3"/>
        <v>178.23874999999998</v>
      </c>
      <c r="L7" s="12">
        <f t="shared" si="4"/>
        <v>77.720156250000002</v>
      </c>
      <c r="P7" s="1"/>
    </row>
    <row r="8" spans="1:23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11">
        <v>1.5</v>
      </c>
      <c r="H8" s="11">
        <f t="shared" si="0"/>
        <v>300.16829999999999</v>
      </c>
      <c r="I8" s="11">
        <f t="shared" si="1"/>
        <v>2</v>
      </c>
      <c r="J8" s="11">
        <f t="shared" si="2"/>
        <v>400</v>
      </c>
      <c r="K8" s="366">
        <f t="shared" si="3"/>
        <v>99.831700000000012</v>
      </c>
      <c r="L8" s="12">
        <f t="shared" si="4"/>
        <v>75.042074999999997</v>
      </c>
      <c r="P8" s="1"/>
    </row>
    <row r="9" spans="1:23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11">
        <v>1.5</v>
      </c>
      <c r="H9" s="11">
        <f t="shared" si="0"/>
        <v>624.22170000000006</v>
      </c>
      <c r="I9" s="11">
        <f t="shared" si="1"/>
        <v>5</v>
      </c>
      <c r="J9" s="11">
        <f t="shared" si="2"/>
        <v>750</v>
      </c>
      <c r="K9" s="366">
        <f t="shared" si="3"/>
        <v>125.77829999999994</v>
      </c>
      <c r="L9" s="12">
        <f t="shared" si="4"/>
        <v>83.229560000000006</v>
      </c>
      <c r="P9" s="1"/>
    </row>
    <row r="10" spans="1:23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11">
        <v>1.5</v>
      </c>
      <c r="H10" s="11">
        <f t="shared" si="0"/>
        <v>373.59030000000001</v>
      </c>
      <c r="I10" s="11">
        <f t="shared" si="1"/>
        <v>2</v>
      </c>
      <c r="J10" s="11">
        <f t="shared" si="2"/>
        <v>600</v>
      </c>
      <c r="K10" s="366">
        <f t="shared" si="3"/>
        <v>226.40969999999999</v>
      </c>
      <c r="L10" s="12">
        <f t="shared" si="4"/>
        <v>62.265050000000002</v>
      </c>
      <c r="P10" s="1"/>
    </row>
    <row r="11" spans="1:23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11">
        <v>1.5</v>
      </c>
      <c r="H11" s="11">
        <f t="shared" si="0"/>
        <v>278.15129999999999</v>
      </c>
      <c r="I11" s="11">
        <f t="shared" si="1"/>
        <v>3</v>
      </c>
      <c r="J11" s="11">
        <f t="shared" si="2"/>
        <v>450</v>
      </c>
      <c r="K11" s="366">
        <f t="shared" si="3"/>
        <v>171.84870000000001</v>
      </c>
      <c r="L11" s="12">
        <f t="shared" si="4"/>
        <v>61.811399999999992</v>
      </c>
      <c r="P11" s="1"/>
    </row>
    <row r="12" spans="1:23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11">
        <v>1.5</v>
      </c>
      <c r="H12" s="11">
        <f t="shared" si="0"/>
        <v>320.77244999999999</v>
      </c>
      <c r="I12" s="11">
        <f t="shared" si="1"/>
        <v>3</v>
      </c>
      <c r="J12" s="11">
        <f t="shared" si="2"/>
        <v>450</v>
      </c>
      <c r="K12" s="366">
        <f t="shared" si="3"/>
        <v>129.22755000000001</v>
      </c>
      <c r="L12" s="12">
        <f t="shared" si="4"/>
        <v>71.28276666666666</v>
      </c>
      <c r="P12" s="1"/>
    </row>
    <row r="13" spans="1:23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11">
        <v>1.5</v>
      </c>
      <c r="H13" s="11">
        <f t="shared" si="0"/>
        <v>481.17255</v>
      </c>
      <c r="I13" s="11">
        <f t="shared" si="1"/>
        <v>3</v>
      </c>
      <c r="J13" s="11">
        <f t="shared" si="2"/>
        <v>600</v>
      </c>
      <c r="K13" s="366">
        <f t="shared" si="3"/>
        <v>118.82745</v>
      </c>
      <c r="L13" s="12">
        <f t="shared" si="4"/>
        <v>80.195425</v>
      </c>
      <c r="P13" s="1"/>
    </row>
    <row r="14" spans="1:23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11">
        <v>1.5</v>
      </c>
      <c r="H14" s="11">
        <f t="shared" si="0"/>
        <v>36.154754999999994</v>
      </c>
      <c r="I14" s="11">
        <f t="shared" si="1"/>
        <v>1</v>
      </c>
      <c r="J14" s="11">
        <f t="shared" si="2"/>
        <v>200</v>
      </c>
      <c r="K14" s="366">
        <f t="shared" si="3"/>
        <v>163.84524500000001</v>
      </c>
      <c r="L14" s="12">
        <f t="shared" si="4"/>
        <v>18.077377499999997</v>
      </c>
    </row>
    <row r="15" spans="1:23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11">
        <v>1.5</v>
      </c>
      <c r="H15" s="11">
        <f t="shared" si="0"/>
        <v>996.77129999999988</v>
      </c>
      <c r="I15" s="11">
        <f t="shared" si="1"/>
        <v>6</v>
      </c>
      <c r="J15" s="11">
        <f t="shared" si="2"/>
        <v>1200</v>
      </c>
      <c r="K15" s="366">
        <f t="shared" si="3"/>
        <v>203.22870000000012</v>
      </c>
      <c r="L15" s="12">
        <f t="shared" si="4"/>
        <v>83.064274999999981</v>
      </c>
    </row>
    <row r="16" spans="1:23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11">
        <v>1.5</v>
      </c>
      <c r="H16" s="11">
        <f t="shared" si="0"/>
        <v>637.00244999999995</v>
      </c>
      <c r="I16" s="11">
        <f t="shared" si="1"/>
        <v>6</v>
      </c>
      <c r="J16" s="11">
        <f t="shared" si="2"/>
        <v>900</v>
      </c>
      <c r="K16" s="366">
        <f t="shared" si="3"/>
        <v>262.99755000000005</v>
      </c>
      <c r="L16" s="12">
        <f t="shared" si="4"/>
        <v>70.778049999999993</v>
      </c>
    </row>
    <row r="17" spans="1:12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11">
        <v>1.5</v>
      </c>
      <c r="H17" s="11">
        <f t="shared" si="0"/>
        <v>416.36130000000003</v>
      </c>
      <c r="I17" s="11">
        <f t="shared" si="1"/>
        <v>2</v>
      </c>
      <c r="J17" s="11">
        <f t="shared" si="2"/>
        <v>500</v>
      </c>
      <c r="K17" s="366">
        <f t="shared" si="3"/>
        <v>83.638699999999972</v>
      </c>
      <c r="L17" s="12">
        <f t="shared" si="4"/>
        <v>83.272260000000003</v>
      </c>
    </row>
    <row r="18" spans="1:12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11">
        <v>1.5</v>
      </c>
      <c r="H18" s="11">
        <f t="shared" si="0"/>
        <v>737.21355000000005</v>
      </c>
      <c r="I18" s="11">
        <f t="shared" si="1"/>
        <v>6</v>
      </c>
      <c r="J18" s="11">
        <f t="shared" si="2"/>
        <v>900</v>
      </c>
      <c r="K18" s="366">
        <f t="shared" si="3"/>
        <v>162.78644999999995</v>
      </c>
      <c r="L18" s="12">
        <f t="shared" si="4"/>
        <v>81.912616666666665</v>
      </c>
    </row>
    <row r="19" spans="1:12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11">
        <v>1.5</v>
      </c>
      <c r="H19" s="11">
        <f t="shared" si="0"/>
        <v>1726.992</v>
      </c>
      <c r="I19" s="11">
        <f t="shared" si="1"/>
        <v>11</v>
      </c>
      <c r="J19" s="11">
        <f t="shared" si="2"/>
        <v>2200</v>
      </c>
      <c r="K19" s="366">
        <f t="shared" si="3"/>
        <v>473.00800000000004</v>
      </c>
      <c r="L19" s="12">
        <f t="shared" si="4"/>
        <v>78.499636363636355</v>
      </c>
    </row>
    <row r="20" spans="1:12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11">
        <v>1.5</v>
      </c>
      <c r="H20" s="11">
        <f t="shared" si="0"/>
        <v>1169.28495</v>
      </c>
      <c r="I20" s="11">
        <f t="shared" si="1"/>
        <v>6</v>
      </c>
      <c r="J20" s="11">
        <f t="shared" si="2"/>
        <v>1500</v>
      </c>
      <c r="K20" s="366">
        <f t="shared" si="3"/>
        <v>330.71505000000002</v>
      </c>
      <c r="L20" s="12">
        <f t="shared" si="4"/>
        <v>77.952330000000003</v>
      </c>
    </row>
    <row r="21" spans="1:12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11">
        <v>1.5</v>
      </c>
      <c r="H21" s="11">
        <f t="shared" si="0"/>
        <v>1329.2317499999999</v>
      </c>
      <c r="I21" s="11">
        <f t="shared" si="1"/>
        <v>7</v>
      </c>
      <c r="J21" s="11">
        <f t="shared" si="2"/>
        <v>1750</v>
      </c>
      <c r="K21" s="366">
        <f t="shared" si="3"/>
        <v>420.76825000000008</v>
      </c>
      <c r="L21" s="12">
        <f t="shared" si="4"/>
        <v>75.956099999999992</v>
      </c>
    </row>
    <row r="22" spans="1:12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11">
        <v>1.5</v>
      </c>
      <c r="H22" s="11">
        <f t="shared" si="0"/>
        <v>350.71049999999997</v>
      </c>
      <c r="I22" s="11">
        <f t="shared" si="1"/>
        <v>3</v>
      </c>
      <c r="J22" s="11">
        <f t="shared" si="2"/>
        <v>600</v>
      </c>
      <c r="K22" s="366">
        <f t="shared" si="3"/>
        <v>249.28950000000003</v>
      </c>
      <c r="L22" s="12">
        <f t="shared" si="4"/>
        <v>58.45174999999999</v>
      </c>
    </row>
    <row r="23" spans="1:12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11">
        <v>1.5</v>
      </c>
      <c r="H23" s="11">
        <f t="shared" si="0"/>
        <v>120.505005</v>
      </c>
      <c r="I23" s="11">
        <f t="shared" si="1"/>
        <v>1</v>
      </c>
      <c r="J23" s="11">
        <f t="shared" si="2"/>
        <v>250</v>
      </c>
      <c r="K23" s="366">
        <f t="shared" si="3"/>
        <v>129.49499500000002</v>
      </c>
      <c r="L23" s="12">
        <f t="shared" si="4"/>
        <v>48.202002</v>
      </c>
    </row>
    <row r="24" spans="1:12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11">
        <v>1.5</v>
      </c>
      <c r="H24" s="11">
        <f t="shared" si="0"/>
        <v>33.526004999999998</v>
      </c>
      <c r="I24" s="11">
        <f t="shared" si="1"/>
        <v>1</v>
      </c>
      <c r="J24" s="11">
        <f t="shared" si="2"/>
        <v>200</v>
      </c>
      <c r="K24" s="366">
        <f t="shared" si="3"/>
        <v>166.473995</v>
      </c>
      <c r="L24" s="12">
        <f t="shared" si="4"/>
        <v>16.763002499999999</v>
      </c>
    </row>
    <row r="25" spans="1:12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11">
        <v>1.5</v>
      </c>
      <c r="H25" s="11">
        <f t="shared" si="0"/>
        <v>100.86274499999999</v>
      </c>
      <c r="I25" s="11">
        <f t="shared" si="1"/>
        <v>1</v>
      </c>
      <c r="J25" s="11">
        <f t="shared" si="2"/>
        <v>200</v>
      </c>
      <c r="K25" s="366">
        <f t="shared" si="3"/>
        <v>99.13725500000001</v>
      </c>
      <c r="L25" s="12">
        <f t="shared" si="4"/>
        <v>50.431372499999995</v>
      </c>
    </row>
    <row r="26" spans="1:12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11">
        <v>1.5</v>
      </c>
      <c r="H26" s="11">
        <f t="shared" si="0"/>
        <v>152.28555</v>
      </c>
      <c r="I26" s="11">
        <f t="shared" si="1"/>
        <v>2</v>
      </c>
      <c r="J26" s="11">
        <f t="shared" si="2"/>
        <v>300</v>
      </c>
      <c r="K26" s="366">
        <f t="shared" si="3"/>
        <v>147.71445</v>
      </c>
      <c r="L26" s="12">
        <f t="shared" si="4"/>
        <v>50.761849999999995</v>
      </c>
    </row>
    <row r="27" spans="1:12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11">
        <v>1.5</v>
      </c>
      <c r="H27" s="11">
        <f t="shared" si="0"/>
        <v>263.87879999999996</v>
      </c>
      <c r="I27" s="11">
        <f t="shared" si="1"/>
        <v>3</v>
      </c>
      <c r="J27" s="11">
        <f t="shared" si="2"/>
        <v>450</v>
      </c>
      <c r="K27" s="366">
        <f t="shared" si="3"/>
        <v>186.12120000000004</v>
      </c>
      <c r="L27" s="12">
        <f t="shared" si="4"/>
        <v>58.639733333333325</v>
      </c>
    </row>
    <row r="28" spans="1:12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11">
        <v>1.5</v>
      </c>
      <c r="H28" s="11">
        <f t="shared" si="0"/>
        <v>172.67144999999999</v>
      </c>
      <c r="I28" s="11">
        <f t="shared" si="1"/>
        <v>2</v>
      </c>
      <c r="J28" s="11">
        <f t="shared" si="2"/>
        <v>400</v>
      </c>
      <c r="K28" s="366">
        <f t="shared" si="3"/>
        <v>227.32855000000001</v>
      </c>
      <c r="L28" s="12">
        <f t="shared" si="4"/>
        <v>43.167862499999998</v>
      </c>
    </row>
    <row r="29" spans="1:12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11">
        <v>1.5</v>
      </c>
      <c r="H29" s="11">
        <f t="shared" si="0"/>
        <v>131.35275000000001</v>
      </c>
      <c r="I29" s="11">
        <f t="shared" si="1"/>
        <v>2</v>
      </c>
      <c r="J29" s="11">
        <f t="shared" si="2"/>
        <v>300</v>
      </c>
      <c r="K29" s="366">
        <f t="shared" si="3"/>
        <v>168.64724999999999</v>
      </c>
      <c r="L29" s="12">
        <f t="shared" si="4"/>
        <v>43.78425</v>
      </c>
    </row>
    <row r="30" spans="1:12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11">
        <v>1.5</v>
      </c>
      <c r="H30" s="11">
        <f t="shared" si="0"/>
        <v>69.246000000000009</v>
      </c>
      <c r="I30" s="11">
        <f t="shared" si="1"/>
        <v>1</v>
      </c>
      <c r="J30" s="11">
        <f t="shared" si="2"/>
        <v>150</v>
      </c>
      <c r="K30" s="366">
        <f t="shared" si="3"/>
        <v>80.753999999999991</v>
      </c>
      <c r="L30" s="12">
        <f t="shared" si="4"/>
        <v>46.164000000000001</v>
      </c>
    </row>
    <row r="31" spans="1:12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11">
        <v>1.5</v>
      </c>
      <c r="H31" s="11">
        <f t="shared" si="0"/>
        <v>205.31295</v>
      </c>
      <c r="I31" s="11">
        <f t="shared" si="1"/>
        <v>2</v>
      </c>
      <c r="J31" s="11">
        <f t="shared" si="2"/>
        <v>400</v>
      </c>
      <c r="K31" s="366">
        <f t="shared" si="3"/>
        <v>194.68705</v>
      </c>
      <c r="L31" s="12">
        <f t="shared" si="4"/>
        <v>51.328237499999993</v>
      </c>
    </row>
    <row r="32" spans="1:12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11">
        <v>1.5</v>
      </c>
      <c r="H32" s="11">
        <f t="shared" si="0"/>
        <v>49.947495000000004</v>
      </c>
      <c r="I32" s="11">
        <f t="shared" si="1"/>
        <v>1</v>
      </c>
      <c r="J32" s="15">
        <f t="shared" si="2"/>
        <v>200</v>
      </c>
      <c r="K32" s="366">
        <f t="shared" si="3"/>
        <v>150.052505</v>
      </c>
      <c r="L32" s="21">
        <f t="shared" si="4"/>
        <v>24.973747500000002</v>
      </c>
    </row>
    <row r="33" spans="1:12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7"/>
      <c r="H33" s="7">
        <f>SUM(H2:H32)</f>
        <v>13650.172455</v>
      </c>
      <c r="I33" s="7"/>
      <c r="J33" s="18">
        <f>SUM(J2:J32)</f>
        <v>19550</v>
      </c>
      <c r="K33" s="369">
        <f t="shared" si="3"/>
        <v>5899.8275450000001</v>
      </c>
      <c r="L33" s="11"/>
    </row>
    <row r="34" spans="1:12">
      <c r="A34" s="5"/>
      <c r="B34" s="5"/>
      <c r="C34" s="5"/>
      <c r="D34" s="4" t="s">
        <v>80</v>
      </c>
      <c r="E34" s="17">
        <f>F33/J33</f>
        <v>0.46547902659846552</v>
      </c>
      <c r="F34" s="5"/>
      <c r="G34" s="11"/>
      <c r="H34" s="11"/>
      <c r="I34" s="5"/>
      <c r="J34" s="5">
        <f>2*J33</f>
        <v>39100</v>
      </c>
      <c r="K34" s="5"/>
      <c r="L34" s="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W7" zoomScaleNormal="100" workbookViewId="0">
      <selection activeCell="AD52" sqref="AD52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26.570312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27" width="9" style="5"/>
    <col min="28" max="28" width="29.28515625" style="5" customWidth="1"/>
    <col min="29" max="29" width="19.42578125" style="5" customWidth="1"/>
    <col min="30" max="30" width="19.7109375" style="5" customWidth="1"/>
    <col min="31" max="34" width="9" style="5"/>
    <col min="35" max="35" width="18.5703125" style="5" customWidth="1"/>
    <col min="36" max="36" width="14.28515625" style="5" customWidth="1"/>
    <col min="37" max="37" width="9" style="5"/>
    <col min="38" max="38" width="22.7109375" style="5" customWidth="1"/>
    <col min="39" max="16384" width="9" style="5"/>
  </cols>
  <sheetData>
    <row r="1" spans="1:38" ht="14.25" customHeight="1">
      <c r="A1" s="363"/>
      <c r="B1" s="198"/>
      <c r="C1" s="514" t="s">
        <v>452</v>
      </c>
      <c r="D1" s="515"/>
      <c r="E1" s="515"/>
      <c r="F1" s="515"/>
      <c r="G1" s="515"/>
      <c r="H1" s="515"/>
      <c r="I1" s="516"/>
      <c r="J1" s="355"/>
      <c r="K1" s="512" t="s">
        <v>451</v>
      </c>
      <c r="L1" s="513"/>
      <c r="M1" s="513"/>
      <c r="N1" s="513"/>
      <c r="O1" s="513"/>
      <c r="P1" s="513"/>
      <c r="Q1" s="513"/>
      <c r="R1" s="552"/>
      <c r="S1" s="7"/>
      <c r="T1" s="7"/>
    </row>
    <row r="2" spans="1:38" ht="13.5" thickBot="1">
      <c r="A2" s="363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256" t="s">
        <v>459</v>
      </c>
      <c r="K2" s="192" t="s">
        <v>446</v>
      </c>
      <c r="L2" s="192" t="s">
        <v>34</v>
      </c>
      <c r="M2" s="192" t="s">
        <v>33</v>
      </c>
      <c r="N2" s="191" t="s">
        <v>445</v>
      </c>
      <c r="O2" s="190" t="s">
        <v>460</v>
      </c>
      <c r="P2" s="190" t="s">
        <v>462</v>
      </c>
      <c r="Q2" s="190" t="s">
        <v>444</v>
      </c>
      <c r="R2" s="245" t="s">
        <v>458</v>
      </c>
      <c r="S2" s="364"/>
      <c r="T2" s="320"/>
    </row>
    <row r="3" spans="1:38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3">
        <f>H3/E3*100</f>
        <v>49.482750000000003</v>
      </c>
      <c r="K3" s="181" t="s">
        <v>435</v>
      </c>
      <c r="L3" s="181">
        <v>598.85</v>
      </c>
      <c r="M3" s="297">
        <v>300</v>
      </c>
      <c r="N3" s="180">
        <f t="shared" ref="N3:N13" si="1">F3</f>
        <v>131.95400000000001</v>
      </c>
      <c r="O3" s="244">
        <v>1.5</v>
      </c>
      <c r="P3" s="244">
        <f>O3*N3</f>
        <v>197.93100000000001</v>
      </c>
      <c r="Q3" s="290">
        <f>M3-P3</f>
        <v>102.06899999999999</v>
      </c>
      <c r="R3" s="180" t="str">
        <f t="shared" ref="R3:R9" si="2">IF(Q3&gt;=0,"No","Yes")</f>
        <v>No</v>
      </c>
      <c r="S3" s="364"/>
      <c r="T3" s="364"/>
    </row>
    <row r="4" spans="1:38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76">
        <v>1.5</v>
      </c>
      <c r="H4" s="183">
        <f t="shared" ref="H4:H56" si="3">G4*F4</f>
        <v>119.63775</v>
      </c>
      <c r="I4" s="175">
        <f t="shared" si="0"/>
        <v>120.2415</v>
      </c>
      <c r="J4" s="183">
        <f t="shared" ref="J4:J13" si="4">H4/E4*100</f>
        <v>59.818874999999991</v>
      </c>
      <c r="K4" s="174" t="s">
        <v>434</v>
      </c>
      <c r="L4" s="174">
        <v>561.44000000000005</v>
      </c>
      <c r="M4" s="296">
        <v>150</v>
      </c>
      <c r="N4" s="173">
        <f t="shared" si="1"/>
        <v>79.758499999999998</v>
      </c>
      <c r="O4" s="244">
        <v>1.5</v>
      </c>
      <c r="P4" s="244">
        <f t="shared" ref="P4:P56" si="5">O4*N4</f>
        <v>119.63775</v>
      </c>
      <c r="Q4" s="290">
        <f t="shared" ref="Q4:Q13" si="6">M4-P4</f>
        <v>30.362250000000003</v>
      </c>
      <c r="R4" s="181" t="str">
        <f t="shared" si="2"/>
        <v>No</v>
      </c>
      <c r="S4" s="364"/>
      <c r="T4" s="364"/>
    </row>
    <row r="5" spans="1:38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95">
        <v>1.5</v>
      </c>
      <c r="H5" s="183">
        <f t="shared" si="3"/>
        <v>152.28555</v>
      </c>
      <c r="I5" s="95">
        <f t="shared" si="0"/>
        <v>198.47629999999998</v>
      </c>
      <c r="J5" s="183">
        <f t="shared" si="4"/>
        <v>50.761849999999995</v>
      </c>
      <c r="K5" s="94" t="s">
        <v>429</v>
      </c>
      <c r="L5" s="94">
        <v>691.82</v>
      </c>
      <c r="M5" s="94">
        <v>300</v>
      </c>
      <c r="N5" s="93">
        <f t="shared" si="1"/>
        <v>101.52370000000001</v>
      </c>
      <c r="O5" s="244">
        <v>1.5</v>
      </c>
      <c r="P5" s="244">
        <f t="shared" si="5"/>
        <v>152.28555</v>
      </c>
      <c r="Q5" s="290">
        <f t="shared" si="6"/>
        <v>147.71445</v>
      </c>
      <c r="R5" s="181" t="str">
        <f t="shared" si="2"/>
        <v>No</v>
      </c>
      <c r="S5" s="356" t="s">
        <v>440</v>
      </c>
      <c r="T5" s="356" t="s">
        <v>457</v>
      </c>
    </row>
    <row r="6" spans="1:38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86">
        <v>1.5</v>
      </c>
      <c r="H6" s="183">
        <f t="shared" si="3"/>
        <v>890.08500000000004</v>
      </c>
      <c r="I6" s="85">
        <f t="shared" si="0"/>
        <v>606.61</v>
      </c>
      <c r="J6" s="183">
        <f t="shared" si="4"/>
        <v>74.173749999999998</v>
      </c>
      <c r="K6" s="84" t="s">
        <v>431</v>
      </c>
      <c r="L6" s="84">
        <v>778.62</v>
      </c>
      <c r="M6" s="84">
        <v>1200</v>
      </c>
      <c r="N6" s="83">
        <f t="shared" si="1"/>
        <v>593.39</v>
      </c>
      <c r="O6" s="244">
        <v>1.5</v>
      </c>
      <c r="P6" s="244">
        <f t="shared" si="5"/>
        <v>890.08500000000004</v>
      </c>
      <c r="Q6" s="290">
        <f t="shared" si="6"/>
        <v>309.91499999999996</v>
      </c>
      <c r="R6" s="181" t="str">
        <f t="shared" si="2"/>
        <v>No</v>
      </c>
      <c r="S6" s="217"/>
      <c r="T6" s="216"/>
    </row>
    <row r="7" spans="1:38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10">
        <v>1.5</v>
      </c>
      <c r="H7" s="183">
        <f t="shared" si="3"/>
        <v>248.31</v>
      </c>
      <c r="I7" s="109">
        <f t="shared" si="0"/>
        <v>334.46000000000004</v>
      </c>
      <c r="J7" s="183">
        <f t="shared" si="4"/>
        <v>49.661999999999999</v>
      </c>
      <c r="K7" s="108" t="s">
        <v>430</v>
      </c>
      <c r="L7" s="108">
        <v>904.18</v>
      </c>
      <c r="M7" s="298">
        <v>300</v>
      </c>
      <c r="N7" s="107">
        <f t="shared" si="1"/>
        <v>165.54</v>
      </c>
      <c r="O7" s="244">
        <v>1.5</v>
      </c>
      <c r="P7" s="244">
        <f t="shared" si="5"/>
        <v>248.31</v>
      </c>
      <c r="Q7" s="290">
        <f t="shared" si="6"/>
        <v>51.69</v>
      </c>
      <c r="R7" s="301" t="str">
        <f t="shared" si="2"/>
        <v>No</v>
      </c>
      <c r="S7" s="255" t="s">
        <v>351</v>
      </c>
      <c r="T7" s="238" t="s">
        <v>351</v>
      </c>
    </row>
    <row r="8" spans="1:38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96">
        <v>1.5</v>
      </c>
      <c r="H8" s="183">
        <f t="shared" si="3"/>
        <v>152.28555</v>
      </c>
      <c r="I8" s="95">
        <f t="shared" si="0"/>
        <v>198.47629999999998</v>
      </c>
      <c r="J8" s="183">
        <f t="shared" si="4"/>
        <v>50.761849999999995</v>
      </c>
      <c r="K8" s="94" t="s">
        <v>429</v>
      </c>
      <c r="L8" s="94">
        <v>691.82</v>
      </c>
      <c r="M8" s="94">
        <v>300</v>
      </c>
      <c r="N8" s="93">
        <f t="shared" si="1"/>
        <v>101.52370000000001</v>
      </c>
      <c r="O8" s="244">
        <v>1.5</v>
      </c>
      <c r="P8" s="244">
        <f t="shared" si="5"/>
        <v>152.28555</v>
      </c>
      <c r="Q8" s="290">
        <f t="shared" si="6"/>
        <v>147.71445</v>
      </c>
      <c r="R8" s="181" t="str">
        <f t="shared" si="2"/>
        <v>No</v>
      </c>
      <c r="S8" s="254"/>
      <c r="T8" s="238"/>
    </row>
    <row r="9" spans="1:38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86">
        <v>1.5</v>
      </c>
      <c r="H9" s="183">
        <f t="shared" si="3"/>
        <v>495.05579999999998</v>
      </c>
      <c r="I9" s="85">
        <f t="shared" si="0"/>
        <v>269.96280000000002</v>
      </c>
      <c r="J9" s="183">
        <f t="shared" si="4"/>
        <v>82.509299999999996</v>
      </c>
      <c r="K9" s="84" t="s">
        <v>428</v>
      </c>
      <c r="L9" s="84">
        <v>243.73500000000001</v>
      </c>
      <c r="M9" s="299">
        <v>500</v>
      </c>
      <c r="N9" s="83">
        <f t="shared" si="1"/>
        <v>330.03719999999998</v>
      </c>
      <c r="O9" s="244">
        <v>1.5</v>
      </c>
      <c r="P9" s="244">
        <f t="shared" si="5"/>
        <v>495.05579999999998</v>
      </c>
      <c r="Q9" s="290">
        <f t="shared" si="6"/>
        <v>4.9442000000000235</v>
      </c>
      <c r="R9" s="180" t="str">
        <f t="shared" si="2"/>
        <v>No</v>
      </c>
      <c r="S9" s="233"/>
      <c r="T9" s="233"/>
      <c r="U9" s="246"/>
    </row>
    <row r="10" spans="1:38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10">
        <v>1.5</v>
      </c>
      <c r="H10" s="183">
        <f t="shared" si="3"/>
        <v>300.16500000000002</v>
      </c>
      <c r="I10" s="109">
        <f t="shared" si="0"/>
        <v>199.89</v>
      </c>
      <c r="J10" s="183">
        <f t="shared" si="4"/>
        <v>75.041250000000005</v>
      </c>
      <c r="K10" s="108" t="s">
        <v>427</v>
      </c>
      <c r="L10" s="108">
        <v>614.06500000000005</v>
      </c>
      <c r="M10" s="298">
        <v>300</v>
      </c>
      <c r="N10" s="107">
        <f t="shared" si="1"/>
        <v>200.11</v>
      </c>
      <c r="O10" s="244">
        <v>1.5</v>
      </c>
      <c r="P10" s="244">
        <f t="shared" si="5"/>
        <v>300.16500000000002</v>
      </c>
      <c r="Q10" s="290">
        <f t="shared" si="6"/>
        <v>-0.16500000000002046</v>
      </c>
      <c r="R10" s="253" t="s">
        <v>478</v>
      </c>
      <c r="S10" s="364"/>
      <c r="T10" s="364"/>
      <c r="U10" s="246"/>
      <c r="AA10" s="520" t="s">
        <v>585</v>
      </c>
      <c r="AB10" s="521"/>
      <c r="AC10" s="521"/>
      <c r="AD10" s="521"/>
      <c r="AE10" s="521"/>
      <c r="AF10" s="522"/>
      <c r="AG10" s="164"/>
    </row>
    <row r="11" spans="1:38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10">
        <v>1.5</v>
      </c>
      <c r="H11" s="183">
        <f t="shared" si="3"/>
        <v>624.22170000000006</v>
      </c>
      <c r="I11" s="109">
        <f t="shared" si="0"/>
        <v>333.85219999999998</v>
      </c>
      <c r="J11" s="183">
        <f t="shared" si="4"/>
        <v>83.229560000000006</v>
      </c>
      <c r="K11" s="108" t="s">
        <v>426</v>
      </c>
      <c r="L11" s="108">
        <v>692.19500000000005</v>
      </c>
      <c r="M11" s="108">
        <v>750</v>
      </c>
      <c r="N11" s="107">
        <f t="shared" si="1"/>
        <v>416.14780000000002</v>
      </c>
      <c r="O11" s="244">
        <v>1.5</v>
      </c>
      <c r="P11" s="244">
        <f t="shared" si="5"/>
        <v>624.22170000000006</v>
      </c>
      <c r="Q11" s="290">
        <f t="shared" si="6"/>
        <v>125.77829999999994</v>
      </c>
      <c r="R11" s="180" t="str">
        <f>IF(Q11&gt;=0,"No","Yes")</f>
        <v>No</v>
      </c>
      <c r="S11" s="364"/>
      <c r="T11" s="364"/>
      <c r="U11" s="246"/>
      <c r="AA11" s="336" t="s">
        <v>506</v>
      </c>
      <c r="AB11" s="338" t="s">
        <v>507</v>
      </c>
      <c r="AC11" s="338" t="s">
        <v>508</v>
      </c>
      <c r="AD11" s="338" t="s">
        <v>509</v>
      </c>
      <c r="AE11" s="338" t="s">
        <v>510</v>
      </c>
      <c r="AF11" s="339" t="s">
        <v>558</v>
      </c>
      <c r="AG11" s="312" t="s">
        <v>417</v>
      </c>
    </row>
    <row r="12" spans="1:38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10">
        <v>1.5</v>
      </c>
      <c r="H12" s="183">
        <f t="shared" si="3"/>
        <v>481.16999999999996</v>
      </c>
      <c r="I12" s="109">
        <f t="shared" si="0"/>
        <v>279.22000000000003</v>
      </c>
      <c r="J12" s="183">
        <f t="shared" si="4"/>
        <v>80.194999999999993</v>
      </c>
      <c r="K12" s="108" t="s">
        <v>420</v>
      </c>
      <c r="L12" s="108">
        <v>440.09</v>
      </c>
      <c r="M12" s="108">
        <v>600</v>
      </c>
      <c r="N12" s="107">
        <f t="shared" si="1"/>
        <v>320.77999999999997</v>
      </c>
      <c r="O12" s="244">
        <v>1.5</v>
      </c>
      <c r="P12" s="244">
        <f t="shared" si="5"/>
        <v>481.16999999999996</v>
      </c>
      <c r="Q12" s="290">
        <f t="shared" si="6"/>
        <v>118.83000000000004</v>
      </c>
      <c r="R12" s="180" t="str">
        <f>IF(Q12&gt;=0,"No","Yes")</f>
        <v>No</v>
      </c>
      <c r="S12" s="364"/>
      <c r="T12" s="364"/>
      <c r="U12" s="246"/>
      <c r="AA12" s="60" t="s">
        <v>84</v>
      </c>
      <c r="AB12" s="340">
        <v>0</v>
      </c>
      <c r="AC12" s="340">
        <v>0</v>
      </c>
      <c r="AD12" s="341">
        <v>0</v>
      </c>
      <c r="AE12" s="341">
        <v>0</v>
      </c>
      <c r="AF12" s="342">
        <v>0</v>
      </c>
      <c r="AG12" s="343">
        <f>SUM(AB12:AF12)</f>
        <v>0</v>
      </c>
    </row>
    <row r="13" spans="1:38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96">
        <v>1.5</v>
      </c>
      <c r="H13" s="183">
        <f t="shared" si="3"/>
        <v>33.525000000000006</v>
      </c>
      <c r="I13" s="95">
        <f t="shared" si="0"/>
        <v>177.65</v>
      </c>
      <c r="J13" s="183">
        <f t="shared" si="4"/>
        <v>16.762500000000003</v>
      </c>
      <c r="K13" s="94" t="s">
        <v>418</v>
      </c>
      <c r="L13" s="94">
        <v>541.49</v>
      </c>
      <c r="M13" s="291">
        <v>150</v>
      </c>
      <c r="N13" s="93">
        <f t="shared" si="1"/>
        <v>22.35</v>
      </c>
      <c r="O13" s="244">
        <v>1.5</v>
      </c>
      <c r="P13" s="244">
        <f t="shared" si="5"/>
        <v>33.525000000000006</v>
      </c>
      <c r="Q13" s="290">
        <f t="shared" si="6"/>
        <v>116.47499999999999</v>
      </c>
      <c r="R13" s="180" t="str">
        <f>IF(Q13&gt;=0,"No","Yes")</f>
        <v>No</v>
      </c>
      <c r="S13" s="364"/>
      <c r="T13" s="364"/>
      <c r="U13" s="246"/>
      <c r="AA13" s="60" t="s">
        <v>85</v>
      </c>
      <c r="AB13" s="340">
        <v>0</v>
      </c>
      <c r="AC13" s="340">
        <v>0</v>
      </c>
      <c r="AD13" s="340">
        <v>0</v>
      </c>
      <c r="AE13" s="340">
        <v>0</v>
      </c>
      <c r="AF13" s="342">
        <v>0</v>
      </c>
      <c r="AG13" s="60">
        <f t="shared" ref="AG13:AG23" si="7">SUM(AB13:AF13)</f>
        <v>0</v>
      </c>
    </row>
    <row r="14" spans="1:38" ht="13.5" thickBot="1">
      <c r="A14" s="354" t="s">
        <v>426</v>
      </c>
      <c r="B14" s="88" t="s">
        <v>351</v>
      </c>
      <c r="C14" s="161"/>
      <c r="D14" s="86"/>
      <c r="E14" s="86"/>
      <c r="F14" s="86"/>
      <c r="G14" s="86">
        <v>1.5</v>
      </c>
      <c r="H14" s="183">
        <f t="shared" si="3"/>
        <v>0</v>
      </c>
      <c r="I14" s="85"/>
      <c r="J14" s="183"/>
      <c r="K14" s="84"/>
      <c r="L14" s="84"/>
      <c r="M14" s="84"/>
      <c r="N14" s="83"/>
      <c r="O14" s="244">
        <v>1.5</v>
      </c>
      <c r="P14" s="244">
        <f t="shared" si="5"/>
        <v>0</v>
      </c>
      <c r="Q14" s="82"/>
      <c r="R14" s="83"/>
      <c r="S14" s="364"/>
      <c r="T14" s="364"/>
      <c r="U14" s="246"/>
      <c r="AA14" s="60" t="s">
        <v>86</v>
      </c>
      <c r="AB14" s="340">
        <v>1</v>
      </c>
      <c r="AC14" s="340">
        <v>0</v>
      </c>
      <c r="AD14" s="340">
        <v>0</v>
      </c>
      <c r="AE14" s="340">
        <v>0</v>
      </c>
      <c r="AF14" s="342">
        <v>0</v>
      </c>
      <c r="AG14" s="60">
        <f t="shared" si="7"/>
        <v>1</v>
      </c>
      <c r="AI14" s="406" t="s">
        <v>512</v>
      </c>
      <c r="AJ14" s="406" t="s">
        <v>513</v>
      </c>
      <c r="AK14" s="344" t="s">
        <v>514</v>
      </c>
    </row>
    <row r="15" spans="1:38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86">
        <v>1.5</v>
      </c>
      <c r="H15" s="183">
        <f t="shared" si="3"/>
        <v>621.76125000000002</v>
      </c>
      <c r="I15" s="85">
        <f t="shared" ref="I15:I24" si="8">E15-F15</f>
        <v>385.49250000000001</v>
      </c>
      <c r="J15" s="86">
        <f>H15/E15*100</f>
        <v>77.720156250000002</v>
      </c>
      <c r="K15" s="84" t="s">
        <v>424</v>
      </c>
      <c r="L15" s="84">
        <v>527.53499999999997</v>
      </c>
      <c r="M15" s="84">
        <v>800</v>
      </c>
      <c r="N15" s="83">
        <f t="shared" ref="N15:N24" si="9">F15</f>
        <v>414.50749999999999</v>
      </c>
      <c r="O15" s="244">
        <v>1.5</v>
      </c>
      <c r="P15" s="244">
        <f t="shared" si="5"/>
        <v>621.76125000000002</v>
      </c>
      <c r="Q15" s="203">
        <f>M15-P15</f>
        <v>178.23874999999998</v>
      </c>
      <c r="R15" s="83" t="str">
        <f t="shared" ref="R15:R24" si="10">IF(Q15&gt;=0,"No","Yes")</f>
        <v>No</v>
      </c>
      <c r="S15" s="364"/>
      <c r="T15" s="364"/>
      <c r="U15" s="246"/>
      <c r="AA15" s="60" t="s">
        <v>87</v>
      </c>
      <c r="AB15" s="340">
        <v>1</v>
      </c>
      <c r="AC15" s="340">
        <v>1</v>
      </c>
      <c r="AD15" s="340">
        <v>0</v>
      </c>
      <c r="AE15" s="340">
        <v>0</v>
      </c>
      <c r="AF15" s="342">
        <v>0</v>
      </c>
      <c r="AG15" s="60">
        <f t="shared" si="7"/>
        <v>2</v>
      </c>
      <c r="AI15" s="61" t="s">
        <v>507</v>
      </c>
      <c r="AJ15" s="61">
        <v>100</v>
      </c>
      <c r="AK15" s="416">
        <v>15</v>
      </c>
      <c r="AL15" s="405"/>
    </row>
    <row r="16" spans="1:38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10">
        <v>1.5</v>
      </c>
      <c r="H16" s="183">
        <f t="shared" si="3"/>
        <v>373.59030000000001</v>
      </c>
      <c r="I16" s="109">
        <f t="shared" si="8"/>
        <v>350.93979999999999</v>
      </c>
      <c r="J16" s="86">
        <f t="shared" ref="J16:J24" si="11">H16/E16*100</f>
        <v>62.265050000000002</v>
      </c>
      <c r="K16" s="108" t="s">
        <v>422</v>
      </c>
      <c r="L16" s="108">
        <v>258.625</v>
      </c>
      <c r="M16" s="298">
        <v>500</v>
      </c>
      <c r="N16" s="107">
        <f t="shared" si="9"/>
        <v>249.06020000000001</v>
      </c>
      <c r="O16" s="244">
        <v>1.5</v>
      </c>
      <c r="P16" s="244">
        <f t="shared" si="5"/>
        <v>373.59030000000001</v>
      </c>
      <c r="Q16" s="203">
        <f t="shared" ref="Q16:Q24" si="12">M16-P16</f>
        <v>126.40969999999999</v>
      </c>
      <c r="R16" s="83" t="str">
        <f t="shared" si="10"/>
        <v>No</v>
      </c>
      <c r="S16" s="364"/>
      <c r="T16" s="364"/>
      <c r="U16" s="246"/>
      <c r="AA16" s="60" t="s">
        <v>88</v>
      </c>
      <c r="AB16" s="340">
        <v>1</v>
      </c>
      <c r="AC16" s="340">
        <v>0</v>
      </c>
      <c r="AD16" s="340">
        <v>0</v>
      </c>
      <c r="AE16" s="340">
        <v>0</v>
      </c>
      <c r="AF16" s="342">
        <v>0</v>
      </c>
      <c r="AG16" s="60">
        <f t="shared" si="7"/>
        <v>1</v>
      </c>
      <c r="AH16" s="364"/>
      <c r="AI16" s="345" t="s">
        <v>508</v>
      </c>
      <c r="AJ16" s="345">
        <v>150</v>
      </c>
      <c r="AK16" s="417">
        <v>16.3689</v>
      </c>
      <c r="AL16" s="409"/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10">
        <v>1.5</v>
      </c>
      <c r="H17" s="183">
        <f t="shared" si="3"/>
        <v>278.15129999999999</v>
      </c>
      <c r="I17" s="109">
        <f t="shared" si="8"/>
        <v>264.56579999999997</v>
      </c>
      <c r="J17" s="86">
        <f t="shared" si="11"/>
        <v>61.811399999999992</v>
      </c>
      <c r="K17" s="108" t="s">
        <v>385</v>
      </c>
      <c r="L17" s="108">
        <v>975.03499999999997</v>
      </c>
      <c r="M17" s="108">
        <v>450</v>
      </c>
      <c r="N17" s="107">
        <f t="shared" si="9"/>
        <v>185.4342</v>
      </c>
      <c r="O17" s="244">
        <v>1.5</v>
      </c>
      <c r="P17" s="244">
        <f t="shared" si="5"/>
        <v>278.15129999999999</v>
      </c>
      <c r="Q17" s="203">
        <f t="shared" si="12"/>
        <v>171.84870000000001</v>
      </c>
      <c r="R17" s="83" t="str">
        <f t="shared" si="10"/>
        <v>No</v>
      </c>
      <c r="S17" s="364"/>
      <c r="T17" s="364"/>
      <c r="U17" s="246"/>
      <c r="AA17" s="60" t="s">
        <v>89</v>
      </c>
      <c r="AB17" s="340">
        <v>0</v>
      </c>
      <c r="AC17" s="340">
        <v>0</v>
      </c>
      <c r="AD17" s="340">
        <v>0</v>
      </c>
      <c r="AE17" s="340">
        <v>0</v>
      </c>
      <c r="AF17" s="342">
        <v>0</v>
      </c>
      <c r="AG17" s="60">
        <f t="shared" si="7"/>
        <v>0</v>
      </c>
      <c r="AH17" s="356"/>
      <c r="AI17" s="345" t="s">
        <v>509</v>
      </c>
      <c r="AJ17" s="345">
        <v>200</v>
      </c>
      <c r="AK17" s="417">
        <v>16.746700000000001</v>
      </c>
      <c r="AL17" s="352"/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10">
        <v>1.5</v>
      </c>
      <c r="H18" s="183">
        <f t="shared" si="3"/>
        <v>320.77244999999999</v>
      </c>
      <c r="I18" s="109">
        <f t="shared" si="8"/>
        <v>236.15170000000001</v>
      </c>
      <c r="J18" s="86">
        <f t="shared" si="11"/>
        <v>71.28276666666666</v>
      </c>
      <c r="K18" s="108" t="s">
        <v>421</v>
      </c>
      <c r="L18" s="108">
        <v>1025.3</v>
      </c>
      <c r="M18" s="108">
        <v>450</v>
      </c>
      <c r="N18" s="107">
        <f t="shared" si="9"/>
        <v>213.84829999999999</v>
      </c>
      <c r="O18" s="244">
        <v>1.5</v>
      </c>
      <c r="P18" s="244">
        <f t="shared" si="5"/>
        <v>320.77244999999999</v>
      </c>
      <c r="Q18" s="203">
        <f t="shared" si="12"/>
        <v>129.22755000000001</v>
      </c>
      <c r="R18" s="83" t="str">
        <f t="shared" si="10"/>
        <v>No</v>
      </c>
      <c r="S18" s="364"/>
      <c r="T18" s="364"/>
      <c r="U18" s="246"/>
      <c r="AA18" s="60" t="s">
        <v>90</v>
      </c>
      <c r="AB18" s="340">
        <v>1</v>
      </c>
      <c r="AC18" s="340">
        <v>0</v>
      </c>
      <c r="AD18" s="340">
        <v>0</v>
      </c>
      <c r="AE18" s="340">
        <v>0</v>
      </c>
      <c r="AF18" s="342">
        <v>0</v>
      </c>
      <c r="AG18" s="60">
        <f t="shared" si="7"/>
        <v>1</v>
      </c>
      <c r="AH18" s="356"/>
      <c r="AI18" s="345" t="s">
        <v>510</v>
      </c>
      <c r="AJ18" s="345">
        <v>250</v>
      </c>
      <c r="AK18" s="417">
        <v>16.886600000000001</v>
      </c>
      <c r="AL18" s="409"/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10">
        <v>1.5</v>
      </c>
      <c r="H19" s="183">
        <f t="shared" si="3"/>
        <v>481.17255</v>
      </c>
      <c r="I19" s="109">
        <f t="shared" si="8"/>
        <v>279.2183</v>
      </c>
      <c r="J19" s="86">
        <f t="shared" si="11"/>
        <v>80.195425</v>
      </c>
      <c r="K19" s="108" t="s">
        <v>420</v>
      </c>
      <c r="L19" s="108">
        <v>440.09</v>
      </c>
      <c r="M19" s="108">
        <v>600</v>
      </c>
      <c r="N19" s="107">
        <f t="shared" si="9"/>
        <v>320.7817</v>
      </c>
      <c r="O19" s="244">
        <v>1.5</v>
      </c>
      <c r="P19" s="244">
        <f t="shared" si="5"/>
        <v>481.17255</v>
      </c>
      <c r="Q19" s="203">
        <f t="shared" si="12"/>
        <v>118.82745</v>
      </c>
      <c r="R19" s="83" t="str">
        <f t="shared" si="10"/>
        <v>No</v>
      </c>
      <c r="S19" s="364"/>
      <c r="T19" s="364"/>
      <c r="U19" s="246"/>
      <c r="AA19" s="60" t="s">
        <v>91</v>
      </c>
      <c r="AB19" s="340">
        <v>0</v>
      </c>
      <c r="AC19" s="340">
        <v>0</v>
      </c>
      <c r="AD19" s="342">
        <v>0</v>
      </c>
      <c r="AE19" s="342">
        <v>0</v>
      </c>
      <c r="AF19" s="342">
        <v>0</v>
      </c>
      <c r="AG19" s="60">
        <f t="shared" si="7"/>
        <v>0</v>
      </c>
      <c r="AH19" s="364"/>
      <c r="AI19" s="346" t="s">
        <v>558</v>
      </c>
      <c r="AJ19" s="346">
        <v>300</v>
      </c>
      <c r="AK19" s="418">
        <v>17</v>
      </c>
      <c r="AL19" s="409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96">
        <v>1.5</v>
      </c>
      <c r="H20" s="183">
        <f t="shared" si="3"/>
        <v>33.525000000000006</v>
      </c>
      <c r="I20" s="95">
        <f t="shared" si="8"/>
        <v>177.65</v>
      </c>
      <c r="J20" s="86">
        <f t="shared" si="11"/>
        <v>16.762500000000003</v>
      </c>
      <c r="K20" s="94" t="s">
        <v>418</v>
      </c>
      <c r="L20" s="94">
        <v>541.49</v>
      </c>
      <c r="M20" s="291">
        <v>150</v>
      </c>
      <c r="N20" s="93">
        <f t="shared" si="9"/>
        <v>22.35</v>
      </c>
      <c r="O20" s="244">
        <v>1.5</v>
      </c>
      <c r="P20" s="244">
        <f t="shared" si="5"/>
        <v>33.525000000000006</v>
      </c>
      <c r="Q20" s="203">
        <f t="shared" si="12"/>
        <v>116.47499999999999</v>
      </c>
      <c r="R20" s="83" t="str">
        <f t="shared" si="10"/>
        <v>No</v>
      </c>
      <c r="S20" s="364"/>
      <c r="T20" s="364"/>
      <c r="U20" s="246"/>
      <c r="AA20" s="60" t="s">
        <v>92</v>
      </c>
      <c r="AB20" s="342">
        <v>0</v>
      </c>
      <c r="AC20" s="342">
        <v>0</v>
      </c>
      <c r="AD20" s="342">
        <v>0</v>
      </c>
      <c r="AE20" s="342">
        <v>0</v>
      </c>
      <c r="AF20" s="342">
        <v>0</v>
      </c>
      <c r="AG20" s="60">
        <f t="shared" si="7"/>
        <v>0</v>
      </c>
      <c r="AH20" s="364"/>
      <c r="AI20" s="409"/>
      <c r="AJ20" s="409"/>
      <c r="AL20" s="409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86">
        <v>1.5</v>
      </c>
      <c r="H21" s="183">
        <f t="shared" si="3"/>
        <v>300.16829999999999</v>
      </c>
      <c r="I21" s="85">
        <f t="shared" si="8"/>
        <v>199.8878</v>
      </c>
      <c r="J21" s="86">
        <f t="shared" si="11"/>
        <v>75.042074999999997</v>
      </c>
      <c r="K21" s="84" t="s">
        <v>416</v>
      </c>
      <c r="L21" s="84">
        <v>733.18499999999995</v>
      </c>
      <c r="M21" s="299">
        <v>300</v>
      </c>
      <c r="N21" s="83">
        <f t="shared" si="9"/>
        <v>200.1122</v>
      </c>
      <c r="O21" s="244">
        <v>1.5</v>
      </c>
      <c r="P21" s="244">
        <f t="shared" si="5"/>
        <v>300.16829999999999</v>
      </c>
      <c r="Q21" s="203">
        <f t="shared" si="12"/>
        <v>-0.1682999999999879</v>
      </c>
      <c r="R21" s="201" t="str">
        <f t="shared" si="10"/>
        <v>Yes</v>
      </c>
      <c r="S21" s="364"/>
      <c r="T21" s="364"/>
      <c r="U21" s="246"/>
      <c r="AA21" s="60" t="s">
        <v>93</v>
      </c>
      <c r="AB21" s="342">
        <v>1</v>
      </c>
      <c r="AC21" s="340">
        <v>1</v>
      </c>
      <c r="AD21" s="342">
        <v>0</v>
      </c>
      <c r="AE21" s="342">
        <v>0</v>
      </c>
      <c r="AF21" s="342">
        <v>0</v>
      </c>
      <c r="AG21" s="60">
        <f t="shared" si="7"/>
        <v>2</v>
      </c>
      <c r="AH21" s="364"/>
      <c r="AI21" s="409"/>
      <c r="AJ21" s="409"/>
      <c r="AL21" s="409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10">
        <v>1.5</v>
      </c>
      <c r="H22" s="183">
        <f t="shared" si="3"/>
        <v>624.22170000000006</v>
      </c>
      <c r="I22" s="109">
        <f t="shared" si="8"/>
        <v>333.85219999999998</v>
      </c>
      <c r="J22" s="86">
        <f t="shared" si="11"/>
        <v>83.229560000000006</v>
      </c>
      <c r="K22" s="108" t="s">
        <v>361</v>
      </c>
      <c r="L22" s="108">
        <v>692.19500000000005</v>
      </c>
      <c r="M22" s="108">
        <v>750</v>
      </c>
      <c r="N22" s="107">
        <f t="shared" si="9"/>
        <v>416.14780000000002</v>
      </c>
      <c r="O22" s="244">
        <v>1.5</v>
      </c>
      <c r="P22" s="244">
        <f t="shared" si="5"/>
        <v>624.22170000000006</v>
      </c>
      <c r="Q22" s="203">
        <f t="shared" si="12"/>
        <v>125.77829999999994</v>
      </c>
      <c r="R22" s="83" t="str">
        <f t="shared" si="10"/>
        <v>No</v>
      </c>
      <c r="S22" s="364"/>
      <c r="T22" s="364"/>
      <c r="U22" s="246"/>
      <c r="AA22" s="60" t="s">
        <v>94</v>
      </c>
      <c r="AB22" s="342">
        <v>1</v>
      </c>
      <c r="AC22" s="340">
        <v>1</v>
      </c>
      <c r="AD22" s="342">
        <v>0</v>
      </c>
      <c r="AE22" s="342">
        <v>0</v>
      </c>
      <c r="AF22" s="342">
        <v>0</v>
      </c>
      <c r="AG22" s="60">
        <f t="shared" si="7"/>
        <v>2</v>
      </c>
      <c r="AH22" s="18"/>
      <c r="AI22" s="18"/>
      <c r="AJ22" s="409"/>
      <c r="AL22" s="409"/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10">
        <v>1.5</v>
      </c>
      <c r="H23" s="183">
        <f t="shared" si="3"/>
        <v>36.154499999999999</v>
      </c>
      <c r="I23" s="109">
        <f t="shared" si="8"/>
        <v>175.89699999999999</v>
      </c>
      <c r="J23" s="86">
        <f t="shared" si="11"/>
        <v>18.077249999999999</v>
      </c>
      <c r="K23" s="108" t="s">
        <v>412</v>
      </c>
      <c r="L23" s="108">
        <v>820.63</v>
      </c>
      <c r="M23" s="298">
        <v>150</v>
      </c>
      <c r="N23" s="107">
        <f t="shared" si="9"/>
        <v>24.103000000000002</v>
      </c>
      <c r="O23" s="244">
        <v>1.5</v>
      </c>
      <c r="P23" s="244">
        <f t="shared" si="5"/>
        <v>36.154499999999999</v>
      </c>
      <c r="Q23" s="203">
        <f t="shared" si="12"/>
        <v>113.8455</v>
      </c>
      <c r="R23" s="83" t="str">
        <f t="shared" si="10"/>
        <v>No</v>
      </c>
      <c r="S23" s="364"/>
      <c r="T23" s="364"/>
      <c r="U23" s="246"/>
      <c r="V23" s="320"/>
      <c r="W23" s="58"/>
      <c r="AA23" s="347" t="s">
        <v>505</v>
      </c>
      <c r="AB23" s="348">
        <v>0</v>
      </c>
      <c r="AC23" s="348">
        <v>0</v>
      </c>
      <c r="AD23" s="348">
        <v>0</v>
      </c>
      <c r="AE23" s="348">
        <v>0</v>
      </c>
      <c r="AF23" s="348">
        <v>0</v>
      </c>
      <c r="AG23" s="347">
        <f t="shared" si="7"/>
        <v>0</v>
      </c>
      <c r="AH23" s="364"/>
      <c r="AI23" s="520" t="s">
        <v>587</v>
      </c>
      <c r="AJ23" s="521"/>
      <c r="AK23" s="521"/>
      <c r="AL23" s="521"/>
      <c r="AM23" s="521"/>
      <c r="AN23" s="522"/>
      <c r="AO23" s="164"/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96">
        <v>1.5</v>
      </c>
      <c r="H24" s="183">
        <f t="shared" si="3"/>
        <v>33.525000000000006</v>
      </c>
      <c r="I24" s="95">
        <f t="shared" si="8"/>
        <v>177.65</v>
      </c>
      <c r="J24" s="86">
        <f t="shared" si="11"/>
        <v>16.762500000000003</v>
      </c>
      <c r="K24" s="94" t="s">
        <v>410</v>
      </c>
      <c r="L24" s="94">
        <v>660.63</v>
      </c>
      <c r="M24" s="291">
        <v>150</v>
      </c>
      <c r="N24" s="93">
        <f t="shared" si="9"/>
        <v>22.35</v>
      </c>
      <c r="O24" s="244">
        <v>1.5</v>
      </c>
      <c r="P24" s="244">
        <f t="shared" si="5"/>
        <v>33.525000000000006</v>
      </c>
      <c r="Q24" s="203">
        <f t="shared" si="12"/>
        <v>116.47499999999999</v>
      </c>
      <c r="R24" s="83" t="str">
        <f t="shared" si="10"/>
        <v>No</v>
      </c>
      <c r="S24" s="364"/>
      <c r="T24" s="364"/>
      <c r="V24" s="553" t="s">
        <v>455</v>
      </c>
      <c r="W24" s="554"/>
      <c r="X24" s="365"/>
      <c r="AA24" s="312" t="s">
        <v>515</v>
      </c>
      <c r="AB24" s="349">
        <f t="shared" ref="AB24:AG24" si="13">SUM(AB12:AB23)</f>
        <v>6</v>
      </c>
      <c r="AC24" s="349">
        <f t="shared" si="13"/>
        <v>3</v>
      </c>
      <c r="AD24" s="349">
        <f t="shared" si="13"/>
        <v>0</v>
      </c>
      <c r="AE24" s="349">
        <f t="shared" si="13"/>
        <v>0</v>
      </c>
      <c r="AF24" s="349">
        <f t="shared" si="13"/>
        <v>0</v>
      </c>
      <c r="AG24" s="350">
        <f t="shared" si="13"/>
        <v>9</v>
      </c>
      <c r="AH24" s="364"/>
      <c r="AI24" s="336" t="s">
        <v>506</v>
      </c>
      <c r="AJ24" s="338" t="s">
        <v>507</v>
      </c>
      <c r="AK24" s="338" t="s">
        <v>508</v>
      </c>
      <c r="AL24" s="338" t="s">
        <v>509</v>
      </c>
      <c r="AM24" s="338" t="s">
        <v>510</v>
      </c>
      <c r="AN24" s="339" t="s">
        <v>558</v>
      </c>
      <c r="AO24" s="312" t="s">
        <v>417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86">
        <v>1.5</v>
      </c>
      <c r="H25" s="183">
        <f t="shared" si="3"/>
        <v>0</v>
      </c>
      <c r="I25" s="85"/>
      <c r="J25" s="183"/>
      <c r="K25" s="84"/>
      <c r="L25" s="84"/>
      <c r="M25" s="84"/>
      <c r="N25" s="83"/>
      <c r="O25" s="244">
        <v>1.5</v>
      </c>
      <c r="P25" s="244">
        <f t="shared" si="5"/>
        <v>0</v>
      </c>
      <c r="Q25" s="82"/>
      <c r="R25" s="83"/>
      <c r="S25" s="356" t="s">
        <v>440</v>
      </c>
      <c r="T25" s="356" t="s">
        <v>457</v>
      </c>
      <c r="V25" s="91"/>
      <c r="W25" s="320"/>
      <c r="X25" s="100"/>
      <c r="AA25" s="312" t="s">
        <v>514</v>
      </c>
      <c r="AB25" s="351">
        <f>PRODUCT(AB24*AK15)</f>
        <v>90</v>
      </c>
      <c r="AC25" s="414">
        <f>PRODUCT(AC24*AK16)</f>
        <v>49.106700000000004</v>
      </c>
      <c r="AD25" s="414">
        <f>PRODUCT(AD24*AK17)</f>
        <v>0</v>
      </c>
      <c r="AE25" s="414">
        <f>PRODUCT(AE24*AK18)</f>
        <v>0</v>
      </c>
      <c r="AF25" s="414">
        <f>PRODUCT(AF24*AK19)</f>
        <v>0</v>
      </c>
      <c r="AG25" s="415">
        <f>SUM(AB25:AF25)</f>
        <v>139.10669999999999</v>
      </c>
      <c r="AH25" s="364"/>
      <c r="AI25" s="60" t="s">
        <v>84</v>
      </c>
      <c r="AJ25" s="342">
        <f>AB12+AB32</f>
        <v>0</v>
      </c>
      <c r="AK25" s="342">
        <f t="shared" ref="AK25:AN36" si="14">AC12+AC32</f>
        <v>8</v>
      </c>
      <c r="AL25" s="342">
        <f t="shared" si="14"/>
        <v>3</v>
      </c>
      <c r="AM25" s="342">
        <f t="shared" si="14"/>
        <v>2</v>
      </c>
      <c r="AN25" s="342">
        <f t="shared" si="14"/>
        <v>0</v>
      </c>
      <c r="AO25" s="343">
        <f>SUM(AJ25:AN25)</f>
        <v>13</v>
      </c>
    </row>
    <row r="26" spans="1:41" ht="15" customHeight="1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86">
        <v>1.5</v>
      </c>
      <c r="H26" s="183">
        <f t="shared" si="3"/>
        <v>996.77129999999988</v>
      </c>
      <c r="I26" s="85">
        <f t="shared" ref="I26:I56" si="15">E26-F26</f>
        <v>535.48580000000004</v>
      </c>
      <c r="J26" s="85">
        <f>H26/E26*100</f>
        <v>83.064274999999981</v>
      </c>
      <c r="K26" s="84" t="s">
        <v>405</v>
      </c>
      <c r="L26" s="84">
        <v>799.22</v>
      </c>
      <c r="M26" s="299">
        <v>900</v>
      </c>
      <c r="N26" s="83">
        <f t="shared" ref="N26:N56" si="16">F26</f>
        <v>664.51419999999996</v>
      </c>
      <c r="O26" s="244">
        <v>1.5</v>
      </c>
      <c r="P26" s="244">
        <f t="shared" si="5"/>
        <v>996.77129999999988</v>
      </c>
      <c r="Q26" s="82">
        <f>M26-P26</f>
        <v>-96.771299999999883</v>
      </c>
      <c r="R26" s="218" t="str">
        <f t="shared" ref="R26:R56" si="17">IF(Q26&gt;=0,"No","Yes")</f>
        <v>Yes</v>
      </c>
      <c r="S26" s="557" t="s">
        <v>14</v>
      </c>
      <c r="T26" s="555">
        <v>33</v>
      </c>
      <c r="V26" s="302" t="s">
        <v>390</v>
      </c>
      <c r="W26" s="363" t="s">
        <v>389</v>
      </c>
      <c r="X26" s="303" t="s">
        <v>388</v>
      </c>
      <c r="AA26" s="312" t="s">
        <v>513</v>
      </c>
      <c r="AB26" s="351">
        <f>AB24*AJ15</f>
        <v>600</v>
      </c>
      <c r="AC26" s="351">
        <f>AC24*AJ16</f>
        <v>450</v>
      </c>
      <c r="AD26" s="351">
        <f>AD24*AJ17</f>
        <v>0</v>
      </c>
      <c r="AE26" s="351">
        <f>AE24*AJ18</f>
        <v>0</v>
      </c>
      <c r="AF26" s="351">
        <f>AF24*AJ19</f>
        <v>0</v>
      </c>
      <c r="AG26" s="312">
        <f>SUM(AB26:AF26)</f>
        <v>1050</v>
      </c>
      <c r="AH26" s="364"/>
      <c r="AI26" s="60" t="s">
        <v>85</v>
      </c>
      <c r="AJ26" s="342">
        <f t="shared" ref="AJ26:AJ36" si="18">AB13+AB33</f>
        <v>0</v>
      </c>
      <c r="AK26" s="342">
        <f t="shared" si="14"/>
        <v>11</v>
      </c>
      <c r="AL26" s="342">
        <f t="shared" si="14"/>
        <v>6</v>
      </c>
      <c r="AM26" s="342">
        <f t="shared" si="14"/>
        <v>0</v>
      </c>
      <c r="AN26" s="342">
        <f t="shared" si="14"/>
        <v>4</v>
      </c>
      <c r="AO26" s="60">
        <f t="shared" ref="AO26:AO36" si="19">SUM(AJ26:AN26)</f>
        <v>21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55">
        <v>1.5</v>
      </c>
      <c r="H27" s="183">
        <f t="shared" si="3"/>
        <v>637.00244999999995</v>
      </c>
      <c r="I27" s="154">
        <f t="shared" si="15"/>
        <v>475.33170000000001</v>
      </c>
      <c r="J27" s="85">
        <f t="shared" ref="J27:J56" si="20">H27/E27*100</f>
        <v>70.778049999999993</v>
      </c>
      <c r="K27" s="153" t="s">
        <v>404</v>
      </c>
      <c r="L27" s="153">
        <v>973.76</v>
      </c>
      <c r="M27" s="153">
        <v>900</v>
      </c>
      <c r="N27" s="71">
        <f t="shared" si="16"/>
        <v>424.66829999999999</v>
      </c>
      <c r="O27" s="244">
        <v>1.5</v>
      </c>
      <c r="P27" s="244">
        <f t="shared" si="5"/>
        <v>637.00244999999995</v>
      </c>
      <c r="Q27" s="82">
        <f t="shared" ref="Q27:Q56" si="21">M27-P27</f>
        <v>262.99755000000005</v>
      </c>
      <c r="R27" s="201" t="str">
        <f t="shared" si="17"/>
        <v>No</v>
      </c>
      <c r="S27" s="558"/>
      <c r="T27" s="556"/>
      <c r="V27" s="133" t="s">
        <v>14</v>
      </c>
      <c r="W27" s="132">
        <v>33</v>
      </c>
      <c r="X27" s="100">
        <f>(W27/200)*100</f>
        <v>16.5</v>
      </c>
      <c r="AA27" s="409"/>
      <c r="AB27" s="409"/>
      <c r="AC27" s="409"/>
      <c r="AD27" s="409"/>
      <c r="AE27" s="409"/>
      <c r="AF27" s="409"/>
      <c r="AG27" s="409"/>
      <c r="AI27" s="60" t="s">
        <v>86</v>
      </c>
      <c r="AJ27" s="342">
        <f t="shared" si="18"/>
        <v>1</v>
      </c>
      <c r="AK27" s="342">
        <f t="shared" si="14"/>
        <v>0</v>
      </c>
      <c r="AL27" s="342">
        <f t="shared" si="14"/>
        <v>4</v>
      </c>
      <c r="AM27" s="342">
        <f t="shared" si="14"/>
        <v>0</v>
      </c>
      <c r="AN27" s="342">
        <f t="shared" si="14"/>
        <v>2</v>
      </c>
      <c r="AO27" s="60">
        <f t="shared" si="19"/>
        <v>7</v>
      </c>
    </row>
    <row r="28" spans="1:41" ht="15" customHeight="1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96">
        <v>1.5</v>
      </c>
      <c r="H28" s="183">
        <f t="shared" si="3"/>
        <v>621.76125000000002</v>
      </c>
      <c r="I28" s="95">
        <f t="shared" si="15"/>
        <v>385.49250000000001</v>
      </c>
      <c r="J28" s="85">
        <f t="shared" si="20"/>
        <v>77.720156250000002</v>
      </c>
      <c r="K28" s="94" t="s">
        <v>402</v>
      </c>
      <c r="L28" s="94">
        <v>849.47500000000002</v>
      </c>
      <c r="M28" s="291">
        <v>600</v>
      </c>
      <c r="N28" s="93">
        <f t="shared" si="16"/>
        <v>414.50749999999999</v>
      </c>
      <c r="O28" s="244">
        <v>1.5</v>
      </c>
      <c r="P28" s="244">
        <f t="shared" si="5"/>
        <v>621.76125000000002</v>
      </c>
      <c r="Q28" s="82">
        <f t="shared" si="21"/>
        <v>-21.761250000000018</v>
      </c>
      <c r="R28" s="201" t="str">
        <f t="shared" si="17"/>
        <v>Yes</v>
      </c>
      <c r="S28" s="357" t="s">
        <v>12</v>
      </c>
      <c r="T28" s="360">
        <v>20</v>
      </c>
      <c r="V28" s="133" t="s">
        <v>12</v>
      </c>
      <c r="W28" s="132">
        <v>20</v>
      </c>
      <c r="X28" s="100">
        <f>(W28/150)*100</f>
        <v>13.333333333333334</v>
      </c>
      <c r="AA28" s="409"/>
      <c r="AB28" s="409"/>
      <c r="AC28" s="409"/>
      <c r="AD28" s="409"/>
      <c r="AE28" s="409"/>
      <c r="AF28" s="409"/>
      <c r="AG28" s="409"/>
      <c r="AH28" s="364"/>
      <c r="AI28" s="60" t="s">
        <v>87</v>
      </c>
      <c r="AJ28" s="342">
        <f t="shared" si="18"/>
        <v>1</v>
      </c>
      <c r="AK28" s="342">
        <f t="shared" si="14"/>
        <v>21</v>
      </c>
      <c r="AL28" s="342">
        <f t="shared" si="14"/>
        <v>27</v>
      </c>
      <c r="AM28" s="342">
        <f t="shared" si="14"/>
        <v>15</v>
      </c>
      <c r="AN28" s="342">
        <f t="shared" si="14"/>
        <v>0</v>
      </c>
      <c r="AO28" s="60">
        <f t="shared" si="19"/>
        <v>64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96">
        <v>1.5</v>
      </c>
      <c r="H29" s="183">
        <f t="shared" si="3"/>
        <v>278.15129999999999</v>
      </c>
      <c r="I29" s="95">
        <f t="shared" si="15"/>
        <v>264.56579999999997</v>
      </c>
      <c r="J29" s="85">
        <f t="shared" si="20"/>
        <v>61.811399999999992</v>
      </c>
      <c r="K29" s="94" t="s">
        <v>385</v>
      </c>
      <c r="L29" s="94">
        <v>975.03499999999997</v>
      </c>
      <c r="M29" s="94">
        <v>450</v>
      </c>
      <c r="N29" s="93">
        <f t="shared" si="16"/>
        <v>185.4342</v>
      </c>
      <c r="O29" s="244">
        <v>1.5</v>
      </c>
      <c r="P29" s="244">
        <f t="shared" si="5"/>
        <v>278.15129999999999</v>
      </c>
      <c r="Q29" s="82">
        <f t="shared" si="21"/>
        <v>171.84870000000001</v>
      </c>
      <c r="R29" s="201" t="str">
        <f t="shared" si="17"/>
        <v>No</v>
      </c>
      <c r="S29" s="359"/>
      <c r="T29" s="361"/>
      <c r="V29" s="133" t="s">
        <v>16</v>
      </c>
      <c r="W29" s="132">
        <v>107</v>
      </c>
      <c r="X29" s="100"/>
      <c r="AA29" s="409"/>
      <c r="AB29" s="409"/>
      <c r="AC29" s="409"/>
      <c r="AD29" s="409"/>
      <c r="AE29" s="409"/>
      <c r="AF29" s="409"/>
      <c r="AG29" s="409"/>
      <c r="AH29" s="364"/>
      <c r="AI29" s="60" t="s">
        <v>88</v>
      </c>
      <c r="AJ29" s="342">
        <f t="shared" si="18"/>
        <v>1</v>
      </c>
      <c r="AK29" s="342">
        <f t="shared" si="14"/>
        <v>0</v>
      </c>
      <c r="AL29" s="342">
        <f t="shared" si="14"/>
        <v>13</v>
      </c>
      <c r="AM29" s="342">
        <f t="shared" si="14"/>
        <v>1</v>
      </c>
      <c r="AN29" s="342">
        <f t="shared" si="14"/>
        <v>0</v>
      </c>
      <c r="AO29" s="60">
        <f t="shared" si="19"/>
        <v>15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10">
        <v>1.5</v>
      </c>
      <c r="H30" s="183">
        <f t="shared" si="3"/>
        <v>320.77244999999999</v>
      </c>
      <c r="I30" s="109">
        <f t="shared" si="15"/>
        <v>236.15170000000001</v>
      </c>
      <c r="J30" s="85">
        <f t="shared" si="20"/>
        <v>71.28276666666666</v>
      </c>
      <c r="K30" s="108" t="s">
        <v>399</v>
      </c>
      <c r="L30" s="108">
        <v>1347.24</v>
      </c>
      <c r="M30" s="298">
        <v>300</v>
      </c>
      <c r="N30" s="107">
        <f t="shared" si="16"/>
        <v>213.84829999999999</v>
      </c>
      <c r="O30" s="244">
        <v>1.5</v>
      </c>
      <c r="P30" s="244">
        <f t="shared" si="5"/>
        <v>320.77244999999999</v>
      </c>
      <c r="Q30" s="82">
        <f t="shared" si="21"/>
        <v>-20.772449999999992</v>
      </c>
      <c r="R30" s="218" t="str">
        <f t="shared" si="17"/>
        <v>Yes</v>
      </c>
      <c r="S30" s="359" t="s">
        <v>16</v>
      </c>
      <c r="T30" s="361">
        <v>107</v>
      </c>
      <c r="V30" s="91" t="s">
        <v>19</v>
      </c>
      <c r="W30" s="320">
        <v>200</v>
      </c>
      <c r="X30" s="100"/>
      <c r="AA30" s="520" t="s">
        <v>586</v>
      </c>
      <c r="AB30" s="521"/>
      <c r="AC30" s="521"/>
      <c r="AD30" s="521"/>
      <c r="AE30" s="521"/>
      <c r="AF30" s="522"/>
      <c r="AG30" s="164"/>
      <c r="AH30" s="364"/>
      <c r="AI30" s="60" t="s">
        <v>89</v>
      </c>
      <c r="AJ30" s="342">
        <f t="shared" si="18"/>
        <v>0</v>
      </c>
      <c r="AK30" s="342">
        <f t="shared" si="14"/>
        <v>13</v>
      </c>
      <c r="AL30" s="342">
        <f t="shared" si="14"/>
        <v>1</v>
      </c>
      <c r="AM30" s="342">
        <f t="shared" si="14"/>
        <v>1</v>
      </c>
      <c r="AN30" s="342">
        <f t="shared" si="14"/>
        <v>0</v>
      </c>
      <c r="AO30" s="60">
        <f t="shared" si="19"/>
        <v>15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96">
        <v>1.5</v>
      </c>
      <c r="H31" s="183">
        <f t="shared" si="3"/>
        <v>481.17255</v>
      </c>
      <c r="I31" s="95">
        <f t="shared" si="15"/>
        <v>279.2183</v>
      </c>
      <c r="J31" s="85">
        <f t="shared" si="20"/>
        <v>80.195425</v>
      </c>
      <c r="K31" s="94" t="s">
        <v>397</v>
      </c>
      <c r="L31" s="94">
        <v>762.03</v>
      </c>
      <c r="M31" s="291">
        <v>450</v>
      </c>
      <c r="N31" s="93">
        <f t="shared" si="16"/>
        <v>320.7817</v>
      </c>
      <c r="O31" s="244">
        <v>1.5</v>
      </c>
      <c r="P31" s="244">
        <f t="shared" si="5"/>
        <v>481.17255</v>
      </c>
      <c r="Q31" s="82">
        <f t="shared" si="21"/>
        <v>-31.172550000000001</v>
      </c>
      <c r="R31" s="218" t="str">
        <f t="shared" si="17"/>
        <v>Yes</v>
      </c>
      <c r="S31" s="359"/>
      <c r="T31" s="361"/>
      <c r="V31" s="304" t="s">
        <v>20</v>
      </c>
      <c r="W31" s="234">
        <v>230</v>
      </c>
      <c r="X31" s="90"/>
      <c r="Y31" s="320"/>
      <c r="Z31" s="17"/>
      <c r="AA31" s="336" t="s">
        <v>506</v>
      </c>
      <c r="AB31" s="338" t="s">
        <v>507</v>
      </c>
      <c r="AC31" s="338" t="s">
        <v>508</v>
      </c>
      <c r="AD31" s="338" t="s">
        <v>509</v>
      </c>
      <c r="AE31" s="338" t="s">
        <v>510</v>
      </c>
      <c r="AF31" s="339" t="s">
        <v>558</v>
      </c>
      <c r="AG31" s="312" t="s">
        <v>417</v>
      </c>
      <c r="AH31" s="364"/>
      <c r="AI31" s="60" t="s">
        <v>90</v>
      </c>
      <c r="AJ31" s="342">
        <f t="shared" si="18"/>
        <v>1</v>
      </c>
      <c r="AK31" s="342">
        <f t="shared" si="14"/>
        <v>0</v>
      </c>
      <c r="AL31" s="342">
        <f t="shared" si="14"/>
        <v>1</v>
      </c>
      <c r="AM31" s="342">
        <f t="shared" si="14"/>
        <v>2</v>
      </c>
      <c r="AN31" s="342">
        <f t="shared" si="14"/>
        <v>2</v>
      </c>
      <c r="AO31" s="60">
        <f t="shared" si="19"/>
        <v>6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96">
        <v>1.5</v>
      </c>
      <c r="H32" s="183">
        <f t="shared" si="3"/>
        <v>416.36130000000003</v>
      </c>
      <c r="I32" s="95">
        <f t="shared" si="15"/>
        <v>222.42579999999998</v>
      </c>
      <c r="J32" s="85">
        <f t="shared" si="20"/>
        <v>83.272260000000003</v>
      </c>
      <c r="K32" s="94" t="s">
        <v>394</v>
      </c>
      <c r="L32" s="94">
        <v>922.03</v>
      </c>
      <c r="M32" s="291">
        <v>300</v>
      </c>
      <c r="N32" s="107">
        <f t="shared" si="16"/>
        <v>277.57420000000002</v>
      </c>
      <c r="O32" s="244">
        <v>1.5</v>
      </c>
      <c r="P32" s="244">
        <f t="shared" si="5"/>
        <v>416.36130000000003</v>
      </c>
      <c r="Q32" s="82">
        <f t="shared" si="21"/>
        <v>-116.36130000000003</v>
      </c>
      <c r="R32" s="201" t="str">
        <f t="shared" si="17"/>
        <v>Yes</v>
      </c>
      <c r="S32" s="358"/>
      <c r="T32" s="362"/>
      <c r="V32" s="163" t="s">
        <v>369</v>
      </c>
      <c r="W32" s="252">
        <f>SUM(W27:W31)</f>
        <v>590</v>
      </c>
      <c r="X32" s="320"/>
      <c r="Y32" s="320"/>
      <c r="AA32" s="60" t="s">
        <v>84</v>
      </c>
      <c r="AB32" s="342">
        <v>0</v>
      </c>
      <c r="AC32" s="342">
        <f>8</f>
        <v>8</v>
      </c>
      <c r="AD32" s="412">
        <f>2+1</f>
        <v>3</v>
      </c>
      <c r="AE32" s="412">
        <f>2</f>
        <v>2</v>
      </c>
      <c r="AF32" s="342">
        <v>0</v>
      </c>
      <c r="AG32" s="343">
        <f>SUM(AB32:AF32)</f>
        <v>13</v>
      </c>
      <c r="AH32" s="364"/>
      <c r="AI32" s="60" t="s">
        <v>91</v>
      </c>
      <c r="AJ32" s="342">
        <f t="shared" si="18"/>
        <v>0</v>
      </c>
      <c r="AK32" s="342">
        <f t="shared" si="14"/>
        <v>17</v>
      </c>
      <c r="AL32" s="342">
        <f t="shared" si="14"/>
        <v>3</v>
      </c>
      <c r="AM32" s="342">
        <f t="shared" si="14"/>
        <v>2</v>
      </c>
      <c r="AN32" s="342">
        <f t="shared" si="14"/>
        <v>0</v>
      </c>
      <c r="AO32" s="60">
        <f t="shared" si="19"/>
        <v>22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86">
        <v>1.5</v>
      </c>
      <c r="H33" s="183">
        <f t="shared" si="3"/>
        <v>890.08500000000004</v>
      </c>
      <c r="I33" s="85">
        <f t="shared" si="15"/>
        <v>606.61</v>
      </c>
      <c r="J33" s="85">
        <f t="shared" si="20"/>
        <v>74.173749999999998</v>
      </c>
      <c r="K33" s="84" t="s">
        <v>391</v>
      </c>
      <c r="L33" s="84">
        <v>778.62</v>
      </c>
      <c r="M33" s="84">
        <v>1200</v>
      </c>
      <c r="N33" s="83">
        <f t="shared" si="16"/>
        <v>593.39</v>
      </c>
      <c r="O33" s="244">
        <v>1.5</v>
      </c>
      <c r="P33" s="244">
        <f t="shared" si="5"/>
        <v>890.08500000000004</v>
      </c>
      <c r="Q33" s="82">
        <f t="shared" si="21"/>
        <v>309.91499999999996</v>
      </c>
      <c r="R33" s="201" t="str">
        <f t="shared" si="17"/>
        <v>No</v>
      </c>
      <c r="S33" s="233"/>
      <c r="T33" s="233"/>
      <c r="U33" s="246"/>
      <c r="V33" s="251" t="s">
        <v>365</v>
      </c>
      <c r="W33" s="250">
        <f>W32/E57</f>
        <v>1.9601328903654486E-2</v>
      </c>
      <c r="X33" s="320"/>
      <c r="AA33" s="60" t="s">
        <v>85</v>
      </c>
      <c r="AB33" s="342">
        <v>0</v>
      </c>
      <c r="AC33" s="342">
        <f>5+3+3</f>
        <v>11</v>
      </c>
      <c r="AD33" s="342">
        <f>4+2</f>
        <v>6</v>
      </c>
      <c r="AE33" s="342">
        <v>0</v>
      </c>
      <c r="AF33" s="342">
        <f>2+2</f>
        <v>4</v>
      </c>
      <c r="AG33" s="60">
        <f t="shared" ref="AG33:AG43" si="22">SUM(AB33:AF33)</f>
        <v>21</v>
      </c>
      <c r="AH33" s="364"/>
      <c r="AI33" s="60" t="s">
        <v>92</v>
      </c>
      <c r="AJ33" s="342">
        <f t="shared" si="18"/>
        <v>0</v>
      </c>
      <c r="AK33" s="342">
        <f t="shared" si="14"/>
        <v>6</v>
      </c>
      <c r="AL33" s="342">
        <f t="shared" si="14"/>
        <v>13</v>
      </c>
      <c r="AM33" s="342">
        <f t="shared" si="14"/>
        <v>0</v>
      </c>
      <c r="AN33" s="342">
        <f t="shared" si="14"/>
        <v>0</v>
      </c>
      <c r="AO33" s="60">
        <f t="shared" si="19"/>
        <v>19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10">
        <v>1.5</v>
      </c>
      <c r="H34" s="183">
        <f t="shared" si="3"/>
        <v>278.15129999999999</v>
      </c>
      <c r="I34" s="109">
        <f t="shared" si="15"/>
        <v>264.56579999999997</v>
      </c>
      <c r="J34" s="85">
        <f t="shared" si="20"/>
        <v>61.811399999999992</v>
      </c>
      <c r="K34" s="108" t="s">
        <v>385</v>
      </c>
      <c r="L34" s="108">
        <v>975.03499999999997</v>
      </c>
      <c r="M34" s="108">
        <v>450</v>
      </c>
      <c r="N34" s="107">
        <f t="shared" si="16"/>
        <v>185.4342</v>
      </c>
      <c r="O34" s="244">
        <v>1.5</v>
      </c>
      <c r="P34" s="244">
        <f t="shared" si="5"/>
        <v>278.15129999999999</v>
      </c>
      <c r="Q34" s="82">
        <f t="shared" si="21"/>
        <v>171.84870000000001</v>
      </c>
      <c r="R34" s="201" t="str">
        <f t="shared" si="17"/>
        <v>No</v>
      </c>
      <c r="S34" s="364"/>
      <c r="T34" s="364"/>
      <c r="U34" s="246"/>
      <c r="V34" s="135"/>
      <c r="W34" s="135"/>
      <c r="X34" s="135"/>
      <c r="AA34" s="60" t="s">
        <v>86</v>
      </c>
      <c r="AB34" s="342">
        <v>0</v>
      </c>
      <c r="AC34" s="342">
        <v>0</v>
      </c>
      <c r="AD34" s="340">
        <f>3+1</f>
        <v>4</v>
      </c>
      <c r="AE34" s="342">
        <v>0</v>
      </c>
      <c r="AF34" s="342">
        <f>2</f>
        <v>2</v>
      </c>
      <c r="AG34" s="60">
        <f t="shared" si="22"/>
        <v>6</v>
      </c>
      <c r="AH34" s="364"/>
      <c r="AI34" s="60" t="s">
        <v>93</v>
      </c>
      <c r="AJ34" s="342">
        <f t="shared" si="18"/>
        <v>1</v>
      </c>
      <c r="AK34" s="342">
        <f t="shared" si="14"/>
        <v>1</v>
      </c>
      <c r="AL34" s="342">
        <f t="shared" si="14"/>
        <v>3</v>
      </c>
      <c r="AM34" s="342">
        <f t="shared" si="14"/>
        <v>6</v>
      </c>
      <c r="AN34" s="342">
        <f t="shared" si="14"/>
        <v>0</v>
      </c>
      <c r="AO34" s="60">
        <f t="shared" si="19"/>
        <v>11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96">
        <v>1.5</v>
      </c>
      <c r="H35" s="183">
        <f t="shared" si="3"/>
        <v>737.21355000000005</v>
      </c>
      <c r="I35" s="95">
        <f t="shared" si="15"/>
        <v>408.52429999999998</v>
      </c>
      <c r="J35" s="85">
        <f t="shared" si="20"/>
        <v>81.912616666666665</v>
      </c>
      <c r="K35" s="94" t="s">
        <v>381</v>
      </c>
      <c r="L35" s="94">
        <v>660.12</v>
      </c>
      <c r="M35" s="94">
        <v>900</v>
      </c>
      <c r="N35" s="93">
        <f t="shared" si="16"/>
        <v>491.47570000000002</v>
      </c>
      <c r="O35" s="244">
        <v>1.5</v>
      </c>
      <c r="P35" s="244">
        <f t="shared" si="5"/>
        <v>737.21355000000005</v>
      </c>
      <c r="Q35" s="82">
        <f t="shared" si="21"/>
        <v>162.78644999999995</v>
      </c>
      <c r="R35" s="201" t="str">
        <f t="shared" si="17"/>
        <v>No</v>
      </c>
      <c r="S35" s="364"/>
      <c r="T35" s="364"/>
      <c r="U35" s="246"/>
      <c r="V35" s="249"/>
      <c r="W35" s="135"/>
      <c r="X35" s="135"/>
      <c r="Y35" s="320"/>
      <c r="AA35" s="60" t="s">
        <v>87</v>
      </c>
      <c r="AB35" s="342">
        <v>0</v>
      </c>
      <c r="AC35" s="413">
        <f>8+6+6</f>
        <v>20</v>
      </c>
      <c r="AD35" s="342">
        <f>4+3+6+11+3</f>
        <v>27</v>
      </c>
      <c r="AE35" s="342">
        <f>2+6+7</f>
        <v>15</v>
      </c>
      <c r="AF35" s="342">
        <v>0</v>
      </c>
      <c r="AG35" s="60">
        <f t="shared" si="22"/>
        <v>62</v>
      </c>
      <c r="AH35" s="364"/>
      <c r="AI35" s="60" t="s">
        <v>94</v>
      </c>
      <c r="AJ35" s="342">
        <f t="shared" si="18"/>
        <v>1</v>
      </c>
      <c r="AK35" s="342">
        <f t="shared" si="14"/>
        <v>3</v>
      </c>
      <c r="AL35" s="342">
        <f t="shared" si="14"/>
        <v>3</v>
      </c>
      <c r="AM35" s="342">
        <f t="shared" si="14"/>
        <v>7</v>
      </c>
      <c r="AN35" s="342">
        <f t="shared" si="14"/>
        <v>0</v>
      </c>
      <c r="AO35" s="60">
        <f t="shared" si="19"/>
        <v>14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86">
        <v>1.5</v>
      </c>
      <c r="H36" s="183">
        <f t="shared" si="3"/>
        <v>320.77244999999999</v>
      </c>
      <c r="I36" s="85">
        <f t="shared" si="15"/>
        <v>236.15170000000001</v>
      </c>
      <c r="J36" s="85">
        <f t="shared" si="20"/>
        <v>71.28276666666666</v>
      </c>
      <c r="K36" s="84" t="s">
        <v>377</v>
      </c>
      <c r="L36" s="84">
        <v>844.89</v>
      </c>
      <c r="M36" s="84">
        <v>450</v>
      </c>
      <c r="N36" s="83">
        <f t="shared" si="16"/>
        <v>213.84829999999999</v>
      </c>
      <c r="O36" s="244">
        <v>1.5</v>
      </c>
      <c r="P36" s="244">
        <f t="shared" si="5"/>
        <v>320.77244999999999</v>
      </c>
      <c r="Q36" s="82">
        <f t="shared" si="21"/>
        <v>129.22755000000001</v>
      </c>
      <c r="R36" s="201" t="str">
        <f t="shared" si="17"/>
        <v>No</v>
      </c>
      <c r="S36" s="364"/>
      <c r="T36" s="364"/>
      <c r="U36" s="246"/>
      <c r="AA36" s="60" t="s">
        <v>88</v>
      </c>
      <c r="AB36" s="342">
        <v>0</v>
      </c>
      <c r="AC36" s="342">
        <v>0</v>
      </c>
      <c r="AD36" s="342">
        <f>2+2+1+6+1+1</f>
        <v>13</v>
      </c>
      <c r="AE36" s="342">
        <f>1</f>
        <v>1</v>
      </c>
      <c r="AF36" s="342">
        <v>0</v>
      </c>
      <c r="AG36" s="60">
        <f t="shared" si="22"/>
        <v>14</v>
      </c>
      <c r="AH36" s="364"/>
      <c r="AI36" s="347" t="s">
        <v>505</v>
      </c>
      <c r="AJ36" s="342">
        <f t="shared" si="18"/>
        <v>0</v>
      </c>
      <c r="AK36" s="342">
        <f t="shared" si="14"/>
        <v>1</v>
      </c>
      <c r="AL36" s="342">
        <f t="shared" si="14"/>
        <v>3</v>
      </c>
      <c r="AM36" s="342">
        <f t="shared" si="14"/>
        <v>0</v>
      </c>
      <c r="AN36" s="342">
        <f t="shared" si="14"/>
        <v>0</v>
      </c>
      <c r="AO36" s="347">
        <f t="shared" si="19"/>
        <v>4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96">
        <v>1.5</v>
      </c>
      <c r="H37" s="183">
        <f t="shared" si="3"/>
        <v>1726.992</v>
      </c>
      <c r="I37" s="95">
        <f t="shared" si="15"/>
        <v>1048.672</v>
      </c>
      <c r="J37" s="85">
        <f t="shared" si="20"/>
        <v>78.499636363636355</v>
      </c>
      <c r="K37" s="94" t="s">
        <v>374</v>
      </c>
      <c r="L37" s="94">
        <v>503.42500000000001</v>
      </c>
      <c r="M37" s="94">
        <v>2200</v>
      </c>
      <c r="N37" s="93">
        <f t="shared" si="16"/>
        <v>1151.328</v>
      </c>
      <c r="O37" s="244">
        <v>1.5</v>
      </c>
      <c r="P37" s="244">
        <f t="shared" si="5"/>
        <v>1726.992</v>
      </c>
      <c r="Q37" s="82">
        <f t="shared" si="21"/>
        <v>473.00800000000004</v>
      </c>
      <c r="R37" s="201" t="str">
        <f t="shared" si="17"/>
        <v>No</v>
      </c>
      <c r="S37" s="248"/>
      <c r="T37" s="248"/>
      <c r="U37" s="246"/>
      <c r="AA37" s="60" t="s">
        <v>89</v>
      </c>
      <c r="AB37" s="342">
        <v>0</v>
      </c>
      <c r="AC37" s="342">
        <f>5+6+2</f>
        <v>13</v>
      </c>
      <c r="AD37" s="342">
        <f>1</f>
        <v>1</v>
      </c>
      <c r="AE37" s="342">
        <f>1</f>
        <v>1</v>
      </c>
      <c r="AF37" s="342">
        <v>0</v>
      </c>
      <c r="AG37" s="60">
        <f t="shared" si="22"/>
        <v>15</v>
      </c>
      <c r="AH37" s="364"/>
      <c r="AI37" s="312" t="s">
        <v>515</v>
      </c>
      <c r="AJ37" s="349">
        <f t="shared" ref="AJ37:AO37" si="23">SUM(AJ25:AJ36)</f>
        <v>6</v>
      </c>
      <c r="AK37" s="349">
        <f t="shared" si="23"/>
        <v>81</v>
      </c>
      <c r="AL37" s="349">
        <f t="shared" si="23"/>
        <v>80</v>
      </c>
      <c r="AM37" s="349">
        <f t="shared" si="23"/>
        <v>36</v>
      </c>
      <c r="AN37" s="349">
        <f t="shared" si="23"/>
        <v>8</v>
      </c>
      <c r="AO37" s="350">
        <f t="shared" si="23"/>
        <v>211</v>
      </c>
    </row>
    <row r="38" spans="1:41" ht="13.5" thickBot="1">
      <c r="A38" s="35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86">
        <v>1.5</v>
      </c>
      <c r="H38" s="183">
        <f t="shared" si="3"/>
        <v>1169.28495</v>
      </c>
      <c r="I38" s="85">
        <f t="shared" si="15"/>
        <v>720.47670000000005</v>
      </c>
      <c r="J38" s="85">
        <f t="shared" si="20"/>
        <v>77.952330000000003</v>
      </c>
      <c r="K38" s="84" t="s">
        <v>371</v>
      </c>
      <c r="L38" s="84">
        <v>539.80499999999995</v>
      </c>
      <c r="M38" s="299">
        <v>900</v>
      </c>
      <c r="N38" s="83">
        <f t="shared" si="16"/>
        <v>779.52329999999995</v>
      </c>
      <c r="O38" s="244">
        <v>1.5</v>
      </c>
      <c r="P38" s="244">
        <f t="shared" si="5"/>
        <v>1169.28495</v>
      </c>
      <c r="Q38" s="82">
        <f t="shared" si="21"/>
        <v>-269.28494999999998</v>
      </c>
      <c r="R38" s="218" t="str">
        <f t="shared" si="17"/>
        <v>Yes</v>
      </c>
      <c r="S38" s="220" t="s">
        <v>19</v>
      </c>
      <c r="T38" s="219">
        <v>200</v>
      </c>
      <c r="AA38" s="60" t="s">
        <v>90</v>
      </c>
      <c r="AB38" s="342">
        <v>0</v>
      </c>
      <c r="AC38" s="340">
        <v>0</v>
      </c>
      <c r="AD38" s="340">
        <f>1</f>
        <v>1</v>
      </c>
      <c r="AE38" s="342">
        <f>2</f>
        <v>2</v>
      </c>
      <c r="AF38" s="342">
        <f>2</f>
        <v>2</v>
      </c>
      <c r="AG38" s="60">
        <f t="shared" si="22"/>
        <v>5</v>
      </c>
      <c r="AH38" s="364"/>
      <c r="AI38" s="312" t="s">
        <v>514</v>
      </c>
      <c r="AJ38" s="351">
        <f>PRODUCT(AJ37*AK15)</f>
        <v>90</v>
      </c>
      <c r="AK38" s="414">
        <f>PRODUCT(AK37*AK16)</f>
        <v>1325.8809000000001</v>
      </c>
      <c r="AL38" s="414">
        <f>PRODUCT(AL37*AK17)</f>
        <v>1339.7360000000001</v>
      </c>
      <c r="AM38" s="414">
        <f>PRODUCT(AM37*AK18)</f>
        <v>607.91759999999999</v>
      </c>
      <c r="AN38" s="414">
        <f>PRODUCT(AN37*AK19)</f>
        <v>136</v>
      </c>
      <c r="AO38" s="415">
        <f>SUM(AJ38:AN38)</f>
        <v>3499.5344999999998</v>
      </c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86">
        <v>1.5</v>
      </c>
      <c r="H39" s="183">
        <f t="shared" si="3"/>
        <v>1329.2317499999999</v>
      </c>
      <c r="I39" s="85">
        <f t="shared" si="15"/>
        <v>863.84550000000002</v>
      </c>
      <c r="J39" s="85">
        <f t="shared" si="20"/>
        <v>75.956099999999992</v>
      </c>
      <c r="K39" s="84" t="s">
        <v>366</v>
      </c>
      <c r="L39" s="84">
        <v>585.61500000000001</v>
      </c>
      <c r="M39" s="299">
        <v>1050</v>
      </c>
      <c r="N39" s="83">
        <f t="shared" si="16"/>
        <v>886.15449999999998</v>
      </c>
      <c r="O39" s="244">
        <v>1.5</v>
      </c>
      <c r="P39" s="244">
        <f t="shared" si="5"/>
        <v>1329.2317499999999</v>
      </c>
      <c r="Q39" s="82">
        <f t="shared" si="21"/>
        <v>-279.23174999999992</v>
      </c>
      <c r="R39" s="218" t="str">
        <f t="shared" si="17"/>
        <v>Yes</v>
      </c>
      <c r="S39" s="217" t="s">
        <v>20</v>
      </c>
      <c r="T39" s="216">
        <v>230</v>
      </c>
      <c r="AA39" s="60" t="s">
        <v>91</v>
      </c>
      <c r="AB39" s="342">
        <v>0</v>
      </c>
      <c r="AC39" s="340">
        <f>3+6+2+3+2+1</f>
        <v>17</v>
      </c>
      <c r="AD39" s="342">
        <f>1+2</f>
        <v>3</v>
      </c>
      <c r="AE39" s="342">
        <f>2</f>
        <v>2</v>
      </c>
      <c r="AF39" s="342">
        <v>0</v>
      </c>
      <c r="AG39" s="60">
        <f t="shared" si="22"/>
        <v>22</v>
      </c>
      <c r="AI39" s="312" t="s">
        <v>559</v>
      </c>
      <c r="AJ39" s="351">
        <f>AJ37*AJ15</f>
        <v>600</v>
      </c>
      <c r="AK39" s="351">
        <f>AK37*AJ16</f>
        <v>12150</v>
      </c>
      <c r="AL39" s="351">
        <f>AL37*AJ17</f>
        <v>16000</v>
      </c>
      <c r="AM39" s="351">
        <f>AM37*AJ18</f>
        <v>9000</v>
      </c>
      <c r="AN39" s="351">
        <f>AN37*AJ19</f>
        <v>2400</v>
      </c>
      <c r="AO39" s="312">
        <f>SUM(AJ39:AN39)</f>
        <v>40150</v>
      </c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74">
        <v>1.5</v>
      </c>
      <c r="H40" s="183">
        <f t="shared" si="3"/>
        <v>350.71049999999997</v>
      </c>
      <c r="I40" s="73">
        <f t="shared" si="15"/>
        <v>366.19299999999998</v>
      </c>
      <c r="J40" s="85">
        <f t="shared" si="20"/>
        <v>58.45174999999999</v>
      </c>
      <c r="K40" s="72" t="s">
        <v>328</v>
      </c>
      <c r="L40" s="72">
        <v>673.16499999999996</v>
      </c>
      <c r="M40" s="300">
        <v>450</v>
      </c>
      <c r="N40" s="120">
        <f t="shared" si="16"/>
        <v>233.80699999999999</v>
      </c>
      <c r="O40" s="244">
        <v>1.5</v>
      </c>
      <c r="P40" s="244">
        <f t="shared" si="5"/>
        <v>350.71049999999997</v>
      </c>
      <c r="Q40" s="82">
        <f t="shared" si="21"/>
        <v>99.289500000000032</v>
      </c>
      <c r="R40" s="201" t="str">
        <f t="shared" si="17"/>
        <v>No</v>
      </c>
      <c r="S40" s="215"/>
      <c r="T40" s="214"/>
      <c r="AA40" s="60" t="s">
        <v>92</v>
      </c>
      <c r="AB40" s="342">
        <v>0</v>
      </c>
      <c r="AC40" s="340">
        <f>3+3</f>
        <v>6</v>
      </c>
      <c r="AD40" s="342">
        <f>11+2</f>
        <v>13</v>
      </c>
      <c r="AE40" s="342">
        <v>0</v>
      </c>
      <c r="AF40" s="342">
        <v>0</v>
      </c>
      <c r="AG40" s="60">
        <f t="shared" si="22"/>
        <v>19</v>
      </c>
      <c r="AI40"/>
      <c r="AK40" s="320"/>
      <c r="AL40" s="320"/>
    </row>
    <row r="41" spans="1:41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96">
        <v>1.5</v>
      </c>
      <c r="H41" s="183">
        <f t="shared" si="3"/>
        <v>624.22170000000006</v>
      </c>
      <c r="I41" s="95">
        <f t="shared" si="15"/>
        <v>333.85219999999998</v>
      </c>
      <c r="J41" s="85">
        <f t="shared" si="20"/>
        <v>83.229560000000006</v>
      </c>
      <c r="K41" s="94" t="s">
        <v>361</v>
      </c>
      <c r="L41" s="94">
        <v>692.19500000000005</v>
      </c>
      <c r="M41" s="94">
        <v>750</v>
      </c>
      <c r="N41" s="93">
        <f t="shared" si="16"/>
        <v>416.14780000000002</v>
      </c>
      <c r="O41" s="244">
        <v>1.5</v>
      </c>
      <c r="P41" s="244">
        <f t="shared" si="5"/>
        <v>624.22170000000006</v>
      </c>
      <c r="Q41" s="82">
        <f t="shared" si="21"/>
        <v>125.77829999999994</v>
      </c>
      <c r="R41" s="201" t="str">
        <f t="shared" si="17"/>
        <v>No</v>
      </c>
      <c r="S41" s="233"/>
      <c r="T41" s="233"/>
      <c r="AA41" s="60" t="s">
        <v>93</v>
      </c>
      <c r="AB41" s="342">
        <v>0</v>
      </c>
      <c r="AC41" s="340">
        <v>0</v>
      </c>
      <c r="AD41" s="342">
        <f>2+1</f>
        <v>3</v>
      </c>
      <c r="AE41" s="342">
        <f>6</f>
        <v>6</v>
      </c>
      <c r="AF41" s="342">
        <v>0</v>
      </c>
      <c r="AG41" s="60">
        <f t="shared" si="22"/>
        <v>9</v>
      </c>
      <c r="AI41"/>
      <c r="AK41" s="320"/>
      <c r="AL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10">
        <v>1.5</v>
      </c>
      <c r="H42" s="183">
        <f t="shared" si="3"/>
        <v>637.00244999999995</v>
      </c>
      <c r="I42" s="109">
        <f t="shared" si="15"/>
        <v>475.33170000000001</v>
      </c>
      <c r="J42" s="85">
        <f t="shared" si="20"/>
        <v>70.778049999999993</v>
      </c>
      <c r="K42" s="108" t="s">
        <v>359</v>
      </c>
      <c r="L42" s="108">
        <v>1033.6600000000001</v>
      </c>
      <c r="M42" s="108">
        <v>900</v>
      </c>
      <c r="N42" s="107">
        <f t="shared" si="16"/>
        <v>424.66829999999999</v>
      </c>
      <c r="O42" s="244">
        <v>1.5</v>
      </c>
      <c r="P42" s="244">
        <f t="shared" si="5"/>
        <v>637.00244999999995</v>
      </c>
      <c r="Q42" s="82">
        <f t="shared" si="21"/>
        <v>262.99755000000005</v>
      </c>
      <c r="R42" s="201" t="str">
        <f t="shared" si="17"/>
        <v>No</v>
      </c>
      <c r="S42" s="364"/>
      <c r="T42" s="364"/>
      <c r="U42" s="246"/>
      <c r="AA42" s="60" t="s">
        <v>94</v>
      </c>
      <c r="AB42" s="342">
        <v>0</v>
      </c>
      <c r="AC42" s="413">
        <f>2</f>
        <v>2</v>
      </c>
      <c r="AD42" s="342">
        <f>2+1</f>
        <v>3</v>
      </c>
      <c r="AE42" s="342">
        <f>7</f>
        <v>7</v>
      </c>
      <c r="AF42" s="342">
        <v>0</v>
      </c>
      <c r="AG42" s="60">
        <f t="shared" si="22"/>
        <v>12</v>
      </c>
      <c r="AI42">
        <f>AG44+AG24</f>
        <v>211</v>
      </c>
      <c r="AK42" s="320"/>
      <c r="AL42" s="320"/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96">
        <v>1.5</v>
      </c>
      <c r="H43" s="183">
        <f t="shared" si="3"/>
        <v>120.505005</v>
      </c>
      <c r="I43" s="95">
        <f t="shared" si="15"/>
        <v>169.66333</v>
      </c>
      <c r="J43" s="85">
        <f t="shared" si="20"/>
        <v>48.202002</v>
      </c>
      <c r="K43" s="94" t="s">
        <v>357</v>
      </c>
      <c r="L43" s="94">
        <v>811.21</v>
      </c>
      <c r="M43" s="291">
        <v>150</v>
      </c>
      <c r="N43" s="107">
        <f t="shared" si="16"/>
        <v>80.336669999999998</v>
      </c>
      <c r="O43" s="244">
        <v>1.5</v>
      </c>
      <c r="P43" s="244">
        <f t="shared" si="5"/>
        <v>120.505005</v>
      </c>
      <c r="Q43" s="82">
        <f t="shared" si="21"/>
        <v>29.494995000000003</v>
      </c>
      <c r="R43" s="201" t="str">
        <f t="shared" si="17"/>
        <v>No</v>
      </c>
      <c r="S43" s="364"/>
      <c r="T43" s="364"/>
      <c r="U43" s="246"/>
      <c r="AA43" s="347" t="s">
        <v>505</v>
      </c>
      <c r="AB43" s="342">
        <v>0</v>
      </c>
      <c r="AC43" s="348">
        <f>1</f>
        <v>1</v>
      </c>
      <c r="AD43" s="348">
        <f>3</f>
        <v>3</v>
      </c>
      <c r="AE43" s="348">
        <v>0</v>
      </c>
      <c r="AF43" s="342">
        <v>0</v>
      </c>
      <c r="AG43" s="347">
        <f t="shared" si="22"/>
        <v>4</v>
      </c>
      <c r="AI43" s="422">
        <f>AG45+AG25</f>
        <v>3499.5345000000002</v>
      </c>
      <c r="AK43" s="320"/>
      <c r="AL43" s="320"/>
    </row>
    <row r="44" spans="1:41" ht="13.5" thickBot="1">
      <c r="A44" s="35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86">
        <v>1.5</v>
      </c>
      <c r="H44" s="183">
        <f t="shared" si="3"/>
        <v>100.86274499999999</v>
      </c>
      <c r="I44" s="85">
        <f t="shared" si="15"/>
        <v>132.75817000000001</v>
      </c>
      <c r="J44" s="85">
        <f t="shared" si="20"/>
        <v>50.431372499999995</v>
      </c>
      <c r="K44" s="84" t="s">
        <v>354</v>
      </c>
      <c r="L44" s="84">
        <v>607.995</v>
      </c>
      <c r="M44" s="299">
        <v>150</v>
      </c>
      <c r="N44" s="83">
        <f t="shared" si="16"/>
        <v>67.241829999999993</v>
      </c>
      <c r="O44" s="244">
        <v>1.5</v>
      </c>
      <c r="P44" s="244">
        <f t="shared" si="5"/>
        <v>100.86274499999999</v>
      </c>
      <c r="Q44" s="82">
        <f t="shared" si="21"/>
        <v>49.13725500000001</v>
      </c>
      <c r="R44" s="201" t="str">
        <f t="shared" si="17"/>
        <v>No</v>
      </c>
      <c r="S44" s="364"/>
      <c r="T44" s="364"/>
      <c r="U44" s="246"/>
      <c r="AA44" s="312" t="s">
        <v>515</v>
      </c>
      <c r="AB44" s="349">
        <f t="shared" ref="AB44:AG44" si="24">SUM(AB32:AB43)</f>
        <v>0</v>
      </c>
      <c r="AC44" s="349">
        <f t="shared" si="24"/>
        <v>78</v>
      </c>
      <c r="AD44" s="349">
        <f t="shared" si="24"/>
        <v>80</v>
      </c>
      <c r="AE44" s="349">
        <f t="shared" si="24"/>
        <v>36</v>
      </c>
      <c r="AF44" s="349">
        <f t="shared" si="24"/>
        <v>8</v>
      </c>
      <c r="AG44" s="350">
        <f t="shared" si="24"/>
        <v>202</v>
      </c>
      <c r="AI44" s="342">
        <f>AG46+AG26</f>
        <v>40150</v>
      </c>
      <c r="AK44" s="320"/>
      <c r="AL44" s="320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86">
        <v>1.5</v>
      </c>
      <c r="H45" s="183">
        <f t="shared" si="3"/>
        <v>263.87879999999996</v>
      </c>
      <c r="I45" s="85">
        <f t="shared" si="15"/>
        <v>274.08080000000001</v>
      </c>
      <c r="J45" s="85">
        <f t="shared" si="20"/>
        <v>58.639733333333325</v>
      </c>
      <c r="K45" s="84" t="s">
        <v>352</v>
      </c>
      <c r="L45" s="84">
        <v>1051.23</v>
      </c>
      <c r="M45" s="84">
        <v>450</v>
      </c>
      <c r="N45" s="83">
        <f t="shared" si="16"/>
        <v>175.91919999999999</v>
      </c>
      <c r="O45" s="244">
        <v>1.5</v>
      </c>
      <c r="P45" s="244">
        <f t="shared" si="5"/>
        <v>263.87879999999996</v>
      </c>
      <c r="Q45" s="82">
        <f t="shared" si="21"/>
        <v>186.12120000000004</v>
      </c>
      <c r="R45" s="201" t="str">
        <f t="shared" si="17"/>
        <v>No</v>
      </c>
      <c r="S45" s="364"/>
      <c r="T45" s="364"/>
      <c r="U45" s="246"/>
      <c r="AA45" s="312" t="s">
        <v>514</v>
      </c>
      <c r="AB45" s="414">
        <f>PRODUCT(AB44*AK15)</f>
        <v>0</v>
      </c>
      <c r="AC45" s="414">
        <f>PRODUCT(AC44*AK16)</f>
        <v>1276.7742000000001</v>
      </c>
      <c r="AD45" s="414">
        <f>PRODUCT(AD44*AK17)</f>
        <v>1339.7360000000001</v>
      </c>
      <c r="AE45" s="414">
        <f>PRODUCT(AE44*AK18)</f>
        <v>607.91759999999999</v>
      </c>
      <c r="AF45" s="414">
        <f>PRODUCT(AF44*AK19)</f>
        <v>136</v>
      </c>
      <c r="AG45" s="415">
        <f>SUM(AB45:AF45)</f>
        <v>3360.4278000000004</v>
      </c>
      <c r="AK45" s="320"/>
      <c r="AL45" s="320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10">
        <v>1.5</v>
      </c>
      <c r="H46" s="183">
        <f t="shared" si="3"/>
        <v>172.67144999999999</v>
      </c>
      <c r="I46" s="109">
        <f t="shared" si="15"/>
        <v>284.88569999999999</v>
      </c>
      <c r="J46" s="85">
        <f t="shared" si="20"/>
        <v>43.167862499999998</v>
      </c>
      <c r="K46" s="108" t="s">
        <v>348</v>
      </c>
      <c r="L46" s="108">
        <v>838.745</v>
      </c>
      <c r="M46" s="298">
        <v>300</v>
      </c>
      <c r="N46" s="107">
        <f t="shared" si="16"/>
        <v>115.1143</v>
      </c>
      <c r="O46" s="244">
        <v>1.5</v>
      </c>
      <c r="P46" s="244">
        <f t="shared" si="5"/>
        <v>172.67144999999999</v>
      </c>
      <c r="Q46" s="82">
        <f t="shared" si="21"/>
        <v>127.32855000000001</v>
      </c>
      <c r="R46" s="201" t="str">
        <f t="shared" si="17"/>
        <v>No</v>
      </c>
      <c r="S46" s="364"/>
      <c r="T46" s="364"/>
      <c r="U46" s="246"/>
      <c r="AA46" s="312" t="s">
        <v>559</v>
      </c>
      <c r="AB46" s="351">
        <f>AB44*AJ15</f>
        <v>0</v>
      </c>
      <c r="AC46" s="351">
        <f>AC44*AJ16</f>
        <v>11700</v>
      </c>
      <c r="AD46" s="351">
        <f>AD44*AJ17</f>
        <v>16000</v>
      </c>
      <c r="AE46" s="351">
        <f>AE44*AJ18</f>
        <v>9000</v>
      </c>
      <c r="AF46" s="351">
        <f>AF44*AJ19</f>
        <v>2400</v>
      </c>
      <c r="AG46" s="312">
        <f>SUM(AB46:AF46)</f>
        <v>39100</v>
      </c>
      <c r="AK46" s="320"/>
      <c r="AL46" s="320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10">
        <v>1.5</v>
      </c>
      <c r="H47" s="183">
        <f t="shared" si="3"/>
        <v>131.35275000000001</v>
      </c>
      <c r="I47" s="109">
        <f t="shared" si="15"/>
        <v>212.4315</v>
      </c>
      <c r="J47" s="85">
        <f t="shared" si="20"/>
        <v>43.78425</v>
      </c>
      <c r="K47" s="108" t="s">
        <v>346</v>
      </c>
      <c r="L47" s="108">
        <v>792.93499999999995</v>
      </c>
      <c r="M47" s="108">
        <v>300</v>
      </c>
      <c r="N47" s="107">
        <f t="shared" si="16"/>
        <v>87.5685</v>
      </c>
      <c r="O47" s="244">
        <v>1.5</v>
      </c>
      <c r="P47" s="244">
        <f t="shared" si="5"/>
        <v>131.35275000000001</v>
      </c>
      <c r="Q47" s="82">
        <f t="shared" si="21"/>
        <v>168.64724999999999</v>
      </c>
      <c r="R47" s="201" t="str">
        <f t="shared" si="17"/>
        <v>No</v>
      </c>
      <c r="S47" s="364"/>
      <c r="T47" s="364"/>
      <c r="U47" s="246"/>
      <c r="AA47" s="268"/>
      <c r="AB47" s="405"/>
      <c r="AC47" s="405"/>
      <c r="AD47" s="405"/>
      <c r="AE47" s="405"/>
      <c r="AF47" s="405"/>
      <c r="AG47" s="405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96">
        <v>1.5</v>
      </c>
      <c r="H48" s="183">
        <f t="shared" si="3"/>
        <v>69.246000000000009</v>
      </c>
      <c r="I48" s="95">
        <f t="shared" si="15"/>
        <v>103.836</v>
      </c>
      <c r="J48" s="85">
        <f t="shared" si="20"/>
        <v>46.164000000000001</v>
      </c>
      <c r="K48" s="94" t="s">
        <v>345</v>
      </c>
      <c r="L48" s="94">
        <v>934.80499999999995</v>
      </c>
      <c r="M48" s="94">
        <v>150</v>
      </c>
      <c r="N48" s="93">
        <f t="shared" si="16"/>
        <v>46.164000000000001</v>
      </c>
      <c r="O48" s="244">
        <v>1.5</v>
      </c>
      <c r="P48" s="244">
        <f t="shared" si="5"/>
        <v>69.246000000000009</v>
      </c>
      <c r="Q48" s="82">
        <f t="shared" si="21"/>
        <v>80.753999999999991</v>
      </c>
      <c r="R48" s="201" t="str">
        <f t="shared" si="17"/>
        <v>No</v>
      </c>
      <c r="S48" s="364"/>
      <c r="T48" s="364"/>
      <c r="U48" s="246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86">
        <v>1.5</v>
      </c>
      <c r="H49" s="183">
        <f t="shared" si="3"/>
        <v>263.87879999999996</v>
      </c>
      <c r="I49" s="85">
        <f t="shared" si="15"/>
        <v>274.08080000000001</v>
      </c>
      <c r="J49" s="85">
        <f t="shared" si="20"/>
        <v>58.639733333333325</v>
      </c>
      <c r="K49" s="84" t="s">
        <v>341</v>
      </c>
      <c r="L49" s="84">
        <v>992.44500000000005</v>
      </c>
      <c r="M49" s="84">
        <v>450</v>
      </c>
      <c r="N49" s="83">
        <f t="shared" si="16"/>
        <v>175.91919999999999</v>
      </c>
      <c r="O49" s="244">
        <v>1.5</v>
      </c>
      <c r="P49" s="244">
        <f t="shared" si="5"/>
        <v>263.87879999999996</v>
      </c>
      <c r="Q49" s="82">
        <f t="shared" si="21"/>
        <v>186.12120000000004</v>
      </c>
      <c r="R49" s="201" t="str">
        <f t="shared" si="17"/>
        <v>No</v>
      </c>
      <c r="S49" s="364"/>
      <c r="T49" s="364"/>
      <c r="U49" s="246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96">
        <v>1.5</v>
      </c>
      <c r="H50" s="183">
        <f t="shared" si="3"/>
        <v>69.246000000000009</v>
      </c>
      <c r="I50" s="95">
        <f t="shared" si="15"/>
        <v>103.836</v>
      </c>
      <c r="J50" s="85">
        <f t="shared" si="20"/>
        <v>46.164000000000001</v>
      </c>
      <c r="K50" s="94" t="s">
        <v>337</v>
      </c>
      <c r="L50" s="94">
        <v>817.04499999999996</v>
      </c>
      <c r="M50" s="94">
        <v>150</v>
      </c>
      <c r="N50" s="93">
        <f t="shared" si="16"/>
        <v>46.164000000000001</v>
      </c>
      <c r="O50" s="244">
        <v>1.5</v>
      </c>
      <c r="P50" s="244">
        <f t="shared" si="5"/>
        <v>69.246000000000009</v>
      </c>
      <c r="Q50" s="82">
        <f t="shared" si="21"/>
        <v>80.753999999999991</v>
      </c>
      <c r="R50" s="201" t="str">
        <f t="shared" si="17"/>
        <v>No</v>
      </c>
      <c r="S50" s="364"/>
      <c r="T50" s="364"/>
      <c r="U50" s="246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86">
        <v>1.5</v>
      </c>
      <c r="H51" s="183">
        <f t="shared" si="3"/>
        <v>69.246000000000009</v>
      </c>
      <c r="I51" s="85">
        <f t="shared" si="15"/>
        <v>103.836</v>
      </c>
      <c r="J51" s="85">
        <f t="shared" si="20"/>
        <v>46.164000000000001</v>
      </c>
      <c r="K51" s="84" t="s">
        <v>337</v>
      </c>
      <c r="L51" s="84">
        <v>817.04499999999996</v>
      </c>
      <c r="M51" s="84">
        <v>150</v>
      </c>
      <c r="N51" s="83">
        <f t="shared" si="16"/>
        <v>46.164000000000001</v>
      </c>
      <c r="O51" s="244">
        <v>1.5</v>
      </c>
      <c r="P51" s="244">
        <f t="shared" si="5"/>
        <v>69.246000000000009</v>
      </c>
      <c r="Q51" s="82">
        <f t="shared" si="21"/>
        <v>80.753999999999991</v>
      </c>
      <c r="R51" s="201" t="str">
        <f t="shared" si="17"/>
        <v>No</v>
      </c>
      <c r="S51" s="364"/>
      <c r="T51" s="364"/>
      <c r="U51" s="246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96">
        <v>1.5</v>
      </c>
      <c r="H52" s="183">
        <f t="shared" si="3"/>
        <v>205.31295</v>
      </c>
      <c r="I52" s="95">
        <f t="shared" si="15"/>
        <v>263.12469999999996</v>
      </c>
      <c r="J52" s="85">
        <f t="shared" si="20"/>
        <v>51.328237499999993</v>
      </c>
      <c r="K52" s="94" t="s">
        <v>325</v>
      </c>
      <c r="L52" s="94">
        <v>518.48</v>
      </c>
      <c r="M52" s="94">
        <v>400</v>
      </c>
      <c r="N52" s="93">
        <f t="shared" si="16"/>
        <v>136.87530000000001</v>
      </c>
      <c r="O52" s="244">
        <v>1.5</v>
      </c>
      <c r="P52" s="244">
        <f t="shared" si="5"/>
        <v>205.31295</v>
      </c>
      <c r="Q52" s="82">
        <f t="shared" si="21"/>
        <v>194.68705</v>
      </c>
      <c r="R52" s="201" t="str">
        <f t="shared" si="17"/>
        <v>No</v>
      </c>
      <c r="S52" s="364"/>
      <c r="T52" s="364"/>
      <c r="U52" s="246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86">
        <v>1.5</v>
      </c>
      <c r="H53" s="183">
        <f t="shared" si="3"/>
        <v>131.35275000000001</v>
      </c>
      <c r="I53" s="85">
        <f t="shared" si="15"/>
        <v>212.4315</v>
      </c>
      <c r="J53" s="85">
        <f t="shared" si="20"/>
        <v>43.78425</v>
      </c>
      <c r="K53" s="84" t="s">
        <v>334</v>
      </c>
      <c r="L53" s="84">
        <v>792.93499999999995</v>
      </c>
      <c r="M53" s="84">
        <v>300</v>
      </c>
      <c r="N53" s="83">
        <f t="shared" si="16"/>
        <v>87.5685</v>
      </c>
      <c r="O53" s="244">
        <v>1.5</v>
      </c>
      <c r="P53" s="244">
        <f t="shared" si="5"/>
        <v>131.35275000000001</v>
      </c>
      <c r="Q53" s="82">
        <f t="shared" si="21"/>
        <v>168.64724999999999</v>
      </c>
      <c r="R53" s="201" t="str">
        <f t="shared" si="17"/>
        <v>No</v>
      </c>
      <c r="S53" s="364"/>
      <c r="T53" s="364"/>
      <c r="U53" s="246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96">
        <v>1.5</v>
      </c>
      <c r="H54" s="183">
        <f t="shared" si="3"/>
        <v>49.947495000000004</v>
      </c>
      <c r="I54" s="95">
        <f t="shared" si="15"/>
        <v>166.70167000000001</v>
      </c>
      <c r="J54" s="85">
        <f t="shared" si="20"/>
        <v>24.973747500000002</v>
      </c>
      <c r="K54" s="94" t="s">
        <v>331</v>
      </c>
      <c r="L54" s="94">
        <v>524.75</v>
      </c>
      <c r="M54" s="94">
        <v>200</v>
      </c>
      <c r="N54" s="93">
        <f t="shared" si="16"/>
        <v>33.29833</v>
      </c>
      <c r="O54" s="244">
        <v>1.5</v>
      </c>
      <c r="P54" s="244">
        <f t="shared" si="5"/>
        <v>49.947495000000004</v>
      </c>
      <c r="Q54" s="82">
        <f t="shared" si="21"/>
        <v>150.052505</v>
      </c>
      <c r="R54" s="201" t="str">
        <f t="shared" si="17"/>
        <v>No</v>
      </c>
      <c r="S54" s="364"/>
      <c r="T54" s="364"/>
      <c r="U54" s="246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86">
        <v>1.5</v>
      </c>
      <c r="H55" s="183">
        <f t="shared" si="3"/>
        <v>350.71049999999997</v>
      </c>
      <c r="I55" s="85">
        <f t="shared" si="15"/>
        <v>366.19299999999998</v>
      </c>
      <c r="J55" s="85">
        <f t="shared" si="20"/>
        <v>58.45174999999999</v>
      </c>
      <c r="K55" s="84" t="s">
        <v>328</v>
      </c>
      <c r="L55" s="84">
        <v>673.16499999999996</v>
      </c>
      <c r="M55" s="299">
        <v>450</v>
      </c>
      <c r="N55" s="83">
        <f t="shared" si="16"/>
        <v>233.80699999999999</v>
      </c>
      <c r="O55" s="244">
        <v>1.5</v>
      </c>
      <c r="P55" s="244">
        <f t="shared" si="5"/>
        <v>350.71049999999997</v>
      </c>
      <c r="Q55" s="82">
        <f t="shared" si="21"/>
        <v>99.289500000000032</v>
      </c>
      <c r="R55" s="201" t="str">
        <f t="shared" si="17"/>
        <v>No</v>
      </c>
      <c r="S55" s="364"/>
      <c r="T55" s="364"/>
      <c r="U55" s="246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74">
        <v>1.5</v>
      </c>
      <c r="H56" s="183">
        <f t="shared" si="3"/>
        <v>205.31295</v>
      </c>
      <c r="I56" s="73">
        <f t="shared" si="15"/>
        <v>263.12469999999996</v>
      </c>
      <c r="J56" s="85">
        <f t="shared" si="20"/>
        <v>51.328237499999993</v>
      </c>
      <c r="K56" s="72" t="s">
        <v>325</v>
      </c>
      <c r="L56" s="72">
        <v>518.48</v>
      </c>
      <c r="M56" s="72">
        <v>400</v>
      </c>
      <c r="N56" s="71">
        <f t="shared" si="16"/>
        <v>136.87530000000001</v>
      </c>
      <c r="O56" s="244">
        <v>1.5</v>
      </c>
      <c r="P56" s="244">
        <f t="shared" si="5"/>
        <v>205.31295</v>
      </c>
      <c r="Q56" s="82">
        <f t="shared" si="21"/>
        <v>194.68705</v>
      </c>
      <c r="R56" s="247" t="str">
        <f t="shared" si="17"/>
        <v>No</v>
      </c>
      <c r="S56" s="364"/>
      <c r="T56" s="364"/>
      <c r="U56" s="246"/>
      <c r="AC56" s="363"/>
      <c r="AD56" s="320"/>
      <c r="AE56" s="320"/>
    </row>
    <row r="57" spans="1:31">
      <c r="A57" s="320"/>
      <c r="B57" s="64"/>
      <c r="C57" s="320"/>
      <c r="D57" s="320" t="s">
        <v>369</v>
      </c>
      <c r="E57" s="320">
        <f>SUM(E3:E56)</f>
        <v>30100</v>
      </c>
      <c r="F57" s="64"/>
      <c r="G57" s="64"/>
      <c r="H57" s="64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64"/>
      <c r="T57" s="364"/>
      <c r="AC57" s="320"/>
      <c r="AD57" s="320"/>
      <c r="AE57" s="320"/>
    </row>
    <row r="58" spans="1:3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64"/>
      <c r="T58" s="364"/>
    </row>
    <row r="59" spans="1:31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64"/>
      <c r="T59" s="320"/>
    </row>
    <row r="60" spans="1:31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64"/>
      <c r="T60" s="320"/>
    </row>
    <row r="61" spans="1:31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64"/>
      <c r="T61" s="320"/>
    </row>
    <row r="62" spans="1:31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64"/>
      <c r="T62" s="320"/>
    </row>
    <row r="63" spans="1:31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64"/>
      <c r="T63" s="320"/>
    </row>
    <row r="64" spans="1:31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64"/>
      <c r="T64" s="320"/>
    </row>
    <row r="65" spans="1:23">
      <c r="A65" s="320"/>
      <c r="B65" s="64"/>
      <c r="C65" s="320"/>
      <c r="D65" s="320"/>
      <c r="M65" s="320"/>
      <c r="N65" s="320"/>
      <c r="O65" s="320"/>
      <c r="P65" s="320"/>
      <c r="R65" s="320"/>
      <c r="S65" s="364"/>
      <c r="T65" s="320"/>
    </row>
    <row r="66" spans="1:23">
      <c r="A66" s="320"/>
      <c r="B66" s="64"/>
      <c r="C66" s="320"/>
      <c r="D66" s="320"/>
      <c r="M66" s="320"/>
      <c r="N66" s="320"/>
      <c r="O66" s="320"/>
      <c r="P66" s="320"/>
      <c r="R66" s="320"/>
      <c r="S66" s="364"/>
      <c r="T66" s="320"/>
    </row>
    <row r="67" spans="1:23">
      <c r="A67" s="320"/>
      <c r="B67" s="64"/>
      <c r="C67" s="320"/>
      <c r="D67" s="320"/>
      <c r="M67" s="320"/>
      <c r="N67" s="320"/>
      <c r="O67" s="320"/>
      <c r="P67" s="320"/>
      <c r="R67" s="320"/>
      <c r="S67" s="364"/>
      <c r="T67" s="320"/>
    </row>
    <row r="68" spans="1:23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64"/>
      <c r="T68" s="320"/>
    </row>
    <row r="69" spans="1:23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64"/>
      <c r="T69" s="320"/>
      <c r="V69" s="58"/>
      <c r="W69" s="58"/>
    </row>
    <row r="70" spans="1:23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64"/>
      <c r="T70" s="320"/>
      <c r="V70" s="58"/>
      <c r="W70" s="58"/>
    </row>
    <row r="71" spans="1:23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64"/>
      <c r="T71" s="320"/>
      <c r="V71" s="58"/>
      <c r="W71" s="58"/>
    </row>
    <row r="72" spans="1:23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64"/>
      <c r="T72" s="320"/>
      <c r="V72" s="58"/>
      <c r="W72" s="58"/>
    </row>
    <row r="73" spans="1:23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64"/>
      <c r="T73" s="320"/>
      <c r="V73" s="58"/>
    </row>
    <row r="74" spans="1:23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64"/>
      <c r="T74" s="320"/>
      <c r="V74" s="58"/>
    </row>
    <row r="75" spans="1:23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64"/>
      <c r="T75" s="320"/>
    </row>
    <row r="76" spans="1:23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64"/>
      <c r="T76" s="320"/>
    </row>
    <row r="77" spans="1:23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64"/>
      <c r="T77" s="320"/>
    </row>
    <row r="78" spans="1:23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64"/>
      <c r="T78" s="320"/>
    </row>
    <row r="79" spans="1:23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64"/>
      <c r="T79" s="320"/>
    </row>
    <row r="80" spans="1:23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64"/>
      <c r="T80" s="320"/>
    </row>
    <row r="81" spans="2:20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64"/>
      <c r="T81" s="320"/>
    </row>
    <row r="82" spans="2:20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64"/>
      <c r="T82" s="320"/>
    </row>
    <row r="83" spans="2:20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64"/>
      <c r="T83" s="320"/>
    </row>
    <row r="84" spans="2:20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64"/>
      <c r="T84" s="320"/>
    </row>
    <row r="85" spans="2:20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64"/>
      <c r="T85" s="320"/>
    </row>
    <row r="86" spans="2:20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64"/>
      <c r="T86" s="320"/>
    </row>
    <row r="87" spans="2:20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64"/>
      <c r="T87" s="320"/>
    </row>
    <row r="88" spans="2:20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64"/>
      <c r="T88" s="320"/>
    </row>
    <row r="89" spans="2:20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64"/>
      <c r="T89" s="320"/>
    </row>
    <row r="90" spans="2:20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64"/>
      <c r="T90" s="320"/>
    </row>
    <row r="91" spans="2:20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64"/>
      <c r="T91" s="320"/>
    </row>
    <row r="92" spans="2:20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64"/>
      <c r="T92" s="320"/>
    </row>
    <row r="93" spans="2:20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64"/>
      <c r="T93" s="320"/>
    </row>
    <row r="94" spans="2:20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64"/>
      <c r="T94" s="320"/>
    </row>
    <row r="95" spans="2:20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64"/>
      <c r="T95" s="320"/>
    </row>
    <row r="96" spans="2:20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64"/>
      <c r="T96" s="320"/>
    </row>
    <row r="97" spans="2:20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64"/>
      <c r="T97" s="320"/>
    </row>
    <row r="98" spans="2:20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64"/>
      <c r="T98" s="320"/>
    </row>
    <row r="99" spans="2:20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64"/>
      <c r="T99" s="320"/>
    </row>
    <row r="100" spans="2:20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64"/>
      <c r="T100" s="320"/>
    </row>
    <row r="101" spans="2:20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64"/>
      <c r="T101" s="320"/>
    </row>
    <row r="102" spans="2:20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64"/>
      <c r="T102" s="320"/>
    </row>
    <row r="103" spans="2:20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64"/>
      <c r="T103" s="320"/>
    </row>
    <row r="104" spans="2:20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64"/>
      <c r="T104" s="320"/>
    </row>
    <row r="105" spans="2:20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64"/>
      <c r="T105" s="320"/>
    </row>
    <row r="106" spans="2:20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64"/>
      <c r="T106" s="320"/>
    </row>
    <row r="107" spans="2:20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64"/>
      <c r="T107" s="320"/>
    </row>
    <row r="108" spans="2:20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64"/>
      <c r="T108" s="320"/>
    </row>
    <row r="109" spans="2:20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64"/>
      <c r="T109" s="320"/>
    </row>
    <row r="110" spans="2:20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64"/>
      <c r="T110" s="320"/>
    </row>
    <row r="111" spans="2:20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64"/>
      <c r="T111" s="320"/>
    </row>
    <row r="112" spans="2:20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64"/>
      <c r="T112" s="320"/>
    </row>
    <row r="113" spans="1:20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64"/>
      <c r="T113" s="320"/>
    </row>
    <row r="114" spans="1:20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64"/>
      <c r="T114" s="320"/>
    </row>
    <row r="115" spans="1:20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64"/>
      <c r="T115" s="320"/>
    </row>
    <row r="116" spans="1:20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64"/>
      <c r="T116" s="320"/>
    </row>
    <row r="117" spans="1:20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64"/>
      <c r="T117" s="320"/>
    </row>
    <row r="118" spans="1:20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64"/>
      <c r="T118" s="320"/>
    </row>
    <row r="119" spans="1:20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64"/>
      <c r="T119" s="320"/>
    </row>
    <row r="120" spans="1:20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64"/>
      <c r="T120" s="320"/>
    </row>
    <row r="121" spans="1:20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64"/>
      <c r="T121" s="320"/>
    </row>
    <row r="122" spans="1:20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64"/>
      <c r="T122" s="320"/>
    </row>
    <row r="123" spans="1:20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64"/>
      <c r="T123" s="320"/>
    </row>
    <row r="124" spans="1:20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64"/>
      <c r="T124" s="320"/>
    </row>
    <row r="125" spans="1:20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64"/>
      <c r="T125" s="320"/>
    </row>
    <row r="126" spans="1:20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64"/>
      <c r="T126" s="320"/>
    </row>
    <row r="127" spans="1:20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64"/>
      <c r="T127" s="320"/>
    </row>
    <row r="128" spans="1:20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64"/>
      <c r="T128" s="320"/>
    </row>
    <row r="129" spans="1:20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64"/>
      <c r="T129" s="320"/>
    </row>
    <row r="130" spans="1:20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64"/>
      <c r="T130" s="320"/>
    </row>
    <row r="131" spans="1:20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64"/>
      <c r="T131" s="320"/>
    </row>
    <row r="132" spans="1:20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64"/>
      <c r="T132" s="320"/>
    </row>
    <row r="133" spans="1:20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64"/>
      <c r="T133" s="320"/>
    </row>
    <row r="134" spans="1:20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64"/>
      <c r="T134" s="320"/>
    </row>
    <row r="135" spans="1:20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64"/>
      <c r="T135" s="320"/>
    </row>
    <row r="136" spans="1:20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64"/>
      <c r="T136" s="320"/>
    </row>
    <row r="137" spans="1:20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64"/>
      <c r="T137" s="320"/>
    </row>
    <row r="138" spans="1:20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64"/>
      <c r="T138" s="320"/>
    </row>
    <row r="139" spans="1:20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64"/>
      <c r="T139" s="320"/>
    </row>
    <row r="140" spans="1:20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64"/>
      <c r="T140" s="320"/>
    </row>
    <row r="141" spans="1:20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64"/>
      <c r="T141" s="320"/>
    </row>
    <row r="142" spans="1:20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64"/>
      <c r="T142" s="320"/>
    </row>
    <row r="143" spans="1:20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64"/>
      <c r="T143" s="320"/>
    </row>
    <row r="144" spans="1:20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64"/>
      <c r="T144" s="320"/>
    </row>
    <row r="145" spans="1:20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64"/>
      <c r="T145" s="320"/>
    </row>
    <row r="146" spans="1:20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64"/>
      <c r="T146" s="320"/>
    </row>
    <row r="147" spans="1:20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64"/>
      <c r="T147" s="320"/>
    </row>
    <row r="148" spans="1:20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64"/>
      <c r="T148" s="320"/>
    </row>
    <row r="149" spans="1:20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64"/>
      <c r="T149" s="320"/>
    </row>
    <row r="150" spans="1:20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64"/>
      <c r="T150" s="320"/>
    </row>
    <row r="151" spans="1:20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64"/>
      <c r="T151" s="320"/>
    </row>
    <row r="152" spans="1:20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64"/>
      <c r="T152" s="320"/>
    </row>
    <row r="153" spans="1:20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64"/>
      <c r="T153" s="320"/>
    </row>
    <row r="154" spans="1:20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64"/>
      <c r="T154" s="320"/>
    </row>
    <row r="155" spans="1:20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64"/>
      <c r="T155" s="320"/>
    </row>
    <row r="156" spans="1:20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64"/>
      <c r="T156" s="320"/>
    </row>
    <row r="157" spans="1:20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64"/>
      <c r="T157" s="320"/>
    </row>
    <row r="158" spans="1:20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64"/>
      <c r="T158" s="320"/>
    </row>
    <row r="159" spans="1:20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64"/>
      <c r="T159" s="320"/>
    </row>
    <row r="160" spans="1:20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64"/>
      <c r="T160" s="320"/>
    </row>
    <row r="161" spans="1:20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64"/>
      <c r="T161" s="320"/>
    </row>
    <row r="162" spans="1:20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64"/>
      <c r="T162" s="320"/>
    </row>
    <row r="163" spans="1:20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64"/>
      <c r="T163" s="320"/>
    </row>
    <row r="164" spans="1:20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64"/>
      <c r="T164" s="320"/>
    </row>
    <row r="165" spans="1:20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64"/>
      <c r="T165" s="320"/>
    </row>
    <row r="166" spans="1:20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64"/>
      <c r="T166" s="320"/>
    </row>
    <row r="167" spans="1:20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64"/>
      <c r="T167" s="320"/>
    </row>
    <row r="168" spans="1:20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64"/>
      <c r="T168" s="320"/>
    </row>
    <row r="169" spans="1:20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64"/>
      <c r="T169" s="320"/>
    </row>
    <row r="170" spans="1:20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64"/>
      <c r="T170" s="320"/>
    </row>
    <row r="171" spans="1:20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64"/>
      <c r="T171" s="320"/>
    </row>
    <row r="172" spans="1:20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64"/>
      <c r="T172" s="320"/>
    </row>
    <row r="173" spans="1:20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64"/>
      <c r="T173" s="320"/>
    </row>
    <row r="174" spans="1:20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64"/>
      <c r="T174" s="320"/>
    </row>
    <row r="175" spans="1:20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64"/>
      <c r="T175" s="320"/>
    </row>
    <row r="176" spans="1:20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64"/>
      <c r="T176" s="320"/>
    </row>
    <row r="177" spans="1:20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64"/>
      <c r="T177" s="320"/>
    </row>
    <row r="178" spans="1:20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64"/>
      <c r="T178" s="320"/>
    </row>
    <row r="179" spans="1:20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64"/>
      <c r="T179" s="320"/>
    </row>
  </sheetData>
  <dataConsolidate/>
  <mergeCells count="24">
    <mergeCell ref="AI23:AN23"/>
    <mergeCell ref="AA30:AF30"/>
    <mergeCell ref="AA10:AF10"/>
    <mergeCell ref="C1:I1"/>
    <mergeCell ref="K1:R1"/>
    <mergeCell ref="V24:W24"/>
    <mergeCell ref="A4:A5"/>
    <mergeCell ref="A6:A8"/>
    <mergeCell ref="A9:A13"/>
    <mergeCell ref="A15:A20"/>
    <mergeCell ref="A21:A24"/>
    <mergeCell ref="A26:A27"/>
    <mergeCell ref="S26:S27"/>
    <mergeCell ref="T26:T27"/>
    <mergeCell ref="A45:A48"/>
    <mergeCell ref="A28:A32"/>
    <mergeCell ref="A49:A50"/>
    <mergeCell ref="A51:A52"/>
    <mergeCell ref="A53:A54"/>
    <mergeCell ref="A55:A56"/>
    <mergeCell ref="A33:A35"/>
    <mergeCell ref="A36:A37"/>
    <mergeCell ref="A39:A40"/>
    <mergeCell ref="A41:A43"/>
  </mergeCells>
  <conditionalFormatting sqref="M3:M56">
    <cfRule type="expression" dxfId="54" priority="9">
      <formula>(M3&lt;F3)</formula>
    </cfRule>
  </conditionalFormatting>
  <conditionalFormatting sqref="M3">
    <cfRule type="cellIs" dxfId="53" priority="8" operator="lessThan">
      <formula>$E$3</formula>
    </cfRule>
  </conditionalFormatting>
  <conditionalFormatting sqref="Q3:Q56">
    <cfRule type="cellIs" dxfId="52" priority="7" operator="lessThan">
      <formula>0</formula>
    </cfRule>
  </conditionalFormatting>
  <conditionalFormatting sqref="R3:R56">
    <cfRule type="containsText" dxfId="51" priority="6" operator="containsText" text="Yes">
      <formula>NOT(ISERROR(SEARCH("Yes",R3)))</formula>
    </cfRule>
  </conditionalFormatting>
  <conditionalFormatting sqref="AB12:AG23">
    <cfRule type="cellIs" dxfId="50" priority="5" operator="greaterThan">
      <formula>0</formula>
    </cfRule>
  </conditionalFormatting>
  <conditionalFormatting sqref="AJ25:AO36">
    <cfRule type="cellIs" dxfId="49" priority="4" operator="greaterThan">
      <formula>0</formula>
    </cfRule>
  </conditionalFormatting>
  <conditionalFormatting sqref="AG32:AG43">
    <cfRule type="cellIs" dxfId="48" priority="3" operator="greaterThan">
      <formula>0</formula>
    </cfRule>
  </conditionalFormatting>
  <conditionalFormatting sqref="AC32:AF43">
    <cfRule type="cellIs" dxfId="47" priority="2" operator="greaterThan">
      <formula>0</formula>
    </cfRule>
  </conditionalFormatting>
  <conditionalFormatting sqref="AB32:AB43">
    <cfRule type="cellIs" dxfId="4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V8" zoomScale="90" zoomScaleNormal="90" workbookViewId="0">
      <selection activeCell="AF11" sqref="AF1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26.570312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27" width="9" style="5"/>
    <col min="28" max="28" width="29.28515625" style="5" customWidth="1"/>
    <col min="29" max="29" width="19.42578125" style="5" customWidth="1"/>
    <col min="30" max="30" width="19.7109375" style="5" customWidth="1"/>
    <col min="31" max="34" width="9" style="5"/>
    <col min="35" max="35" width="18.5703125" style="5" customWidth="1"/>
    <col min="36" max="36" width="14.28515625" style="5" customWidth="1"/>
    <col min="37" max="37" width="9" style="5"/>
    <col min="38" max="38" width="22.7109375" style="5" customWidth="1"/>
    <col min="39" max="16384" width="9" style="5"/>
  </cols>
  <sheetData>
    <row r="1" spans="1:38" ht="14.25" customHeight="1">
      <c r="A1" s="363"/>
      <c r="B1" s="198"/>
      <c r="C1" s="514" t="s">
        <v>452</v>
      </c>
      <c r="D1" s="515"/>
      <c r="E1" s="515"/>
      <c r="F1" s="515"/>
      <c r="G1" s="515"/>
      <c r="H1" s="515"/>
      <c r="I1" s="516"/>
      <c r="J1" s="355"/>
      <c r="K1" s="512" t="s">
        <v>451</v>
      </c>
      <c r="L1" s="513"/>
      <c r="M1" s="513"/>
      <c r="N1" s="513"/>
      <c r="O1" s="513"/>
      <c r="P1" s="513"/>
      <c r="Q1" s="513"/>
      <c r="R1" s="552"/>
      <c r="S1" s="7"/>
      <c r="T1" s="7"/>
    </row>
    <row r="2" spans="1:38" ht="13.5" thickBot="1">
      <c r="A2" s="363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256" t="s">
        <v>459</v>
      </c>
      <c r="K2" s="192" t="s">
        <v>446</v>
      </c>
      <c r="L2" s="192" t="s">
        <v>34</v>
      </c>
      <c r="M2" s="192" t="s">
        <v>33</v>
      </c>
      <c r="N2" s="191" t="s">
        <v>445</v>
      </c>
      <c r="O2" s="190" t="s">
        <v>460</v>
      </c>
      <c r="P2" s="190" t="s">
        <v>462</v>
      </c>
      <c r="Q2" s="190" t="s">
        <v>444</v>
      </c>
      <c r="R2" s="245" t="s">
        <v>458</v>
      </c>
      <c r="S2" s="364"/>
      <c r="T2" s="320"/>
    </row>
    <row r="3" spans="1:38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3">
        <f>H3/E3*100</f>
        <v>49.482750000000003</v>
      </c>
      <c r="K3" s="181" t="s">
        <v>435</v>
      </c>
      <c r="L3" s="181">
        <v>598.85</v>
      </c>
      <c r="M3" s="297">
        <v>300</v>
      </c>
      <c r="N3" s="180">
        <f t="shared" ref="N3:N13" si="1">F3</f>
        <v>131.95400000000001</v>
      </c>
      <c r="O3" s="244">
        <v>1.5</v>
      </c>
      <c r="P3" s="244">
        <f>O3*N3</f>
        <v>197.93100000000001</v>
      </c>
      <c r="Q3" s="290">
        <f>M3-P3</f>
        <v>102.06899999999999</v>
      </c>
      <c r="R3" s="180" t="str">
        <f t="shared" ref="R3:R9" si="2">IF(Q3&gt;=0,"No","Yes")</f>
        <v>No</v>
      </c>
      <c r="S3" s="364"/>
      <c r="T3" s="364"/>
    </row>
    <row r="4" spans="1:38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76">
        <v>1.5</v>
      </c>
      <c r="H4" s="183">
        <f t="shared" ref="H4:H56" si="3">G4*F4</f>
        <v>119.63775</v>
      </c>
      <c r="I4" s="175">
        <f t="shared" si="0"/>
        <v>120.2415</v>
      </c>
      <c r="J4" s="183">
        <f t="shared" ref="J4:J13" si="4">H4/E4*100</f>
        <v>59.818874999999991</v>
      </c>
      <c r="K4" s="174" t="s">
        <v>434</v>
      </c>
      <c r="L4" s="174">
        <v>561.44000000000005</v>
      </c>
      <c r="M4" s="296">
        <v>150</v>
      </c>
      <c r="N4" s="173">
        <f t="shared" si="1"/>
        <v>79.758499999999998</v>
      </c>
      <c r="O4" s="244">
        <v>1.5</v>
      </c>
      <c r="P4" s="244">
        <f t="shared" ref="P4:P56" si="5">O4*N4</f>
        <v>119.63775</v>
      </c>
      <c r="Q4" s="290">
        <f t="shared" ref="Q4:Q13" si="6">M4-P4</f>
        <v>30.362250000000003</v>
      </c>
      <c r="R4" s="181" t="str">
        <f t="shared" si="2"/>
        <v>No</v>
      </c>
      <c r="S4" s="364"/>
      <c r="T4" s="364"/>
    </row>
    <row r="5" spans="1:38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95">
        <v>1.5</v>
      </c>
      <c r="H5" s="183">
        <f t="shared" si="3"/>
        <v>152.28555</v>
      </c>
      <c r="I5" s="95">
        <f t="shared" si="0"/>
        <v>198.47629999999998</v>
      </c>
      <c r="J5" s="183">
        <f t="shared" si="4"/>
        <v>50.761849999999995</v>
      </c>
      <c r="K5" s="94" t="s">
        <v>429</v>
      </c>
      <c r="L5" s="94">
        <v>691.82</v>
      </c>
      <c r="M5" s="94">
        <v>300</v>
      </c>
      <c r="N5" s="93">
        <f t="shared" si="1"/>
        <v>101.52370000000001</v>
      </c>
      <c r="O5" s="244">
        <v>1.5</v>
      </c>
      <c r="P5" s="244">
        <f t="shared" si="5"/>
        <v>152.28555</v>
      </c>
      <c r="Q5" s="290">
        <f t="shared" si="6"/>
        <v>147.71445</v>
      </c>
      <c r="R5" s="181" t="str">
        <f t="shared" si="2"/>
        <v>No</v>
      </c>
      <c r="S5" s="356" t="s">
        <v>440</v>
      </c>
      <c r="T5" s="356" t="s">
        <v>457</v>
      </c>
    </row>
    <row r="6" spans="1:38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86">
        <v>1.5</v>
      </c>
      <c r="H6" s="183">
        <f t="shared" si="3"/>
        <v>890.08500000000004</v>
      </c>
      <c r="I6" s="85">
        <f t="shared" si="0"/>
        <v>606.61</v>
      </c>
      <c r="J6" s="183">
        <f t="shared" si="4"/>
        <v>74.173749999999998</v>
      </c>
      <c r="K6" s="84" t="s">
        <v>431</v>
      </c>
      <c r="L6" s="84">
        <v>778.62</v>
      </c>
      <c r="M6" s="84">
        <v>1200</v>
      </c>
      <c r="N6" s="83">
        <f t="shared" si="1"/>
        <v>593.39</v>
      </c>
      <c r="O6" s="244">
        <v>1.5</v>
      </c>
      <c r="P6" s="244">
        <f t="shared" si="5"/>
        <v>890.08500000000004</v>
      </c>
      <c r="Q6" s="290">
        <f t="shared" si="6"/>
        <v>309.91499999999996</v>
      </c>
      <c r="R6" s="181" t="str">
        <f t="shared" si="2"/>
        <v>No</v>
      </c>
      <c r="S6" s="217"/>
      <c r="T6" s="216"/>
    </row>
    <row r="7" spans="1:38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10">
        <v>1.5</v>
      </c>
      <c r="H7" s="183">
        <f t="shared" si="3"/>
        <v>248.31</v>
      </c>
      <c r="I7" s="109">
        <f t="shared" si="0"/>
        <v>334.46000000000004</v>
      </c>
      <c r="J7" s="183">
        <f t="shared" si="4"/>
        <v>49.661999999999999</v>
      </c>
      <c r="K7" s="108" t="s">
        <v>430</v>
      </c>
      <c r="L7" s="108">
        <v>904.18</v>
      </c>
      <c r="M7" s="298">
        <v>300</v>
      </c>
      <c r="N7" s="107">
        <f t="shared" si="1"/>
        <v>165.54</v>
      </c>
      <c r="O7" s="244">
        <v>1.5</v>
      </c>
      <c r="P7" s="244">
        <f t="shared" si="5"/>
        <v>248.31</v>
      </c>
      <c r="Q7" s="290">
        <f t="shared" si="6"/>
        <v>51.69</v>
      </c>
      <c r="R7" s="301" t="str">
        <f t="shared" si="2"/>
        <v>No</v>
      </c>
      <c r="S7" s="255" t="s">
        <v>351</v>
      </c>
      <c r="T7" s="238" t="s">
        <v>351</v>
      </c>
    </row>
    <row r="8" spans="1:38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96">
        <v>1.5</v>
      </c>
      <c r="H8" s="183">
        <f t="shared" si="3"/>
        <v>152.28555</v>
      </c>
      <c r="I8" s="95">
        <f t="shared" si="0"/>
        <v>198.47629999999998</v>
      </c>
      <c r="J8" s="183">
        <f t="shared" si="4"/>
        <v>50.761849999999995</v>
      </c>
      <c r="K8" s="94" t="s">
        <v>429</v>
      </c>
      <c r="L8" s="94">
        <v>691.82</v>
      </c>
      <c r="M8" s="94">
        <v>300</v>
      </c>
      <c r="N8" s="93">
        <f t="shared" si="1"/>
        <v>101.52370000000001</v>
      </c>
      <c r="O8" s="244">
        <v>1.5</v>
      </c>
      <c r="P8" s="244">
        <f t="shared" si="5"/>
        <v>152.28555</v>
      </c>
      <c r="Q8" s="290">
        <f t="shared" si="6"/>
        <v>147.71445</v>
      </c>
      <c r="R8" s="181" t="str">
        <f t="shared" si="2"/>
        <v>No</v>
      </c>
      <c r="S8" s="254"/>
      <c r="T8" s="238"/>
    </row>
    <row r="9" spans="1:38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86">
        <v>1.5</v>
      </c>
      <c r="H9" s="183">
        <f t="shared" si="3"/>
        <v>495.05579999999998</v>
      </c>
      <c r="I9" s="85">
        <f t="shared" si="0"/>
        <v>269.96280000000002</v>
      </c>
      <c r="J9" s="183">
        <f t="shared" si="4"/>
        <v>82.509299999999996</v>
      </c>
      <c r="K9" s="84" t="s">
        <v>428</v>
      </c>
      <c r="L9" s="84">
        <v>243.73500000000001</v>
      </c>
      <c r="M9" s="299">
        <v>500</v>
      </c>
      <c r="N9" s="83">
        <f t="shared" si="1"/>
        <v>330.03719999999998</v>
      </c>
      <c r="O9" s="244">
        <v>1.5</v>
      </c>
      <c r="P9" s="244">
        <f t="shared" si="5"/>
        <v>495.05579999999998</v>
      </c>
      <c r="Q9" s="290">
        <f t="shared" si="6"/>
        <v>4.9442000000000235</v>
      </c>
      <c r="R9" s="180" t="str">
        <f t="shared" si="2"/>
        <v>No</v>
      </c>
      <c r="S9" s="233"/>
      <c r="T9" s="233"/>
      <c r="U9" s="246"/>
    </row>
    <row r="10" spans="1:38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10">
        <v>1.5</v>
      </c>
      <c r="H10" s="183">
        <f t="shared" si="3"/>
        <v>300.16500000000002</v>
      </c>
      <c r="I10" s="109">
        <f t="shared" si="0"/>
        <v>199.89</v>
      </c>
      <c r="J10" s="183">
        <f t="shared" si="4"/>
        <v>75.041250000000005</v>
      </c>
      <c r="K10" s="108" t="s">
        <v>427</v>
      </c>
      <c r="L10" s="108">
        <v>614.06500000000005</v>
      </c>
      <c r="M10" s="298">
        <v>300</v>
      </c>
      <c r="N10" s="107">
        <f t="shared" si="1"/>
        <v>200.11</v>
      </c>
      <c r="O10" s="244">
        <v>1.5</v>
      </c>
      <c r="P10" s="244">
        <f t="shared" si="5"/>
        <v>300.16500000000002</v>
      </c>
      <c r="Q10" s="290">
        <f t="shared" si="6"/>
        <v>-0.16500000000002046</v>
      </c>
      <c r="R10" s="253" t="s">
        <v>478</v>
      </c>
      <c r="S10" s="364"/>
      <c r="T10" s="364"/>
      <c r="U10" s="246"/>
      <c r="AA10" s="520" t="s">
        <v>588</v>
      </c>
      <c r="AB10" s="521"/>
      <c r="AC10" s="521"/>
      <c r="AD10" s="521"/>
      <c r="AE10" s="521"/>
      <c r="AF10" s="522"/>
      <c r="AG10" s="164"/>
    </row>
    <row r="11" spans="1:38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10">
        <v>1.5</v>
      </c>
      <c r="H11" s="183">
        <f t="shared" si="3"/>
        <v>624.22170000000006</v>
      </c>
      <c r="I11" s="109">
        <f t="shared" si="0"/>
        <v>333.85219999999998</v>
      </c>
      <c r="J11" s="183">
        <f t="shared" si="4"/>
        <v>83.229560000000006</v>
      </c>
      <c r="K11" s="108" t="s">
        <v>426</v>
      </c>
      <c r="L11" s="108">
        <v>692.19500000000005</v>
      </c>
      <c r="M11" s="108">
        <v>750</v>
      </c>
      <c r="N11" s="107">
        <f t="shared" si="1"/>
        <v>416.14780000000002</v>
      </c>
      <c r="O11" s="244">
        <v>1.5</v>
      </c>
      <c r="P11" s="244">
        <f t="shared" si="5"/>
        <v>624.22170000000006</v>
      </c>
      <c r="Q11" s="290">
        <f t="shared" si="6"/>
        <v>125.77829999999994</v>
      </c>
      <c r="R11" s="180" t="str">
        <f>IF(Q11&gt;=0,"No","Yes")</f>
        <v>No</v>
      </c>
      <c r="S11" s="364"/>
      <c r="T11" s="364"/>
      <c r="U11" s="246"/>
      <c r="AA11" s="336" t="s">
        <v>506</v>
      </c>
      <c r="AB11" s="338" t="s">
        <v>507</v>
      </c>
      <c r="AC11" s="338" t="s">
        <v>508</v>
      </c>
      <c r="AD11" s="338" t="s">
        <v>509</v>
      </c>
      <c r="AE11" s="338" t="s">
        <v>510</v>
      </c>
      <c r="AF11" s="339" t="s">
        <v>558</v>
      </c>
      <c r="AG11" s="312" t="s">
        <v>417</v>
      </c>
    </row>
    <row r="12" spans="1:38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10">
        <v>1.5</v>
      </c>
      <c r="H12" s="183">
        <f t="shared" si="3"/>
        <v>481.16999999999996</v>
      </c>
      <c r="I12" s="109">
        <f t="shared" si="0"/>
        <v>279.22000000000003</v>
      </c>
      <c r="J12" s="183">
        <f t="shared" si="4"/>
        <v>80.194999999999993</v>
      </c>
      <c r="K12" s="108" t="s">
        <v>420</v>
      </c>
      <c r="L12" s="108">
        <v>440.09</v>
      </c>
      <c r="M12" s="108">
        <v>600</v>
      </c>
      <c r="N12" s="107">
        <f t="shared" si="1"/>
        <v>320.77999999999997</v>
      </c>
      <c r="O12" s="244">
        <v>1.5</v>
      </c>
      <c r="P12" s="244">
        <f t="shared" si="5"/>
        <v>481.16999999999996</v>
      </c>
      <c r="Q12" s="290">
        <f t="shared" si="6"/>
        <v>118.83000000000004</v>
      </c>
      <c r="R12" s="180" t="str">
        <f>IF(Q12&gt;=0,"No","Yes")</f>
        <v>No</v>
      </c>
      <c r="S12" s="364"/>
      <c r="T12" s="364"/>
      <c r="U12" s="246"/>
      <c r="AA12" s="60" t="s">
        <v>84</v>
      </c>
      <c r="AB12" s="340">
        <v>0</v>
      </c>
      <c r="AC12" s="340">
        <v>0</v>
      </c>
      <c r="AD12" s="341">
        <v>0</v>
      </c>
      <c r="AE12" s="341">
        <v>0</v>
      </c>
      <c r="AF12" s="342">
        <v>0</v>
      </c>
      <c r="AG12" s="343">
        <f>SUM(AB12:AF12)</f>
        <v>0</v>
      </c>
    </row>
    <row r="13" spans="1:38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96">
        <v>1.5</v>
      </c>
      <c r="H13" s="183">
        <f t="shared" si="3"/>
        <v>33.525000000000006</v>
      </c>
      <c r="I13" s="95">
        <f t="shared" si="0"/>
        <v>177.65</v>
      </c>
      <c r="J13" s="183">
        <f t="shared" si="4"/>
        <v>16.762500000000003</v>
      </c>
      <c r="K13" s="94" t="s">
        <v>418</v>
      </c>
      <c r="L13" s="94">
        <v>541.49</v>
      </c>
      <c r="M13" s="291">
        <v>150</v>
      </c>
      <c r="N13" s="93">
        <f t="shared" si="1"/>
        <v>22.35</v>
      </c>
      <c r="O13" s="244">
        <v>1.5</v>
      </c>
      <c r="P13" s="244">
        <f t="shared" si="5"/>
        <v>33.525000000000006</v>
      </c>
      <c r="Q13" s="290">
        <f t="shared" si="6"/>
        <v>116.47499999999999</v>
      </c>
      <c r="R13" s="180" t="str">
        <f>IF(Q13&gt;=0,"No","Yes")</f>
        <v>No</v>
      </c>
      <c r="S13" s="364"/>
      <c r="T13" s="364"/>
      <c r="U13" s="246"/>
      <c r="AA13" s="60" t="s">
        <v>85</v>
      </c>
      <c r="AB13" s="340">
        <v>0</v>
      </c>
      <c r="AC13" s="340">
        <v>0</v>
      </c>
      <c r="AD13" s="340">
        <v>0</v>
      </c>
      <c r="AE13" s="340">
        <v>0</v>
      </c>
      <c r="AF13" s="342">
        <v>0</v>
      </c>
      <c r="AG13" s="60">
        <f t="shared" ref="AG13:AG23" si="7">SUM(AB13:AF13)</f>
        <v>0</v>
      </c>
    </row>
    <row r="14" spans="1:38" ht="13.5" thickBot="1">
      <c r="A14" s="354" t="s">
        <v>426</v>
      </c>
      <c r="B14" s="88" t="s">
        <v>351</v>
      </c>
      <c r="C14" s="161"/>
      <c r="D14" s="86"/>
      <c r="E14" s="86"/>
      <c r="F14" s="86"/>
      <c r="G14" s="86">
        <v>1.5</v>
      </c>
      <c r="H14" s="183">
        <f t="shared" si="3"/>
        <v>0</v>
      </c>
      <c r="I14" s="85"/>
      <c r="J14" s="183"/>
      <c r="K14" s="84"/>
      <c r="L14" s="84"/>
      <c r="M14" s="84"/>
      <c r="N14" s="83"/>
      <c r="O14" s="244">
        <v>1.5</v>
      </c>
      <c r="P14" s="244">
        <f t="shared" si="5"/>
        <v>0</v>
      </c>
      <c r="Q14" s="82"/>
      <c r="R14" s="83"/>
      <c r="S14" s="364"/>
      <c r="T14" s="364"/>
      <c r="U14" s="246"/>
      <c r="AA14" s="60" t="s">
        <v>86</v>
      </c>
      <c r="AB14" s="340">
        <v>0</v>
      </c>
      <c r="AC14" s="340">
        <v>0</v>
      </c>
      <c r="AD14" s="340">
        <v>0</v>
      </c>
      <c r="AE14" s="340">
        <v>0</v>
      </c>
      <c r="AF14" s="342">
        <v>0</v>
      </c>
      <c r="AG14" s="60">
        <f t="shared" si="7"/>
        <v>0</v>
      </c>
      <c r="AI14" s="406" t="s">
        <v>512</v>
      </c>
      <c r="AJ14" s="406" t="s">
        <v>513</v>
      </c>
      <c r="AK14" s="344" t="s">
        <v>514</v>
      </c>
    </row>
    <row r="15" spans="1:38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86">
        <v>1.5</v>
      </c>
      <c r="H15" s="183">
        <f t="shared" si="3"/>
        <v>621.76125000000002</v>
      </c>
      <c r="I15" s="85">
        <f t="shared" ref="I15:I24" si="8">E15-F15</f>
        <v>385.49250000000001</v>
      </c>
      <c r="J15" s="86">
        <f>H15/E15*100</f>
        <v>77.720156250000002</v>
      </c>
      <c r="K15" s="84" t="s">
        <v>424</v>
      </c>
      <c r="L15" s="84">
        <v>527.53499999999997</v>
      </c>
      <c r="M15" s="84">
        <v>800</v>
      </c>
      <c r="N15" s="83">
        <f t="shared" ref="N15:N24" si="9">F15</f>
        <v>414.50749999999999</v>
      </c>
      <c r="O15" s="244">
        <v>1.5</v>
      </c>
      <c r="P15" s="244">
        <f t="shared" si="5"/>
        <v>621.76125000000002</v>
      </c>
      <c r="Q15" s="203">
        <f>M15-P15</f>
        <v>178.23874999999998</v>
      </c>
      <c r="R15" s="83" t="str">
        <f t="shared" ref="R15:R24" si="10">IF(Q15&gt;=0,"No","Yes")</f>
        <v>No</v>
      </c>
      <c r="S15" s="364"/>
      <c r="T15" s="364"/>
      <c r="U15" s="246"/>
      <c r="AA15" s="60" t="s">
        <v>87</v>
      </c>
      <c r="AB15" s="340">
        <v>1</v>
      </c>
      <c r="AC15" s="340">
        <v>1</v>
      </c>
      <c r="AD15" s="340">
        <v>0</v>
      </c>
      <c r="AE15" s="340">
        <v>0</v>
      </c>
      <c r="AF15" s="342">
        <v>0</v>
      </c>
      <c r="AG15" s="60">
        <f t="shared" si="7"/>
        <v>2</v>
      </c>
      <c r="AI15" s="61" t="s">
        <v>507</v>
      </c>
      <c r="AJ15" s="61">
        <v>100</v>
      </c>
      <c r="AK15" s="416">
        <v>15</v>
      </c>
      <c r="AL15" s="405"/>
    </row>
    <row r="16" spans="1:38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10">
        <v>1.5</v>
      </c>
      <c r="H16" s="183">
        <f t="shared" si="3"/>
        <v>373.59030000000001</v>
      </c>
      <c r="I16" s="109">
        <f t="shared" si="8"/>
        <v>350.93979999999999</v>
      </c>
      <c r="J16" s="86">
        <f t="shared" ref="J16:J24" si="11">H16/E16*100</f>
        <v>62.265050000000002</v>
      </c>
      <c r="K16" s="108" t="s">
        <v>422</v>
      </c>
      <c r="L16" s="108">
        <v>258.625</v>
      </c>
      <c r="M16" s="298">
        <v>500</v>
      </c>
      <c r="N16" s="107">
        <f t="shared" si="9"/>
        <v>249.06020000000001</v>
      </c>
      <c r="O16" s="244">
        <v>1.5</v>
      </c>
      <c r="P16" s="244">
        <f t="shared" si="5"/>
        <v>373.59030000000001</v>
      </c>
      <c r="Q16" s="203">
        <f t="shared" ref="Q16:Q24" si="12">M16-P16</f>
        <v>126.40969999999999</v>
      </c>
      <c r="R16" s="83" t="str">
        <f t="shared" si="10"/>
        <v>No</v>
      </c>
      <c r="S16" s="364"/>
      <c r="T16" s="364"/>
      <c r="U16" s="246"/>
      <c r="AA16" s="60" t="s">
        <v>88</v>
      </c>
      <c r="AB16" s="340">
        <v>1</v>
      </c>
      <c r="AC16" s="340">
        <v>0</v>
      </c>
      <c r="AD16" s="340">
        <v>0</v>
      </c>
      <c r="AE16" s="340">
        <v>0</v>
      </c>
      <c r="AF16" s="342">
        <v>0</v>
      </c>
      <c r="AG16" s="60">
        <f t="shared" si="7"/>
        <v>1</v>
      </c>
      <c r="AH16" s="364"/>
      <c r="AI16" s="345" t="s">
        <v>508</v>
      </c>
      <c r="AJ16" s="345">
        <v>150</v>
      </c>
      <c r="AK16" s="417">
        <v>16.3689</v>
      </c>
      <c r="AL16" s="409"/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10">
        <v>1.5</v>
      </c>
      <c r="H17" s="183">
        <f t="shared" si="3"/>
        <v>278.15129999999999</v>
      </c>
      <c r="I17" s="109">
        <f t="shared" si="8"/>
        <v>264.56579999999997</v>
      </c>
      <c r="J17" s="86">
        <f t="shared" si="11"/>
        <v>61.811399999999992</v>
      </c>
      <c r="K17" s="108" t="s">
        <v>385</v>
      </c>
      <c r="L17" s="108">
        <v>975.03499999999997</v>
      </c>
      <c r="M17" s="108">
        <v>450</v>
      </c>
      <c r="N17" s="107">
        <f t="shared" si="9"/>
        <v>185.4342</v>
      </c>
      <c r="O17" s="244">
        <v>1.5</v>
      </c>
      <c r="P17" s="244">
        <f t="shared" si="5"/>
        <v>278.15129999999999</v>
      </c>
      <c r="Q17" s="203">
        <f t="shared" si="12"/>
        <v>171.84870000000001</v>
      </c>
      <c r="R17" s="83" t="str">
        <f t="shared" si="10"/>
        <v>No</v>
      </c>
      <c r="S17" s="364"/>
      <c r="T17" s="364"/>
      <c r="U17" s="246"/>
      <c r="AA17" s="60" t="s">
        <v>89</v>
      </c>
      <c r="AB17" s="340">
        <v>0</v>
      </c>
      <c r="AC17" s="340">
        <v>0</v>
      </c>
      <c r="AD17" s="340">
        <v>0</v>
      </c>
      <c r="AE17" s="340">
        <v>0</v>
      </c>
      <c r="AF17" s="342">
        <v>0</v>
      </c>
      <c r="AG17" s="60">
        <f t="shared" si="7"/>
        <v>0</v>
      </c>
      <c r="AH17" s="356"/>
      <c r="AI17" s="345" t="s">
        <v>509</v>
      </c>
      <c r="AJ17" s="345">
        <v>200</v>
      </c>
      <c r="AK17" s="417">
        <v>16.746700000000001</v>
      </c>
      <c r="AL17" s="352"/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10">
        <v>1.5</v>
      </c>
      <c r="H18" s="183">
        <f t="shared" si="3"/>
        <v>320.77244999999999</v>
      </c>
      <c r="I18" s="109">
        <f t="shared" si="8"/>
        <v>236.15170000000001</v>
      </c>
      <c r="J18" s="86">
        <f t="shared" si="11"/>
        <v>71.28276666666666</v>
      </c>
      <c r="K18" s="108" t="s">
        <v>421</v>
      </c>
      <c r="L18" s="108">
        <v>1025.3</v>
      </c>
      <c r="M18" s="108">
        <v>450</v>
      </c>
      <c r="N18" s="107">
        <f t="shared" si="9"/>
        <v>213.84829999999999</v>
      </c>
      <c r="O18" s="244">
        <v>1.5</v>
      </c>
      <c r="P18" s="244">
        <f t="shared" si="5"/>
        <v>320.77244999999999</v>
      </c>
      <c r="Q18" s="203">
        <f t="shared" si="12"/>
        <v>129.22755000000001</v>
      </c>
      <c r="R18" s="83" t="str">
        <f t="shared" si="10"/>
        <v>No</v>
      </c>
      <c r="S18" s="364"/>
      <c r="T18" s="364"/>
      <c r="U18" s="246"/>
      <c r="AA18" s="60" t="s">
        <v>90</v>
      </c>
      <c r="AB18" s="340">
        <v>1</v>
      </c>
      <c r="AC18" s="340">
        <v>0</v>
      </c>
      <c r="AD18" s="340">
        <v>0</v>
      </c>
      <c r="AE18" s="340">
        <v>0</v>
      </c>
      <c r="AF18" s="342">
        <v>0</v>
      </c>
      <c r="AG18" s="60">
        <f t="shared" si="7"/>
        <v>1</v>
      </c>
      <c r="AH18" s="356"/>
      <c r="AI18" s="345" t="s">
        <v>510</v>
      </c>
      <c r="AJ18" s="345">
        <v>250</v>
      </c>
      <c r="AK18" s="417">
        <v>16.886600000000001</v>
      </c>
      <c r="AL18" s="409"/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10">
        <v>1.5</v>
      </c>
      <c r="H19" s="183">
        <f t="shared" si="3"/>
        <v>481.17255</v>
      </c>
      <c r="I19" s="109">
        <f t="shared" si="8"/>
        <v>279.2183</v>
      </c>
      <c r="J19" s="86">
        <f t="shared" si="11"/>
        <v>80.195425</v>
      </c>
      <c r="K19" s="108" t="s">
        <v>420</v>
      </c>
      <c r="L19" s="108">
        <v>440.09</v>
      </c>
      <c r="M19" s="108">
        <v>600</v>
      </c>
      <c r="N19" s="107">
        <f t="shared" si="9"/>
        <v>320.7817</v>
      </c>
      <c r="O19" s="244">
        <v>1.5</v>
      </c>
      <c r="P19" s="244">
        <f t="shared" si="5"/>
        <v>481.17255</v>
      </c>
      <c r="Q19" s="203">
        <f t="shared" si="12"/>
        <v>118.82745</v>
      </c>
      <c r="R19" s="83" t="str">
        <f t="shared" si="10"/>
        <v>No</v>
      </c>
      <c r="S19" s="364"/>
      <c r="T19" s="364"/>
      <c r="U19" s="246"/>
      <c r="AA19" s="60" t="s">
        <v>91</v>
      </c>
      <c r="AB19" s="340">
        <v>0</v>
      </c>
      <c r="AC19" s="340">
        <v>0</v>
      </c>
      <c r="AD19" s="342">
        <v>0</v>
      </c>
      <c r="AE19" s="342">
        <v>0</v>
      </c>
      <c r="AF19" s="342">
        <v>0</v>
      </c>
      <c r="AG19" s="60">
        <f t="shared" si="7"/>
        <v>0</v>
      </c>
      <c r="AH19" s="364"/>
      <c r="AI19" s="346" t="s">
        <v>558</v>
      </c>
      <c r="AJ19" s="346">
        <v>300</v>
      </c>
      <c r="AK19" s="418">
        <v>17</v>
      </c>
      <c r="AL19" s="409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96">
        <v>1.5</v>
      </c>
      <c r="H20" s="183">
        <f t="shared" si="3"/>
        <v>33.525000000000006</v>
      </c>
      <c r="I20" s="95">
        <f t="shared" si="8"/>
        <v>177.65</v>
      </c>
      <c r="J20" s="86">
        <f t="shared" si="11"/>
        <v>16.762500000000003</v>
      </c>
      <c r="K20" s="94" t="s">
        <v>418</v>
      </c>
      <c r="L20" s="94">
        <v>541.49</v>
      </c>
      <c r="M20" s="291">
        <v>150</v>
      </c>
      <c r="N20" s="93">
        <f t="shared" si="9"/>
        <v>22.35</v>
      </c>
      <c r="O20" s="244">
        <v>1.5</v>
      </c>
      <c r="P20" s="244">
        <f t="shared" si="5"/>
        <v>33.525000000000006</v>
      </c>
      <c r="Q20" s="203">
        <f t="shared" si="12"/>
        <v>116.47499999999999</v>
      </c>
      <c r="R20" s="83" t="str">
        <f t="shared" si="10"/>
        <v>No</v>
      </c>
      <c r="S20" s="364"/>
      <c r="T20" s="364"/>
      <c r="U20" s="246"/>
      <c r="AA20" s="60" t="s">
        <v>92</v>
      </c>
      <c r="AB20" s="342">
        <v>0</v>
      </c>
      <c r="AC20" s="342">
        <v>0</v>
      </c>
      <c r="AD20" s="342">
        <v>0</v>
      </c>
      <c r="AE20" s="342">
        <v>0</v>
      </c>
      <c r="AF20" s="342">
        <v>0</v>
      </c>
      <c r="AG20" s="60">
        <f t="shared" si="7"/>
        <v>0</v>
      </c>
      <c r="AH20" s="364"/>
      <c r="AI20" s="409"/>
      <c r="AJ20" s="409"/>
      <c r="AL20" s="409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86">
        <v>1.5</v>
      </c>
      <c r="H21" s="183">
        <f t="shared" si="3"/>
        <v>300.16829999999999</v>
      </c>
      <c r="I21" s="85">
        <f t="shared" si="8"/>
        <v>199.8878</v>
      </c>
      <c r="J21" s="86">
        <f t="shared" si="11"/>
        <v>75.042074999999997</v>
      </c>
      <c r="K21" s="84" t="s">
        <v>416</v>
      </c>
      <c r="L21" s="84">
        <v>733.18499999999995</v>
      </c>
      <c r="M21" s="299">
        <v>300</v>
      </c>
      <c r="N21" s="83">
        <f t="shared" si="9"/>
        <v>200.1122</v>
      </c>
      <c r="O21" s="244">
        <v>1.5</v>
      </c>
      <c r="P21" s="244">
        <f t="shared" si="5"/>
        <v>300.16829999999999</v>
      </c>
      <c r="Q21" s="203">
        <f t="shared" si="12"/>
        <v>-0.1682999999999879</v>
      </c>
      <c r="R21" s="201" t="str">
        <f t="shared" si="10"/>
        <v>Yes</v>
      </c>
      <c r="S21" s="364"/>
      <c r="T21" s="364"/>
      <c r="U21" s="246"/>
      <c r="AA21" s="60" t="s">
        <v>93</v>
      </c>
      <c r="AB21" s="342">
        <v>0</v>
      </c>
      <c r="AC21" s="340">
        <v>1</v>
      </c>
      <c r="AD21" s="342">
        <v>0</v>
      </c>
      <c r="AE21" s="342">
        <v>0</v>
      </c>
      <c r="AF21" s="342">
        <v>0</v>
      </c>
      <c r="AG21" s="60">
        <f t="shared" si="7"/>
        <v>1</v>
      </c>
      <c r="AH21" s="364"/>
      <c r="AI21" s="409"/>
      <c r="AJ21" s="409"/>
      <c r="AL21" s="409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10">
        <v>1.5</v>
      </c>
      <c r="H22" s="183">
        <f t="shared" si="3"/>
        <v>624.22170000000006</v>
      </c>
      <c r="I22" s="109">
        <f t="shared" si="8"/>
        <v>333.85219999999998</v>
      </c>
      <c r="J22" s="86">
        <f t="shared" si="11"/>
        <v>83.229560000000006</v>
      </c>
      <c r="K22" s="108" t="s">
        <v>361</v>
      </c>
      <c r="L22" s="108">
        <v>692.19500000000005</v>
      </c>
      <c r="M22" s="108">
        <v>750</v>
      </c>
      <c r="N22" s="107">
        <f t="shared" si="9"/>
        <v>416.14780000000002</v>
      </c>
      <c r="O22" s="244">
        <v>1.5</v>
      </c>
      <c r="P22" s="244">
        <f t="shared" si="5"/>
        <v>624.22170000000006</v>
      </c>
      <c r="Q22" s="203">
        <f t="shared" si="12"/>
        <v>125.77829999999994</v>
      </c>
      <c r="R22" s="83" t="str">
        <f t="shared" si="10"/>
        <v>No</v>
      </c>
      <c r="S22" s="364"/>
      <c r="T22" s="364"/>
      <c r="U22" s="246"/>
      <c r="AA22" s="60" t="s">
        <v>94</v>
      </c>
      <c r="AB22" s="342">
        <v>2</v>
      </c>
      <c r="AC22" s="340">
        <v>0</v>
      </c>
      <c r="AD22" s="342">
        <v>0</v>
      </c>
      <c r="AE22" s="342">
        <v>0</v>
      </c>
      <c r="AF22" s="342">
        <v>0</v>
      </c>
      <c r="AG22" s="60">
        <f t="shared" si="7"/>
        <v>2</v>
      </c>
      <c r="AH22" s="18"/>
      <c r="AI22" s="18"/>
      <c r="AJ22" s="409"/>
      <c r="AL22" s="409"/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10">
        <v>1.5</v>
      </c>
      <c r="H23" s="183">
        <f t="shared" si="3"/>
        <v>36.154499999999999</v>
      </c>
      <c r="I23" s="109">
        <f t="shared" si="8"/>
        <v>175.89699999999999</v>
      </c>
      <c r="J23" s="86">
        <f t="shared" si="11"/>
        <v>18.077249999999999</v>
      </c>
      <c r="K23" s="108" t="s">
        <v>412</v>
      </c>
      <c r="L23" s="108">
        <v>820.63</v>
      </c>
      <c r="M23" s="298">
        <v>150</v>
      </c>
      <c r="N23" s="107">
        <f t="shared" si="9"/>
        <v>24.103000000000002</v>
      </c>
      <c r="O23" s="244">
        <v>1.5</v>
      </c>
      <c r="P23" s="244">
        <f t="shared" si="5"/>
        <v>36.154499999999999</v>
      </c>
      <c r="Q23" s="203">
        <f t="shared" si="12"/>
        <v>113.8455</v>
      </c>
      <c r="R23" s="83" t="str">
        <f t="shared" si="10"/>
        <v>No</v>
      </c>
      <c r="S23" s="364"/>
      <c r="T23" s="364"/>
      <c r="U23" s="246"/>
      <c r="V23" s="320"/>
      <c r="W23" s="58"/>
      <c r="AA23" s="347" t="s">
        <v>505</v>
      </c>
      <c r="AB23" s="348">
        <v>0</v>
      </c>
      <c r="AC23" s="348">
        <v>0</v>
      </c>
      <c r="AD23" s="348">
        <v>0</v>
      </c>
      <c r="AE23" s="348">
        <v>0</v>
      </c>
      <c r="AF23" s="348">
        <v>0</v>
      </c>
      <c r="AG23" s="347">
        <f t="shared" si="7"/>
        <v>0</v>
      </c>
      <c r="AH23" s="364"/>
      <c r="AI23" s="520" t="s">
        <v>590</v>
      </c>
      <c r="AJ23" s="521"/>
      <c r="AK23" s="521"/>
      <c r="AL23" s="521"/>
      <c r="AM23" s="521"/>
      <c r="AN23" s="522"/>
      <c r="AO23" s="164"/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96">
        <v>1.5</v>
      </c>
      <c r="H24" s="183">
        <f t="shared" si="3"/>
        <v>33.525000000000006</v>
      </c>
      <c r="I24" s="95">
        <f t="shared" si="8"/>
        <v>177.65</v>
      </c>
      <c r="J24" s="86">
        <f t="shared" si="11"/>
        <v>16.762500000000003</v>
      </c>
      <c r="K24" s="94" t="s">
        <v>410</v>
      </c>
      <c r="L24" s="94">
        <v>660.63</v>
      </c>
      <c r="M24" s="291">
        <v>150</v>
      </c>
      <c r="N24" s="93">
        <f t="shared" si="9"/>
        <v>22.35</v>
      </c>
      <c r="O24" s="244">
        <v>1.5</v>
      </c>
      <c r="P24" s="244">
        <f t="shared" si="5"/>
        <v>33.525000000000006</v>
      </c>
      <c r="Q24" s="203">
        <f t="shared" si="12"/>
        <v>116.47499999999999</v>
      </c>
      <c r="R24" s="83" t="str">
        <f t="shared" si="10"/>
        <v>No</v>
      </c>
      <c r="S24" s="364"/>
      <c r="T24" s="364"/>
      <c r="V24" s="553" t="s">
        <v>455</v>
      </c>
      <c r="W24" s="554"/>
      <c r="X24" s="365"/>
      <c r="AA24" s="312" t="s">
        <v>515</v>
      </c>
      <c r="AB24" s="349">
        <f t="shared" ref="AB24:AG24" si="13">SUM(AB12:AB23)</f>
        <v>5</v>
      </c>
      <c r="AC24" s="349">
        <f t="shared" si="13"/>
        <v>2</v>
      </c>
      <c r="AD24" s="349">
        <f t="shared" si="13"/>
        <v>0</v>
      </c>
      <c r="AE24" s="349">
        <f t="shared" si="13"/>
        <v>0</v>
      </c>
      <c r="AF24" s="349">
        <f t="shared" si="13"/>
        <v>0</v>
      </c>
      <c r="AG24" s="350">
        <f t="shared" si="13"/>
        <v>7</v>
      </c>
      <c r="AH24" s="364"/>
      <c r="AI24" s="336" t="s">
        <v>506</v>
      </c>
      <c r="AJ24" s="338" t="s">
        <v>507</v>
      </c>
      <c r="AK24" s="338" t="s">
        <v>508</v>
      </c>
      <c r="AL24" s="338" t="s">
        <v>509</v>
      </c>
      <c r="AM24" s="338" t="s">
        <v>510</v>
      </c>
      <c r="AN24" s="339" t="s">
        <v>558</v>
      </c>
      <c r="AO24" s="312" t="s">
        <v>417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86">
        <v>1.5</v>
      </c>
      <c r="H25" s="183">
        <f t="shared" si="3"/>
        <v>0</v>
      </c>
      <c r="I25" s="85"/>
      <c r="J25" s="183"/>
      <c r="K25" s="84"/>
      <c r="L25" s="84"/>
      <c r="M25" s="84"/>
      <c r="N25" s="83"/>
      <c r="O25" s="244">
        <v>1.5</v>
      </c>
      <c r="P25" s="244">
        <f t="shared" si="5"/>
        <v>0</v>
      </c>
      <c r="Q25" s="82"/>
      <c r="R25" s="83"/>
      <c r="S25" s="356" t="s">
        <v>440</v>
      </c>
      <c r="T25" s="356" t="s">
        <v>457</v>
      </c>
      <c r="V25" s="91"/>
      <c r="W25" s="320"/>
      <c r="X25" s="100"/>
      <c r="AA25" s="312" t="s">
        <v>514</v>
      </c>
      <c r="AB25" s="351">
        <f>PRODUCT(AB24*AK15)</f>
        <v>75</v>
      </c>
      <c r="AC25" s="414">
        <f>PRODUCT(AC24*AK16)</f>
        <v>32.7378</v>
      </c>
      <c r="AD25" s="414">
        <f>PRODUCT(AD24*AK17)</f>
        <v>0</v>
      </c>
      <c r="AE25" s="414">
        <f>PRODUCT(AE24*AK18)</f>
        <v>0</v>
      </c>
      <c r="AF25" s="414">
        <f>PRODUCT(AF24*AK19)</f>
        <v>0</v>
      </c>
      <c r="AG25" s="415">
        <f>SUM(AB25:AF25)</f>
        <v>107.73779999999999</v>
      </c>
      <c r="AH25" s="364"/>
      <c r="AI25" s="60" t="s">
        <v>84</v>
      </c>
      <c r="AJ25" s="342">
        <f>AB12+AB32</f>
        <v>0</v>
      </c>
      <c r="AK25" s="342">
        <f t="shared" ref="AK25:AN36" si="14">AC12+AC32</f>
        <v>8</v>
      </c>
      <c r="AL25" s="342">
        <f t="shared" si="14"/>
        <v>3</v>
      </c>
      <c r="AM25" s="342">
        <f t="shared" si="14"/>
        <v>2</v>
      </c>
      <c r="AN25" s="342">
        <f t="shared" si="14"/>
        <v>0</v>
      </c>
      <c r="AO25" s="343">
        <f>SUM(AJ25:AN25)</f>
        <v>13</v>
      </c>
    </row>
    <row r="26" spans="1:41" ht="15" customHeight="1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86">
        <v>1.5</v>
      </c>
      <c r="H26" s="183">
        <f t="shared" si="3"/>
        <v>996.77129999999988</v>
      </c>
      <c r="I26" s="85">
        <f t="shared" ref="I26:I56" si="15">E26-F26</f>
        <v>535.48580000000004</v>
      </c>
      <c r="J26" s="85">
        <f>H26/E26*100</f>
        <v>83.064274999999981</v>
      </c>
      <c r="K26" s="84" t="s">
        <v>405</v>
      </c>
      <c r="L26" s="84">
        <v>799.22</v>
      </c>
      <c r="M26" s="299">
        <v>900</v>
      </c>
      <c r="N26" s="83">
        <f t="shared" ref="N26:N56" si="16">F26</f>
        <v>664.51419999999996</v>
      </c>
      <c r="O26" s="244">
        <v>1.5</v>
      </c>
      <c r="P26" s="244">
        <f t="shared" si="5"/>
        <v>996.77129999999988</v>
      </c>
      <c r="Q26" s="82">
        <f>M26-P26</f>
        <v>-96.771299999999883</v>
      </c>
      <c r="R26" s="218" t="str">
        <f t="shared" ref="R26:R56" si="17">IF(Q26&gt;=0,"No","Yes")</f>
        <v>Yes</v>
      </c>
      <c r="S26" s="557" t="s">
        <v>14</v>
      </c>
      <c r="T26" s="555">
        <v>23</v>
      </c>
      <c r="V26" s="302" t="s">
        <v>390</v>
      </c>
      <c r="W26" s="363" t="s">
        <v>389</v>
      </c>
      <c r="X26" s="303" t="s">
        <v>388</v>
      </c>
      <c r="AA26" s="312" t="s">
        <v>513</v>
      </c>
      <c r="AB26" s="351">
        <f>AB24*AJ15</f>
        <v>500</v>
      </c>
      <c r="AC26" s="351">
        <f>AC24*AJ16</f>
        <v>300</v>
      </c>
      <c r="AD26" s="351">
        <f>AD24*AJ17</f>
        <v>0</v>
      </c>
      <c r="AE26" s="351">
        <f>AE24*AJ18</f>
        <v>0</v>
      </c>
      <c r="AF26" s="351">
        <f>AF24*AJ19</f>
        <v>0</v>
      </c>
      <c r="AG26" s="312">
        <f>SUM(AB26:AF26)</f>
        <v>800</v>
      </c>
      <c r="AH26" s="364"/>
      <c r="AI26" s="60" t="s">
        <v>85</v>
      </c>
      <c r="AJ26" s="342">
        <f t="shared" ref="AJ26:AJ36" si="18">AB13+AB33</f>
        <v>0</v>
      </c>
      <c r="AK26" s="342">
        <f t="shared" si="14"/>
        <v>11</v>
      </c>
      <c r="AL26" s="342">
        <f t="shared" si="14"/>
        <v>6</v>
      </c>
      <c r="AM26" s="342">
        <f t="shared" si="14"/>
        <v>0</v>
      </c>
      <c r="AN26" s="342">
        <f t="shared" si="14"/>
        <v>4</v>
      </c>
      <c r="AO26" s="60">
        <f t="shared" ref="AO26:AO36" si="19">SUM(AJ26:AN26)</f>
        <v>21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55">
        <v>1.5</v>
      </c>
      <c r="H27" s="183">
        <f t="shared" si="3"/>
        <v>637.00244999999995</v>
      </c>
      <c r="I27" s="154">
        <f t="shared" si="15"/>
        <v>475.33170000000001</v>
      </c>
      <c r="J27" s="85">
        <f t="shared" ref="J27:J56" si="20">H27/E27*100</f>
        <v>70.778049999999993</v>
      </c>
      <c r="K27" s="153" t="s">
        <v>404</v>
      </c>
      <c r="L27" s="153">
        <v>973.76</v>
      </c>
      <c r="M27" s="153">
        <v>900</v>
      </c>
      <c r="N27" s="71">
        <f t="shared" si="16"/>
        <v>424.66829999999999</v>
      </c>
      <c r="O27" s="244">
        <v>1.5</v>
      </c>
      <c r="P27" s="244">
        <f t="shared" si="5"/>
        <v>637.00244999999995</v>
      </c>
      <c r="Q27" s="82">
        <f t="shared" ref="Q27:Q56" si="21">M27-P27</f>
        <v>262.99755000000005</v>
      </c>
      <c r="R27" s="201" t="str">
        <f t="shared" si="17"/>
        <v>No</v>
      </c>
      <c r="S27" s="558"/>
      <c r="T27" s="556"/>
      <c r="V27" s="133" t="s">
        <v>14</v>
      </c>
      <c r="W27" s="132">
        <v>23</v>
      </c>
      <c r="X27" s="100">
        <f>(W27/200)*100</f>
        <v>11.5</v>
      </c>
      <c r="AA27" s="409"/>
      <c r="AB27" s="409"/>
      <c r="AC27" s="409"/>
      <c r="AD27" s="409"/>
      <c r="AE27" s="409"/>
      <c r="AF27" s="409"/>
      <c r="AG27" s="409"/>
      <c r="AI27" s="60" t="s">
        <v>86</v>
      </c>
      <c r="AJ27" s="342">
        <f t="shared" si="18"/>
        <v>0</v>
      </c>
      <c r="AK27" s="342">
        <f t="shared" si="14"/>
        <v>0</v>
      </c>
      <c r="AL27" s="342">
        <f t="shared" si="14"/>
        <v>4</v>
      </c>
      <c r="AM27" s="342">
        <f t="shared" si="14"/>
        <v>0</v>
      </c>
      <c r="AN27" s="342">
        <f t="shared" si="14"/>
        <v>2</v>
      </c>
      <c r="AO27" s="60">
        <f t="shared" si="19"/>
        <v>6</v>
      </c>
    </row>
    <row r="28" spans="1:41" ht="15" customHeight="1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96">
        <v>1.5</v>
      </c>
      <c r="H28" s="183">
        <f t="shared" si="3"/>
        <v>621.76125000000002</v>
      </c>
      <c r="I28" s="95">
        <f t="shared" si="15"/>
        <v>385.49250000000001</v>
      </c>
      <c r="J28" s="85">
        <f t="shared" si="20"/>
        <v>77.720156250000002</v>
      </c>
      <c r="K28" s="94" t="s">
        <v>402</v>
      </c>
      <c r="L28" s="94">
        <v>849.47500000000002</v>
      </c>
      <c r="M28" s="291">
        <v>600</v>
      </c>
      <c r="N28" s="93">
        <f t="shared" si="16"/>
        <v>414.50749999999999</v>
      </c>
      <c r="O28" s="244">
        <v>1.5</v>
      </c>
      <c r="P28" s="244">
        <f t="shared" si="5"/>
        <v>621.76125000000002</v>
      </c>
      <c r="Q28" s="82">
        <f t="shared" si="21"/>
        <v>-21.761250000000018</v>
      </c>
      <c r="R28" s="201" t="str">
        <f t="shared" si="17"/>
        <v>Yes</v>
      </c>
      <c r="S28" s="357"/>
      <c r="T28" s="360"/>
      <c r="V28" s="133" t="s">
        <v>16</v>
      </c>
      <c r="W28" s="132">
        <v>68</v>
      </c>
      <c r="X28" s="100">
        <f>(W28/150)*100</f>
        <v>45.333333333333329</v>
      </c>
      <c r="AA28" s="409"/>
      <c r="AB28" s="409"/>
      <c r="AC28" s="409"/>
      <c r="AD28" s="409"/>
      <c r="AE28" s="409"/>
      <c r="AF28" s="409"/>
      <c r="AG28" s="409"/>
      <c r="AH28" s="364"/>
      <c r="AI28" s="60" t="s">
        <v>87</v>
      </c>
      <c r="AJ28" s="342">
        <f t="shared" si="18"/>
        <v>1</v>
      </c>
      <c r="AK28" s="342">
        <f t="shared" si="14"/>
        <v>21</v>
      </c>
      <c r="AL28" s="342">
        <f t="shared" si="14"/>
        <v>27</v>
      </c>
      <c r="AM28" s="342">
        <f t="shared" si="14"/>
        <v>15</v>
      </c>
      <c r="AN28" s="342">
        <f t="shared" si="14"/>
        <v>0</v>
      </c>
      <c r="AO28" s="60">
        <f t="shared" si="19"/>
        <v>64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96">
        <v>1.5</v>
      </c>
      <c r="H29" s="183">
        <f t="shared" si="3"/>
        <v>278.15129999999999</v>
      </c>
      <c r="I29" s="95">
        <f t="shared" si="15"/>
        <v>264.56579999999997</v>
      </c>
      <c r="J29" s="85">
        <f t="shared" si="20"/>
        <v>61.811399999999992</v>
      </c>
      <c r="K29" s="94" t="s">
        <v>385</v>
      </c>
      <c r="L29" s="94">
        <v>975.03499999999997</v>
      </c>
      <c r="M29" s="94">
        <v>450</v>
      </c>
      <c r="N29" s="93">
        <f t="shared" si="16"/>
        <v>185.4342</v>
      </c>
      <c r="O29" s="244">
        <v>1.5</v>
      </c>
      <c r="P29" s="244">
        <f t="shared" si="5"/>
        <v>278.15129999999999</v>
      </c>
      <c r="Q29" s="82">
        <f t="shared" si="21"/>
        <v>171.84870000000001</v>
      </c>
      <c r="R29" s="201" t="str">
        <f t="shared" si="17"/>
        <v>No</v>
      </c>
      <c r="S29" s="359"/>
      <c r="T29" s="361"/>
      <c r="V29" s="133" t="s">
        <v>19</v>
      </c>
      <c r="W29" s="132">
        <v>140</v>
      </c>
      <c r="X29" s="100"/>
      <c r="AA29" s="409"/>
      <c r="AB29" s="409"/>
      <c r="AC29" s="409"/>
      <c r="AD29" s="409"/>
      <c r="AE29" s="409"/>
      <c r="AF29" s="409"/>
      <c r="AG29" s="409"/>
      <c r="AH29" s="364"/>
      <c r="AI29" s="60" t="s">
        <v>88</v>
      </c>
      <c r="AJ29" s="342">
        <f t="shared" si="18"/>
        <v>1</v>
      </c>
      <c r="AK29" s="342">
        <f t="shared" si="14"/>
        <v>0</v>
      </c>
      <c r="AL29" s="342">
        <f t="shared" si="14"/>
        <v>13</v>
      </c>
      <c r="AM29" s="342">
        <f t="shared" si="14"/>
        <v>1</v>
      </c>
      <c r="AN29" s="342">
        <f t="shared" si="14"/>
        <v>0</v>
      </c>
      <c r="AO29" s="60">
        <f t="shared" si="19"/>
        <v>15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10">
        <v>1.5</v>
      </c>
      <c r="H30" s="183">
        <f t="shared" si="3"/>
        <v>320.77244999999999</v>
      </c>
      <c r="I30" s="109">
        <f t="shared" si="15"/>
        <v>236.15170000000001</v>
      </c>
      <c r="J30" s="85">
        <f t="shared" si="20"/>
        <v>71.28276666666666</v>
      </c>
      <c r="K30" s="108" t="s">
        <v>399</v>
      </c>
      <c r="L30" s="108">
        <v>1347.24</v>
      </c>
      <c r="M30" s="298">
        <v>300</v>
      </c>
      <c r="N30" s="107">
        <f t="shared" si="16"/>
        <v>213.84829999999999</v>
      </c>
      <c r="O30" s="244">
        <v>1.5</v>
      </c>
      <c r="P30" s="244">
        <f t="shared" si="5"/>
        <v>320.77244999999999</v>
      </c>
      <c r="Q30" s="82">
        <f t="shared" si="21"/>
        <v>-20.772449999999992</v>
      </c>
      <c r="R30" s="218" t="str">
        <f t="shared" si="17"/>
        <v>Yes</v>
      </c>
      <c r="S30" s="359" t="s">
        <v>16</v>
      </c>
      <c r="T30" s="361">
        <v>68</v>
      </c>
      <c r="V30" s="91">
        <v>0</v>
      </c>
      <c r="W30" s="320">
        <v>0</v>
      </c>
      <c r="X30" s="100"/>
      <c r="AA30" s="520" t="s">
        <v>589</v>
      </c>
      <c r="AB30" s="521"/>
      <c r="AC30" s="521"/>
      <c r="AD30" s="521"/>
      <c r="AE30" s="521"/>
      <c r="AF30" s="522"/>
      <c r="AG30" s="164"/>
      <c r="AH30" s="364"/>
      <c r="AI30" s="60" t="s">
        <v>89</v>
      </c>
      <c r="AJ30" s="342">
        <f t="shared" si="18"/>
        <v>0</v>
      </c>
      <c r="AK30" s="342">
        <f t="shared" si="14"/>
        <v>13</v>
      </c>
      <c r="AL30" s="342">
        <f t="shared" si="14"/>
        <v>1</v>
      </c>
      <c r="AM30" s="342">
        <f t="shared" si="14"/>
        <v>1</v>
      </c>
      <c r="AN30" s="342">
        <f t="shared" si="14"/>
        <v>0</v>
      </c>
      <c r="AO30" s="60">
        <f t="shared" si="19"/>
        <v>15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96">
        <v>1.5</v>
      </c>
      <c r="H31" s="183">
        <f t="shared" si="3"/>
        <v>481.17255</v>
      </c>
      <c r="I31" s="95">
        <f t="shared" si="15"/>
        <v>279.2183</v>
      </c>
      <c r="J31" s="85">
        <f t="shared" si="20"/>
        <v>80.195425</v>
      </c>
      <c r="K31" s="94" t="s">
        <v>397</v>
      </c>
      <c r="L31" s="94">
        <v>762.03</v>
      </c>
      <c r="M31" s="291">
        <v>450</v>
      </c>
      <c r="N31" s="93">
        <f t="shared" si="16"/>
        <v>320.7817</v>
      </c>
      <c r="O31" s="244">
        <v>1.5</v>
      </c>
      <c r="P31" s="244">
        <f t="shared" si="5"/>
        <v>481.17255</v>
      </c>
      <c r="Q31" s="82">
        <f t="shared" si="21"/>
        <v>-31.172550000000001</v>
      </c>
      <c r="R31" s="218" t="str">
        <f t="shared" si="17"/>
        <v>Yes</v>
      </c>
      <c r="S31" s="359"/>
      <c r="T31" s="361"/>
      <c r="V31" s="304" t="s">
        <v>20</v>
      </c>
      <c r="W31" s="234">
        <v>192</v>
      </c>
      <c r="X31" s="90"/>
      <c r="Y31" s="320"/>
      <c r="Z31" s="17"/>
      <c r="AA31" s="336" t="s">
        <v>506</v>
      </c>
      <c r="AB31" s="338" t="s">
        <v>507</v>
      </c>
      <c r="AC31" s="338" t="s">
        <v>508</v>
      </c>
      <c r="AD31" s="338" t="s">
        <v>509</v>
      </c>
      <c r="AE31" s="338" t="s">
        <v>510</v>
      </c>
      <c r="AF31" s="339" t="s">
        <v>558</v>
      </c>
      <c r="AG31" s="312" t="s">
        <v>417</v>
      </c>
      <c r="AH31" s="364"/>
      <c r="AI31" s="60" t="s">
        <v>90</v>
      </c>
      <c r="AJ31" s="342">
        <f t="shared" si="18"/>
        <v>1</v>
      </c>
      <c r="AK31" s="342">
        <f t="shared" si="14"/>
        <v>0</v>
      </c>
      <c r="AL31" s="342">
        <f t="shared" si="14"/>
        <v>1</v>
      </c>
      <c r="AM31" s="342">
        <f t="shared" si="14"/>
        <v>2</v>
      </c>
      <c r="AN31" s="342">
        <f t="shared" si="14"/>
        <v>2</v>
      </c>
      <c r="AO31" s="60">
        <f t="shared" si="19"/>
        <v>6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96">
        <v>1.5</v>
      </c>
      <c r="H32" s="183">
        <f t="shared" si="3"/>
        <v>416.36130000000003</v>
      </c>
      <c r="I32" s="95">
        <f t="shared" si="15"/>
        <v>222.42579999999998</v>
      </c>
      <c r="J32" s="85">
        <f t="shared" si="20"/>
        <v>83.272260000000003</v>
      </c>
      <c r="K32" s="94" t="s">
        <v>394</v>
      </c>
      <c r="L32" s="94">
        <v>922.03</v>
      </c>
      <c r="M32" s="291">
        <v>300</v>
      </c>
      <c r="N32" s="107">
        <f t="shared" si="16"/>
        <v>277.57420000000002</v>
      </c>
      <c r="O32" s="244">
        <v>1.5</v>
      </c>
      <c r="P32" s="244">
        <f t="shared" si="5"/>
        <v>416.36130000000003</v>
      </c>
      <c r="Q32" s="82">
        <f t="shared" si="21"/>
        <v>-116.36130000000003</v>
      </c>
      <c r="R32" s="201" t="str">
        <f t="shared" si="17"/>
        <v>Yes</v>
      </c>
      <c r="S32" s="358"/>
      <c r="T32" s="362"/>
      <c r="V32" s="163" t="s">
        <v>369</v>
      </c>
      <c r="W32" s="252">
        <f>SUM(W27:W31)</f>
        <v>423</v>
      </c>
      <c r="X32" s="320"/>
      <c r="Y32" s="320"/>
      <c r="AA32" s="60" t="s">
        <v>84</v>
      </c>
      <c r="AB32" s="342">
        <v>0</v>
      </c>
      <c r="AC32" s="342">
        <f>8</f>
        <v>8</v>
      </c>
      <c r="AD32" s="412">
        <f>2+1</f>
        <v>3</v>
      </c>
      <c r="AE32" s="412">
        <f>2</f>
        <v>2</v>
      </c>
      <c r="AF32" s="342">
        <v>0</v>
      </c>
      <c r="AG32" s="343">
        <f>SUM(AB32:AF32)</f>
        <v>13</v>
      </c>
      <c r="AH32" s="364"/>
      <c r="AI32" s="60" t="s">
        <v>91</v>
      </c>
      <c r="AJ32" s="342">
        <f t="shared" si="18"/>
        <v>0</v>
      </c>
      <c r="AK32" s="342">
        <f t="shared" si="14"/>
        <v>17</v>
      </c>
      <c r="AL32" s="342">
        <f t="shared" si="14"/>
        <v>3</v>
      </c>
      <c r="AM32" s="342">
        <f t="shared" si="14"/>
        <v>2</v>
      </c>
      <c r="AN32" s="342">
        <f t="shared" si="14"/>
        <v>0</v>
      </c>
      <c r="AO32" s="60">
        <f t="shared" si="19"/>
        <v>22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86">
        <v>1.5</v>
      </c>
      <c r="H33" s="183">
        <f t="shared" si="3"/>
        <v>890.08500000000004</v>
      </c>
      <c r="I33" s="85">
        <f t="shared" si="15"/>
        <v>606.61</v>
      </c>
      <c r="J33" s="85">
        <f t="shared" si="20"/>
        <v>74.173749999999998</v>
      </c>
      <c r="K33" s="84" t="s">
        <v>391</v>
      </c>
      <c r="L33" s="84">
        <v>778.62</v>
      </c>
      <c r="M33" s="84">
        <v>1200</v>
      </c>
      <c r="N33" s="83">
        <f t="shared" si="16"/>
        <v>593.39</v>
      </c>
      <c r="O33" s="244">
        <v>1.5</v>
      </c>
      <c r="P33" s="244">
        <f t="shared" si="5"/>
        <v>890.08500000000004</v>
      </c>
      <c r="Q33" s="82">
        <f t="shared" si="21"/>
        <v>309.91499999999996</v>
      </c>
      <c r="R33" s="201" t="str">
        <f t="shared" si="17"/>
        <v>No</v>
      </c>
      <c r="S33" s="233"/>
      <c r="T33" s="233"/>
      <c r="U33" s="246"/>
      <c r="V33" s="251" t="s">
        <v>365</v>
      </c>
      <c r="W33" s="250">
        <f>W32/E57</f>
        <v>1.4053156146179403E-2</v>
      </c>
      <c r="X33" s="320"/>
      <c r="AA33" s="60" t="s">
        <v>85</v>
      </c>
      <c r="AB33" s="342">
        <v>0</v>
      </c>
      <c r="AC33" s="342">
        <f>5+3+3</f>
        <v>11</v>
      </c>
      <c r="AD33" s="342">
        <f>4+2</f>
        <v>6</v>
      </c>
      <c r="AE33" s="342">
        <v>0</v>
      </c>
      <c r="AF33" s="342">
        <f>2+2</f>
        <v>4</v>
      </c>
      <c r="AG33" s="60">
        <f t="shared" ref="AG33:AG43" si="22">SUM(AB33:AF33)</f>
        <v>21</v>
      </c>
      <c r="AH33" s="364"/>
      <c r="AI33" s="60" t="s">
        <v>92</v>
      </c>
      <c r="AJ33" s="342">
        <f t="shared" si="18"/>
        <v>0</v>
      </c>
      <c r="AK33" s="342">
        <f t="shared" si="14"/>
        <v>6</v>
      </c>
      <c r="AL33" s="342">
        <f t="shared" si="14"/>
        <v>13</v>
      </c>
      <c r="AM33" s="342">
        <f t="shared" si="14"/>
        <v>0</v>
      </c>
      <c r="AN33" s="342">
        <f t="shared" si="14"/>
        <v>0</v>
      </c>
      <c r="AO33" s="60">
        <f t="shared" si="19"/>
        <v>19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10">
        <v>1.5</v>
      </c>
      <c r="H34" s="183">
        <f t="shared" si="3"/>
        <v>278.15129999999999</v>
      </c>
      <c r="I34" s="109">
        <f t="shared" si="15"/>
        <v>264.56579999999997</v>
      </c>
      <c r="J34" s="85">
        <f t="shared" si="20"/>
        <v>61.811399999999992</v>
      </c>
      <c r="K34" s="108" t="s">
        <v>385</v>
      </c>
      <c r="L34" s="108">
        <v>975.03499999999997</v>
      </c>
      <c r="M34" s="108">
        <v>450</v>
      </c>
      <c r="N34" s="107">
        <f t="shared" si="16"/>
        <v>185.4342</v>
      </c>
      <c r="O34" s="244">
        <v>1.5</v>
      </c>
      <c r="P34" s="244">
        <f t="shared" si="5"/>
        <v>278.15129999999999</v>
      </c>
      <c r="Q34" s="82">
        <f t="shared" si="21"/>
        <v>171.84870000000001</v>
      </c>
      <c r="R34" s="201" t="str">
        <f t="shared" si="17"/>
        <v>No</v>
      </c>
      <c r="S34" s="364"/>
      <c r="T34" s="364"/>
      <c r="U34" s="246"/>
      <c r="V34" s="135"/>
      <c r="W34" s="135"/>
      <c r="X34" s="135"/>
      <c r="AA34" s="60" t="s">
        <v>86</v>
      </c>
      <c r="AB34" s="342">
        <v>0</v>
      </c>
      <c r="AC34" s="342">
        <v>0</v>
      </c>
      <c r="AD34" s="340">
        <f>3+1</f>
        <v>4</v>
      </c>
      <c r="AE34" s="342">
        <v>0</v>
      </c>
      <c r="AF34" s="342">
        <f>2</f>
        <v>2</v>
      </c>
      <c r="AG34" s="60">
        <f t="shared" si="22"/>
        <v>6</v>
      </c>
      <c r="AH34" s="364"/>
      <c r="AI34" s="60" t="s">
        <v>93</v>
      </c>
      <c r="AJ34" s="342">
        <f t="shared" si="18"/>
        <v>0</v>
      </c>
      <c r="AK34" s="342">
        <f t="shared" si="14"/>
        <v>1</v>
      </c>
      <c r="AL34" s="342">
        <f t="shared" si="14"/>
        <v>3</v>
      </c>
      <c r="AM34" s="342">
        <f t="shared" si="14"/>
        <v>6</v>
      </c>
      <c r="AN34" s="342">
        <f t="shared" si="14"/>
        <v>0</v>
      </c>
      <c r="AO34" s="60">
        <f t="shared" si="19"/>
        <v>10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96">
        <v>1.5</v>
      </c>
      <c r="H35" s="183">
        <f t="shared" si="3"/>
        <v>737.21355000000005</v>
      </c>
      <c r="I35" s="95">
        <f t="shared" si="15"/>
        <v>408.52429999999998</v>
      </c>
      <c r="J35" s="85">
        <f t="shared" si="20"/>
        <v>81.912616666666665</v>
      </c>
      <c r="K35" s="94" t="s">
        <v>381</v>
      </c>
      <c r="L35" s="94">
        <v>660.12</v>
      </c>
      <c r="M35" s="94">
        <v>900</v>
      </c>
      <c r="N35" s="93">
        <f t="shared" si="16"/>
        <v>491.47570000000002</v>
      </c>
      <c r="O35" s="244">
        <v>1.5</v>
      </c>
      <c r="P35" s="244">
        <f t="shared" si="5"/>
        <v>737.21355000000005</v>
      </c>
      <c r="Q35" s="82">
        <f t="shared" si="21"/>
        <v>162.78644999999995</v>
      </c>
      <c r="R35" s="201" t="str">
        <f t="shared" si="17"/>
        <v>No</v>
      </c>
      <c r="S35" s="364"/>
      <c r="T35" s="364"/>
      <c r="U35" s="246"/>
      <c r="V35" s="249"/>
      <c r="W35" s="135"/>
      <c r="X35" s="135"/>
      <c r="Y35" s="320"/>
      <c r="AA35" s="60" t="s">
        <v>87</v>
      </c>
      <c r="AB35" s="342">
        <v>0</v>
      </c>
      <c r="AC35" s="413">
        <f>8+6+6</f>
        <v>20</v>
      </c>
      <c r="AD35" s="342">
        <f>4+3+6+11+3</f>
        <v>27</v>
      </c>
      <c r="AE35" s="342">
        <f>2+6+7</f>
        <v>15</v>
      </c>
      <c r="AF35" s="342">
        <v>0</v>
      </c>
      <c r="AG35" s="60">
        <f t="shared" si="22"/>
        <v>62</v>
      </c>
      <c r="AH35" s="364"/>
      <c r="AI35" s="60" t="s">
        <v>94</v>
      </c>
      <c r="AJ35" s="342">
        <f t="shared" si="18"/>
        <v>2</v>
      </c>
      <c r="AK35" s="342">
        <f t="shared" si="14"/>
        <v>2</v>
      </c>
      <c r="AL35" s="342">
        <f t="shared" si="14"/>
        <v>3</v>
      </c>
      <c r="AM35" s="342">
        <f t="shared" si="14"/>
        <v>7</v>
      </c>
      <c r="AN35" s="342">
        <f t="shared" si="14"/>
        <v>0</v>
      </c>
      <c r="AO35" s="60">
        <f t="shared" si="19"/>
        <v>14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86">
        <v>1.5</v>
      </c>
      <c r="H36" s="183">
        <f t="shared" si="3"/>
        <v>320.77244999999999</v>
      </c>
      <c r="I36" s="85">
        <f t="shared" si="15"/>
        <v>236.15170000000001</v>
      </c>
      <c r="J36" s="85">
        <f t="shared" si="20"/>
        <v>71.28276666666666</v>
      </c>
      <c r="K36" s="84" t="s">
        <v>377</v>
      </c>
      <c r="L36" s="84">
        <v>844.89</v>
      </c>
      <c r="M36" s="84">
        <v>450</v>
      </c>
      <c r="N36" s="83">
        <f t="shared" si="16"/>
        <v>213.84829999999999</v>
      </c>
      <c r="O36" s="244">
        <v>1.5</v>
      </c>
      <c r="P36" s="244">
        <f t="shared" si="5"/>
        <v>320.77244999999999</v>
      </c>
      <c r="Q36" s="82">
        <f t="shared" si="21"/>
        <v>129.22755000000001</v>
      </c>
      <c r="R36" s="201" t="str">
        <f t="shared" si="17"/>
        <v>No</v>
      </c>
      <c r="S36" s="364"/>
      <c r="T36" s="364"/>
      <c r="U36" s="246"/>
      <c r="AA36" s="60" t="s">
        <v>88</v>
      </c>
      <c r="AB36" s="342">
        <v>0</v>
      </c>
      <c r="AC36" s="342">
        <v>0</v>
      </c>
      <c r="AD36" s="342">
        <f>2+2+1+6+1+1</f>
        <v>13</v>
      </c>
      <c r="AE36" s="342">
        <f>1</f>
        <v>1</v>
      </c>
      <c r="AF36" s="342">
        <v>0</v>
      </c>
      <c r="AG36" s="60">
        <f t="shared" si="22"/>
        <v>14</v>
      </c>
      <c r="AH36" s="364"/>
      <c r="AI36" s="347" t="s">
        <v>505</v>
      </c>
      <c r="AJ36" s="342">
        <f t="shared" si="18"/>
        <v>0</v>
      </c>
      <c r="AK36" s="342">
        <f t="shared" si="14"/>
        <v>1</v>
      </c>
      <c r="AL36" s="342">
        <f t="shared" si="14"/>
        <v>3</v>
      </c>
      <c r="AM36" s="342">
        <f t="shared" si="14"/>
        <v>0</v>
      </c>
      <c r="AN36" s="342">
        <f t="shared" si="14"/>
        <v>0</v>
      </c>
      <c r="AO36" s="347">
        <f t="shared" si="19"/>
        <v>4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96">
        <v>1.5</v>
      </c>
      <c r="H37" s="183">
        <f t="shared" si="3"/>
        <v>1726.992</v>
      </c>
      <c r="I37" s="95">
        <f t="shared" si="15"/>
        <v>1048.672</v>
      </c>
      <c r="J37" s="85">
        <f t="shared" si="20"/>
        <v>78.499636363636355</v>
      </c>
      <c r="K37" s="94" t="s">
        <v>374</v>
      </c>
      <c r="L37" s="94">
        <v>503.42500000000001</v>
      </c>
      <c r="M37" s="94">
        <v>2200</v>
      </c>
      <c r="N37" s="93">
        <f t="shared" si="16"/>
        <v>1151.328</v>
      </c>
      <c r="O37" s="244">
        <v>1.5</v>
      </c>
      <c r="P37" s="244">
        <f t="shared" si="5"/>
        <v>1726.992</v>
      </c>
      <c r="Q37" s="82">
        <f t="shared" si="21"/>
        <v>473.00800000000004</v>
      </c>
      <c r="R37" s="201" t="str">
        <f t="shared" si="17"/>
        <v>No</v>
      </c>
      <c r="S37" s="248"/>
      <c r="T37" s="248"/>
      <c r="U37" s="246"/>
      <c r="AA37" s="60" t="s">
        <v>89</v>
      </c>
      <c r="AB37" s="342">
        <v>0</v>
      </c>
      <c r="AC37" s="342">
        <f>5+6+2</f>
        <v>13</v>
      </c>
      <c r="AD37" s="342">
        <f>1</f>
        <v>1</v>
      </c>
      <c r="AE37" s="342">
        <f>1</f>
        <v>1</v>
      </c>
      <c r="AF37" s="342">
        <v>0</v>
      </c>
      <c r="AG37" s="60">
        <f t="shared" si="22"/>
        <v>15</v>
      </c>
      <c r="AH37" s="364"/>
      <c r="AI37" s="312" t="s">
        <v>515</v>
      </c>
      <c r="AJ37" s="349">
        <f t="shared" ref="AJ37:AO37" si="23">SUM(AJ25:AJ36)</f>
        <v>5</v>
      </c>
      <c r="AK37" s="349">
        <f t="shared" si="23"/>
        <v>80</v>
      </c>
      <c r="AL37" s="349">
        <f t="shared" si="23"/>
        <v>80</v>
      </c>
      <c r="AM37" s="349">
        <f t="shared" si="23"/>
        <v>36</v>
      </c>
      <c r="AN37" s="349">
        <f t="shared" si="23"/>
        <v>8</v>
      </c>
      <c r="AO37" s="350">
        <f t="shared" si="23"/>
        <v>209</v>
      </c>
    </row>
    <row r="38" spans="1:41" ht="13.5" thickBot="1">
      <c r="A38" s="35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86">
        <v>1.5</v>
      </c>
      <c r="H38" s="183">
        <f t="shared" si="3"/>
        <v>1169.28495</v>
      </c>
      <c r="I38" s="85">
        <f t="shared" si="15"/>
        <v>720.47670000000005</v>
      </c>
      <c r="J38" s="85">
        <f t="shared" si="20"/>
        <v>77.952330000000003</v>
      </c>
      <c r="K38" s="84" t="s">
        <v>371</v>
      </c>
      <c r="L38" s="84">
        <v>539.80499999999995</v>
      </c>
      <c r="M38" s="299">
        <v>900</v>
      </c>
      <c r="N38" s="83">
        <f t="shared" si="16"/>
        <v>779.52329999999995</v>
      </c>
      <c r="O38" s="244">
        <v>1.5</v>
      </c>
      <c r="P38" s="244">
        <f t="shared" si="5"/>
        <v>1169.28495</v>
      </c>
      <c r="Q38" s="82">
        <f t="shared" si="21"/>
        <v>-269.28494999999998</v>
      </c>
      <c r="R38" s="218" t="str">
        <f t="shared" si="17"/>
        <v>Yes</v>
      </c>
      <c r="S38" s="220" t="s">
        <v>19</v>
      </c>
      <c r="T38" s="219">
        <v>140</v>
      </c>
      <c r="AA38" s="60" t="s">
        <v>90</v>
      </c>
      <c r="AB38" s="342">
        <v>0</v>
      </c>
      <c r="AC38" s="340">
        <v>0</v>
      </c>
      <c r="AD38" s="340">
        <f>1</f>
        <v>1</v>
      </c>
      <c r="AE38" s="342">
        <f>2</f>
        <v>2</v>
      </c>
      <c r="AF38" s="342">
        <f>2</f>
        <v>2</v>
      </c>
      <c r="AG38" s="60">
        <f t="shared" si="22"/>
        <v>5</v>
      </c>
      <c r="AH38" s="364"/>
      <c r="AI38" s="312" t="s">
        <v>514</v>
      </c>
      <c r="AJ38" s="351">
        <f>PRODUCT(AJ37*AK15)</f>
        <v>75</v>
      </c>
      <c r="AK38" s="414">
        <f>PRODUCT(AK37*AK16)</f>
        <v>1309.5119999999999</v>
      </c>
      <c r="AL38" s="414">
        <f>PRODUCT(AL37*AK17)</f>
        <v>1339.7360000000001</v>
      </c>
      <c r="AM38" s="414">
        <f>PRODUCT(AM37*AK18)</f>
        <v>607.91759999999999</v>
      </c>
      <c r="AN38" s="414">
        <f>PRODUCT(AN37*AK19)</f>
        <v>136</v>
      </c>
      <c r="AO38" s="415">
        <f>SUM(AJ38:AN38)</f>
        <v>3468.1656000000003</v>
      </c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86">
        <v>1.5</v>
      </c>
      <c r="H39" s="183">
        <f t="shared" si="3"/>
        <v>1329.2317499999999</v>
      </c>
      <c r="I39" s="85">
        <f t="shared" si="15"/>
        <v>863.84550000000002</v>
      </c>
      <c r="J39" s="85">
        <f t="shared" si="20"/>
        <v>75.956099999999992</v>
      </c>
      <c r="K39" s="84" t="s">
        <v>366</v>
      </c>
      <c r="L39" s="84">
        <v>585.61500000000001</v>
      </c>
      <c r="M39" s="299">
        <v>1050</v>
      </c>
      <c r="N39" s="83">
        <f t="shared" si="16"/>
        <v>886.15449999999998</v>
      </c>
      <c r="O39" s="244">
        <v>1.5</v>
      </c>
      <c r="P39" s="244">
        <f t="shared" si="5"/>
        <v>1329.2317499999999</v>
      </c>
      <c r="Q39" s="82">
        <f t="shared" si="21"/>
        <v>-279.23174999999992</v>
      </c>
      <c r="R39" s="218" t="str">
        <f t="shared" si="17"/>
        <v>Yes</v>
      </c>
      <c r="S39" s="217" t="s">
        <v>20</v>
      </c>
      <c r="T39" s="216">
        <v>192</v>
      </c>
      <c r="AA39" s="60" t="s">
        <v>91</v>
      </c>
      <c r="AB39" s="342">
        <v>0</v>
      </c>
      <c r="AC39" s="340">
        <f>3+6+2+3+2+1</f>
        <v>17</v>
      </c>
      <c r="AD39" s="342">
        <f>1+2</f>
        <v>3</v>
      </c>
      <c r="AE39" s="342">
        <f>2</f>
        <v>2</v>
      </c>
      <c r="AF39" s="342">
        <v>0</v>
      </c>
      <c r="AG39" s="60">
        <f t="shared" si="22"/>
        <v>22</v>
      </c>
      <c r="AI39" s="312" t="s">
        <v>559</v>
      </c>
      <c r="AJ39" s="351">
        <f>AJ37*AJ15</f>
        <v>500</v>
      </c>
      <c r="AK39" s="351">
        <f>AK37*AJ16</f>
        <v>12000</v>
      </c>
      <c r="AL39" s="351">
        <f>AL37*AJ17</f>
        <v>16000</v>
      </c>
      <c r="AM39" s="351">
        <f>AM37*AJ18</f>
        <v>9000</v>
      </c>
      <c r="AN39" s="351">
        <f>AN37*AJ19</f>
        <v>2400</v>
      </c>
      <c r="AO39" s="312">
        <f>SUM(AJ39:AN39)</f>
        <v>39900</v>
      </c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74">
        <v>1.5</v>
      </c>
      <c r="H40" s="183">
        <f t="shared" si="3"/>
        <v>350.71049999999997</v>
      </c>
      <c r="I40" s="73">
        <f t="shared" si="15"/>
        <v>366.19299999999998</v>
      </c>
      <c r="J40" s="85">
        <f t="shared" si="20"/>
        <v>58.45174999999999</v>
      </c>
      <c r="K40" s="72" t="s">
        <v>328</v>
      </c>
      <c r="L40" s="72">
        <v>673.16499999999996</v>
      </c>
      <c r="M40" s="300">
        <v>450</v>
      </c>
      <c r="N40" s="120">
        <f t="shared" si="16"/>
        <v>233.80699999999999</v>
      </c>
      <c r="O40" s="244">
        <v>1.5</v>
      </c>
      <c r="P40" s="244">
        <f t="shared" si="5"/>
        <v>350.71049999999997</v>
      </c>
      <c r="Q40" s="82">
        <f t="shared" si="21"/>
        <v>99.289500000000032</v>
      </c>
      <c r="R40" s="201" t="str">
        <f t="shared" si="17"/>
        <v>No</v>
      </c>
      <c r="S40" s="215"/>
      <c r="T40" s="214"/>
      <c r="AA40" s="60" t="s">
        <v>92</v>
      </c>
      <c r="AB40" s="342">
        <v>0</v>
      </c>
      <c r="AC40" s="340">
        <f>3+3</f>
        <v>6</v>
      </c>
      <c r="AD40" s="342">
        <f>11+2</f>
        <v>13</v>
      </c>
      <c r="AE40" s="342">
        <v>0</v>
      </c>
      <c r="AF40" s="342">
        <v>0</v>
      </c>
      <c r="AG40" s="60">
        <f t="shared" si="22"/>
        <v>19</v>
      </c>
      <c r="AI40"/>
      <c r="AK40" s="320"/>
      <c r="AL40" s="320"/>
    </row>
    <row r="41" spans="1:41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96">
        <v>1.5</v>
      </c>
      <c r="H41" s="183">
        <f t="shared" si="3"/>
        <v>624.22170000000006</v>
      </c>
      <c r="I41" s="95">
        <f t="shared" si="15"/>
        <v>333.85219999999998</v>
      </c>
      <c r="J41" s="85">
        <f t="shared" si="20"/>
        <v>83.229560000000006</v>
      </c>
      <c r="K41" s="94" t="s">
        <v>361</v>
      </c>
      <c r="L41" s="94">
        <v>692.19500000000005</v>
      </c>
      <c r="M41" s="94">
        <v>750</v>
      </c>
      <c r="N41" s="93">
        <f t="shared" si="16"/>
        <v>416.14780000000002</v>
      </c>
      <c r="O41" s="244">
        <v>1.5</v>
      </c>
      <c r="P41" s="244">
        <f t="shared" si="5"/>
        <v>624.22170000000006</v>
      </c>
      <c r="Q41" s="82">
        <f t="shared" si="21"/>
        <v>125.77829999999994</v>
      </c>
      <c r="R41" s="201" t="str">
        <f t="shared" si="17"/>
        <v>No</v>
      </c>
      <c r="S41" s="233"/>
      <c r="T41" s="233"/>
      <c r="AA41" s="60" t="s">
        <v>93</v>
      </c>
      <c r="AB41" s="342">
        <v>0</v>
      </c>
      <c r="AC41" s="340">
        <v>0</v>
      </c>
      <c r="AD41" s="342">
        <f>2+1</f>
        <v>3</v>
      </c>
      <c r="AE41" s="342">
        <f>6</f>
        <v>6</v>
      </c>
      <c r="AF41" s="342">
        <v>0</v>
      </c>
      <c r="AG41" s="60">
        <f t="shared" si="22"/>
        <v>9</v>
      </c>
      <c r="AI41"/>
      <c r="AK41" s="320"/>
      <c r="AL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10">
        <v>1.5</v>
      </c>
      <c r="H42" s="183">
        <f t="shared" si="3"/>
        <v>637.00244999999995</v>
      </c>
      <c r="I42" s="109">
        <f t="shared" si="15"/>
        <v>475.33170000000001</v>
      </c>
      <c r="J42" s="85">
        <f t="shared" si="20"/>
        <v>70.778049999999993</v>
      </c>
      <c r="K42" s="108" t="s">
        <v>359</v>
      </c>
      <c r="L42" s="108">
        <v>1033.6600000000001</v>
      </c>
      <c r="M42" s="108">
        <v>900</v>
      </c>
      <c r="N42" s="107">
        <f t="shared" si="16"/>
        <v>424.66829999999999</v>
      </c>
      <c r="O42" s="244">
        <v>1.5</v>
      </c>
      <c r="P42" s="244">
        <f t="shared" si="5"/>
        <v>637.00244999999995</v>
      </c>
      <c r="Q42" s="82">
        <f t="shared" si="21"/>
        <v>262.99755000000005</v>
      </c>
      <c r="R42" s="201" t="str">
        <f t="shared" si="17"/>
        <v>No</v>
      </c>
      <c r="S42" s="364"/>
      <c r="T42" s="364"/>
      <c r="U42" s="246"/>
      <c r="AA42" s="60" t="s">
        <v>94</v>
      </c>
      <c r="AB42" s="342">
        <v>0</v>
      </c>
      <c r="AC42" s="413">
        <f>2</f>
        <v>2</v>
      </c>
      <c r="AD42" s="342">
        <f>2+1</f>
        <v>3</v>
      </c>
      <c r="AE42" s="342">
        <f>7</f>
        <v>7</v>
      </c>
      <c r="AF42" s="342">
        <v>0</v>
      </c>
      <c r="AG42" s="60">
        <f t="shared" si="22"/>
        <v>12</v>
      </c>
      <c r="AI42">
        <f>AG44+AG24</f>
        <v>209</v>
      </c>
      <c r="AK42" s="320"/>
      <c r="AL42" s="320"/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96">
        <v>1.5</v>
      </c>
      <c r="H43" s="183">
        <f t="shared" si="3"/>
        <v>120.505005</v>
      </c>
      <c r="I43" s="95">
        <f t="shared" si="15"/>
        <v>169.66333</v>
      </c>
      <c r="J43" s="85">
        <f t="shared" si="20"/>
        <v>48.202002</v>
      </c>
      <c r="K43" s="94" t="s">
        <v>357</v>
      </c>
      <c r="L43" s="94">
        <v>811.21</v>
      </c>
      <c r="M43" s="291">
        <v>150</v>
      </c>
      <c r="N43" s="107">
        <f t="shared" si="16"/>
        <v>80.336669999999998</v>
      </c>
      <c r="O43" s="244">
        <v>1.5</v>
      </c>
      <c r="P43" s="244">
        <f t="shared" si="5"/>
        <v>120.505005</v>
      </c>
      <c r="Q43" s="82">
        <f t="shared" si="21"/>
        <v>29.494995000000003</v>
      </c>
      <c r="R43" s="201" t="str">
        <f t="shared" si="17"/>
        <v>No</v>
      </c>
      <c r="S43" s="364"/>
      <c r="T43" s="364"/>
      <c r="U43" s="246"/>
      <c r="AA43" s="347" t="s">
        <v>505</v>
      </c>
      <c r="AB43" s="342">
        <v>0</v>
      </c>
      <c r="AC43" s="348">
        <f>1</f>
        <v>1</v>
      </c>
      <c r="AD43" s="348">
        <f>3</f>
        <v>3</v>
      </c>
      <c r="AE43" s="348">
        <v>0</v>
      </c>
      <c r="AF43" s="342">
        <v>0</v>
      </c>
      <c r="AG43" s="347">
        <f t="shared" si="22"/>
        <v>4</v>
      </c>
      <c r="AI43" s="422">
        <f>AG45+AG25</f>
        <v>3468.1656000000003</v>
      </c>
      <c r="AK43" s="320"/>
      <c r="AL43" s="320"/>
    </row>
    <row r="44" spans="1:41" ht="13.5" thickBot="1">
      <c r="A44" s="35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86">
        <v>1.5</v>
      </c>
      <c r="H44" s="183">
        <f t="shared" si="3"/>
        <v>100.86274499999999</v>
      </c>
      <c r="I44" s="85">
        <f t="shared" si="15"/>
        <v>132.75817000000001</v>
      </c>
      <c r="J44" s="85">
        <f t="shared" si="20"/>
        <v>50.431372499999995</v>
      </c>
      <c r="K44" s="84" t="s">
        <v>354</v>
      </c>
      <c r="L44" s="84">
        <v>607.995</v>
      </c>
      <c r="M44" s="299">
        <v>150</v>
      </c>
      <c r="N44" s="83">
        <f t="shared" si="16"/>
        <v>67.241829999999993</v>
      </c>
      <c r="O44" s="244">
        <v>1.5</v>
      </c>
      <c r="P44" s="244">
        <f t="shared" si="5"/>
        <v>100.86274499999999</v>
      </c>
      <c r="Q44" s="82">
        <f t="shared" si="21"/>
        <v>49.13725500000001</v>
      </c>
      <c r="R44" s="201" t="str">
        <f t="shared" si="17"/>
        <v>No</v>
      </c>
      <c r="S44" s="364"/>
      <c r="T44" s="364"/>
      <c r="U44" s="246"/>
      <c r="AA44" s="312" t="s">
        <v>515</v>
      </c>
      <c r="AB44" s="349">
        <f t="shared" ref="AB44:AG44" si="24">SUM(AB32:AB43)</f>
        <v>0</v>
      </c>
      <c r="AC44" s="349">
        <f t="shared" si="24"/>
        <v>78</v>
      </c>
      <c r="AD44" s="349">
        <f t="shared" si="24"/>
        <v>80</v>
      </c>
      <c r="AE44" s="349">
        <f t="shared" si="24"/>
        <v>36</v>
      </c>
      <c r="AF44" s="349">
        <f t="shared" si="24"/>
        <v>8</v>
      </c>
      <c r="AG44" s="350">
        <f t="shared" si="24"/>
        <v>202</v>
      </c>
      <c r="AI44" s="342">
        <f>AG46+AG26</f>
        <v>39900</v>
      </c>
      <c r="AK44" s="320"/>
      <c r="AL44" s="320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86">
        <v>1.5</v>
      </c>
      <c r="H45" s="183">
        <f t="shared" si="3"/>
        <v>263.87879999999996</v>
      </c>
      <c r="I45" s="85">
        <f t="shared" si="15"/>
        <v>274.08080000000001</v>
      </c>
      <c r="J45" s="85">
        <f t="shared" si="20"/>
        <v>58.639733333333325</v>
      </c>
      <c r="K45" s="84" t="s">
        <v>352</v>
      </c>
      <c r="L45" s="84">
        <v>1051.23</v>
      </c>
      <c r="M45" s="84">
        <v>450</v>
      </c>
      <c r="N45" s="83">
        <f t="shared" si="16"/>
        <v>175.91919999999999</v>
      </c>
      <c r="O45" s="244">
        <v>1.5</v>
      </c>
      <c r="P45" s="244">
        <f t="shared" si="5"/>
        <v>263.87879999999996</v>
      </c>
      <c r="Q45" s="82">
        <f t="shared" si="21"/>
        <v>186.12120000000004</v>
      </c>
      <c r="R45" s="201" t="str">
        <f t="shared" si="17"/>
        <v>No</v>
      </c>
      <c r="S45" s="364"/>
      <c r="T45" s="364"/>
      <c r="U45" s="246"/>
      <c r="AA45" s="312" t="s">
        <v>514</v>
      </c>
      <c r="AB45" s="414">
        <f>PRODUCT(AB44*AK15)</f>
        <v>0</v>
      </c>
      <c r="AC45" s="414">
        <f>PRODUCT(AC44*AK16)</f>
        <v>1276.7742000000001</v>
      </c>
      <c r="AD45" s="414">
        <f>PRODUCT(AD44*AK17)</f>
        <v>1339.7360000000001</v>
      </c>
      <c r="AE45" s="414">
        <f>PRODUCT(AE44*AK18)</f>
        <v>607.91759999999999</v>
      </c>
      <c r="AF45" s="414">
        <f>PRODUCT(AF44*AK19)</f>
        <v>136</v>
      </c>
      <c r="AG45" s="415">
        <f>SUM(AB45:AF45)</f>
        <v>3360.4278000000004</v>
      </c>
      <c r="AK45" s="320"/>
      <c r="AL45" s="320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10">
        <v>1.5</v>
      </c>
      <c r="H46" s="183">
        <f t="shared" si="3"/>
        <v>172.67144999999999</v>
      </c>
      <c r="I46" s="109">
        <f t="shared" si="15"/>
        <v>284.88569999999999</v>
      </c>
      <c r="J46" s="85">
        <f t="shared" si="20"/>
        <v>43.167862499999998</v>
      </c>
      <c r="K46" s="108" t="s">
        <v>348</v>
      </c>
      <c r="L46" s="108">
        <v>838.745</v>
      </c>
      <c r="M46" s="298">
        <v>300</v>
      </c>
      <c r="N46" s="107">
        <f t="shared" si="16"/>
        <v>115.1143</v>
      </c>
      <c r="O46" s="244">
        <v>1.5</v>
      </c>
      <c r="P46" s="244">
        <f t="shared" si="5"/>
        <v>172.67144999999999</v>
      </c>
      <c r="Q46" s="82">
        <f t="shared" si="21"/>
        <v>127.32855000000001</v>
      </c>
      <c r="R46" s="201" t="str">
        <f t="shared" si="17"/>
        <v>No</v>
      </c>
      <c r="S46" s="364"/>
      <c r="T46" s="364"/>
      <c r="U46" s="246"/>
      <c r="AA46" s="312" t="s">
        <v>559</v>
      </c>
      <c r="AB46" s="351">
        <f>AB44*AJ15</f>
        <v>0</v>
      </c>
      <c r="AC46" s="351">
        <f>AC44*AJ16</f>
        <v>11700</v>
      </c>
      <c r="AD46" s="351">
        <f>AD44*AJ17</f>
        <v>16000</v>
      </c>
      <c r="AE46" s="351">
        <f>AE44*AJ18</f>
        <v>9000</v>
      </c>
      <c r="AF46" s="351">
        <f>AF44*AJ19</f>
        <v>2400</v>
      </c>
      <c r="AG46" s="312">
        <f>SUM(AB46:AF46)</f>
        <v>39100</v>
      </c>
      <c r="AK46" s="320"/>
      <c r="AL46" s="320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10">
        <v>1.5</v>
      </c>
      <c r="H47" s="183">
        <f t="shared" si="3"/>
        <v>131.35275000000001</v>
      </c>
      <c r="I47" s="109">
        <f t="shared" si="15"/>
        <v>212.4315</v>
      </c>
      <c r="J47" s="85">
        <f t="shared" si="20"/>
        <v>43.78425</v>
      </c>
      <c r="K47" s="108" t="s">
        <v>346</v>
      </c>
      <c r="L47" s="108">
        <v>792.93499999999995</v>
      </c>
      <c r="M47" s="108">
        <v>300</v>
      </c>
      <c r="N47" s="107">
        <f t="shared" si="16"/>
        <v>87.5685</v>
      </c>
      <c r="O47" s="244">
        <v>1.5</v>
      </c>
      <c r="P47" s="244">
        <f t="shared" si="5"/>
        <v>131.35275000000001</v>
      </c>
      <c r="Q47" s="82">
        <f t="shared" si="21"/>
        <v>168.64724999999999</v>
      </c>
      <c r="R47" s="201" t="str">
        <f t="shared" si="17"/>
        <v>No</v>
      </c>
      <c r="S47" s="364"/>
      <c r="T47" s="364"/>
      <c r="U47" s="246"/>
      <c r="AA47" s="268"/>
      <c r="AB47" s="405"/>
      <c r="AC47" s="405"/>
      <c r="AD47" s="405"/>
      <c r="AE47" s="405"/>
      <c r="AF47" s="405"/>
      <c r="AG47" s="405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96">
        <v>1.5</v>
      </c>
      <c r="H48" s="183">
        <f t="shared" si="3"/>
        <v>69.246000000000009</v>
      </c>
      <c r="I48" s="95">
        <f t="shared" si="15"/>
        <v>103.836</v>
      </c>
      <c r="J48" s="85">
        <f t="shared" si="20"/>
        <v>46.164000000000001</v>
      </c>
      <c r="K48" s="94" t="s">
        <v>345</v>
      </c>
      <c r="L48" s="94">
        <v>934.80499999999995</v>
      </c>
      <c r="M48" s="94">
        <v>150</v>
      </c>
      <c r="N48" s="93">
        <f t="shared" si="16"/>
        <v>46.164000000000001</v>
      </c>
      <c r="O48" s="244">
        <v>1.5</v>
      </c>
      <c r="P48" s="244">
        <f t="shared" si="5"/>
        <v>69.246000000000009</v>
      </c>
      <c r="Q48" s="82">
        <f t="shared" si="21"/>
        <v>80.753999999999991</v>
      </c>
      <c r="R48" s="201" t="str">
        <f t="shared" si="17"/>
        <v>No</v>
      </c>
      <c r="S48" s="364"/>
      <c r="T48" s="364"/>
      <c r="U48" s="246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86">
        <v>1.5</v>
      </c>
      <c r="H49" s="183">
        <f t="shared" si="3"/>
        <v>263.87879999999996</v>
      </c>
      <c r="I49" s="85">
        <f t="shared" si="15"/>
        <v>274.08080000000001</v>
      </c>
      <c r="J49" s="85">
        <f t="shared" si="20"/>
        <v>58.639733333333325</v>
      </c>
      <c r="K49" s="84" t="s">
        <v>341</v>
      </c>
      <c r="L49" s="84">
        <v>992.44500000000005</v>
      </c>
      <c r="M49" s="84">
        <v>450</v>
      </c>
      <c r="N49" s="83">
        <f t="shared" si="16"/>
        <v>175.91919999999999</v>
      </c>
      <c r="O49" s="244">
        <v>1.5</v>
      </c>
      <c r="P49" s="244">
        <f t="shared" si="5"/>
        <v>263.87879999999996</v>
      </c>
      <c r="Q49" s="82">
        <f t="shared" si="21"/>
        <v>186.12120000000004</v>
      </c>
      <c r="R49" s="201" t="str">
        <f t="shared" si="17"/>
        <v>No</v>
      </c>
      <c r="S49" s="364"/>
      <c r="T49" s="364"/>
      <c r="U49" s="246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96">
        <v>1.5</v>
      </c>
      <c r="H50" s="183">
        <f t="shared" si="3"/>
        <v>69.246000000000009</v>
      </c>
      <c r="I50" s="95">
        <f t="shared" si="15"/>
        <v>103.836</v>
      </c>
      <c r="J50" s="85">
        <f t="shared" si="20"/>
        <v>46.164000000000001</v>
      </c>
      <c r="K50" s="94" t="s">
        <v>337</v>
      </c>
      <c r="L50" s="94">
        <v>817.04499999999996</v>
      </c>
      <c r="M50" s="94">
        <v>150</v>
      </c>
      <c r="N50" s="93">
        <f t="shared" si="16"/>
        <v>46.164000000000001</v>
      </c>
      <c r="O50" s="244">
        <v>1.5</v>
      </c>
      <c r="P50" s="244">
        <f t="shared" si="5"/>
        <v>69.246000000000009</v>
      </c>
      <c r="Q50" s="82">
        <f t="shared" si="21"/>
        <v>80.753999999999991</v>
      </c>
      <c r="R50" s="201" t="str">
        <f t="shared" si="17"/>
        <v>No</v>
      </c>
      <c r="S50" s="364"/>
      <c r="T50" s="364"/>
      <c r="U50" s="246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86">
        <v>1.5</v>
      </c>
      <c r="H51" s="183">
        <f t="shared" si="3"/>
        <v>69.246000000000009</v>
      </c>
      <c r="I51" s="85">
        <f t="shared" si="15"/>
        <v>103.836</v>
      </c>
      <c r="J51" s="85">
        <f t="shared" si="20"/>
        <v>46.164000000000001</v>
      </c>
      <c r="K51" s="84" t="s">
        <v>337</v>
      </c>
      <c r="L51" s="84">
        <v>817.04499999999996</v>
      </c>
      <c r="M51" s="84">
        <v>150</v>
      </c>
      <c r="N51" s="83">
        <f t="shared" si="16"/>
        <v>46.164000000000001</v>
      </c>
      <c r="O51" s="244">
        <v>1.5</v>
      </c>
      <c r="P51" s="244">
        <f t="shared" si="5"/>
        <v>69.246000000000009</v>
      </c>
      <c r="Q51" s="82">
        <f t="shared" si="21"/>
        <v>80.753999999999991</v>
      </c>
      <c r="R51" s="201" t="str">
        <f t="shared" si="17"/>
        <v>No</v>
      </c>
      <c r="S51" s="364"/>
      <c r="T51" s="364"/>
      <c r="U51" s="246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96">
        <v>1.5</v>
      </c>
      <c r="H52" s="183">
        <f t="shared" si="3"/>
        <v>205.31295</v>
      </c>
      <c r="I52" s="95">
        <f t="shared" si="15"/>
        <v>263.12469999999996</v>
      </c>
      <c r="J52" s="85">
        <f t="shared" si="20"/>
        <v>51.328237499999993</v>
      </c>
      <c r="K52" s="94" t="s">
        <v>325</v>
      </c>
      <c r="L52" s="94">
        <v>518.48</v>
      </c>
      <c r="M52" s="94">
        <v>400</v>
      </c>
      <c r="N52" s="93">
        <f t="shared" si="16"/>
        <v>136.87530000000001</v>
      </c>
      <c r="O52" s="244">
        <v>1.5</v>
      </c>
      <c r="P52" s="244">
        <f t="shared" si="5"/>
        <v>205.31295</v>
      </c>
      <c r="Q52" s="82">
        <f t="shared" si="21"/>
        <v>194.68705</v>
      </c>
      <c r="R52" s="201" t="str">
        <f t="shared" si="17"/>
        <v>No</v>
      </c>
      <c r="S52" s="364"/>
      <c r="T52" s="364"/>
      <c r="U52" s="246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86">
        <v>1.5</v>
      </c>
      <c r="H53" s="183">
        <f t="shared" si="3"/>
        <v>131.35275000000001</v>
      </c>
      <c r="I53" s="85">
        <f t="shared" si="15"/>
        <v>212.4315</v>
      </c>
      <c r="J53" s="85">
        <f t="shared" si="20"/>
        <v>43.78425</v>
      </c>
      <c r="K53" s="84" t="s">
        <v>334</v>
      </c>
      <c r="L53" s="84">
        <v>792.93499999999995</v>
      </c>
      <c r="M53" s="84">
        <v>300</v>
      </c>
      <c r="N53" s="83">
        <f t="shared" si="16"/>
        <v>87.5685</v>
      </c>
      <c r="O53" s="244">
        <v>1.5</v>
      </c>
      <c r="P53" s="244">
        <f t="shared" si="5"/>
        <v>131.35275000000001</v>
      </c>
      <c r="Q53" s="82">
        <f t="shared" si="21"/>
        <v>168.64724999999999</v>
      </c>
      <c r="R53" s="201" t="str">
        <f t="shared" si="17"/>
        <v>No</v>
      </c>
      <c r="S53" s="364"/>
      <c r="T53" s="364"/>
      <c r="U53" s="246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96">
        <v>1.5</v>
      </c>
      <c r="H54" s="183">
        <f t="shared" si="3"/>
        <v>49.947495000000004</v>
      </c>
      <c r="I54" s="95">
        <f t="shared" si="15"/>
        <v>166.70167000000001</v>
      </c>
      <c r="J54" s="85">
        <f t="shared" si="20"/>
        <v>24.973747500000002</v>
      </c>
      <c r="K54" s="94" t="s">
        <v>331</v>
      </c>
      <c r="L54" s="94">
        <v>524.75</v>
      </c>
      <c r="M54" s="94">
        <v>200</v>
      </c>
      <c r="N54" s="93">
        <f t="shared" si="16"/>
        <v>33.29833</v>
      </c>
      <c r="O54" s="244">
        <v>1.5</v>
      </c>
      <c r="P54" s="244">
        <f t="shared" si="5"/>
        <v>49.947495000000004</v>
      </c>
      <c r="Q54" s="82">
        <f t="shared" si="21"/>
        <v>150.052505</v>
      </c>
      <c r="R54" s="201" t="str">
        <f t="shared" si="17"/>
        <v>No</v>
      </c>
      <c r="S54" s="364"/>
      <c r="T54" s="364"/>
      <c r="U54" s="246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86">
        <v>1.5</v>
      </c>
      <c r="H55" s="183">
        <f t="shared" si="3"/>
        <v>350.71049999999997</v>
      </c>
      <c r="I55" s="85">
        <f t="shared" si="15"/>
        <v>366.19299999999998</v>
      </c>
      <c r="J55" s="85">
        <f t="shared" si="20"/>
        <v>58.45174999999999</v>
      </c>
      <c r="K55" s="84" t="s">
        <v>328</v>
      </c>
      <c r="L55" s="84">
        <v>673.16499999999996</v>
      </c>
      <c r="M55" s="299">
        <v>450</v>
      </c>
      <c r="N55" s="83">
        <f t="shared" si="16"/>
        <v>233.80699999999999</v>
      </c>
      <c r="O55" s="244">
        <v>1.5</v>
      </c>
      <c r="P55" s="244">
        <f t="shared" si="5"/>
        <v>350.71049999999997</v>
      </c>
      <c r="Q55" s="82">
        <f t="shared" si="21"/>
        <v>99.289500000000032</v>
      </c>
      <c r="R55" s="201" t="str">
        <f t="shared" si="17"/>
        <v>No</v>
      </c>
      <c r="S55" s="364"/>
      <c r="T55" s="364"/>
      <c r="U55" s="246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74">
        <v>1.5</v>
      </c>
      <c r="H56" s="183">
        <f t="shared" si="3"/>
        <v>205.31295</v>
      </c>
      <c r="I56" s="73">
        <f t="shared" si="15"/>
        <v>263.12469999999996</v>
      </c>
      <c r="J56" s="85">
        <f t="shared" si="20"/>
        <v>51.328237499999993</v>
      </c>
      <c r="K56" s="72" t="s">
        <v>325</v>
      </c>
      <c r="L56" s="72">
        <v>518.48</v>
      </c>
      <c r="M56" s="72">
        <v>400</v>
      </c>
      <c r="N56" s="71">
        <f t="shared" si="16"/>
        <v>136.87530000000001</v>
      </c>
      <c r="O56" s="244">
        <v>1.5</v>
      </c>
      <c r="P56" s="244">
        <f t="shared" si="5"/>
        <v>205.31295</v>
      </c>
      <c r="Q56" s="82">
        <f t="shared" si="21"/>
        <v>194.68705</v>
      </c>
      <c r="R56" s="247" t="str">
        <f t="shared" si="17"/>
        <v>No</v>
      </c>
      <c r="S56" s="364"/>
      <c r="T56" s="364"/>
      <c r="U56" s="246"/>
      <c r="AC56" s="363"/>
      <c r="AD56" s="320"/>
      <c r="AE56" s="320"/>
    </row>
    <row r="57" spans="1:31">
      <c r="A57" s="320"/>
      <c r="B57" s="64"/>
      <c r="C57" s="320"/>
      <c r="D57" s="320" t="s">
        <v>369</v>
      </c>
      <c r="E57" s="320">
        <f>SUM(E3:E56)</f>
        <v>30100</v>
      </c>
      <c r="F57" s="64"/>
      <c r="G57" s="64"/>
      <c r="H57" s="64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64"/>
      <c r="T57" s="364"/>
      <c r="AC57" s="320"/>
      <c r="AD57" s="320"/>
      <c r="AE57" s="320"/>
    </row>
    <row r="58" spans="1:3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64"/>
      <c r="T58" s="364"/>
    </row>
    <row r="59" spans="1:31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64"/>
      <c r="T59" s="320"/>
    </row>
    <row r="60" spans="1:31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64"/>
      <c r="T60" s="320"/>
    </row>
    <row r="61" spans="1:31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64"/>
      <c r="T61" s="320"/>
    </row>
    <row r="62" spans="1:31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64"/>
      <c r="T62" s="320"/>
    </row>
    <row r="63" spans="1:31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64"/>
      <c r="T63" s="320"/>
    </row>
    <row r="64" spans="1:31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64"/>
      <c r="T64" s="320"/>
    </row>
    <row r="65" spans="1:23">
      <c r="A65" s="320"/>
      <c r="B65" s="64"/>
      <c r="C65" s="320"/>
      <c r="D65" s="320"/>
      <c r="M65" s="320"/>
      <c r="N65" s="320"/>
      <c r="O65" s="320"/>
      <c r="P65" s="320"/>
      <c r="R65" s="320"/>
      <c r="S65" s="364"/>
      <c r="T65" s="320"/>
    </row>
    <row r="66" spans="1:23">
      <c r="A66" s="320"/>
      <c r="B66" s="64"/>
      <c r="C66" s="320"/>
      <c r="D66" s="320"/>
      <c r="M66" s="320"/>
      <c r="N66" s="320"/>
      <c r="O66" s="320"/>
      <c r="P66" s="320"/>
      <c r="R66" s="320"/>
      <c r="S66" s="364"/>
      <c r="T66" s="320"/>
    </row>
    <row r="67" spans="1:23">
      <c r="A67" s="320"/>
      <c r="B67" s="64"/>
      <c r="C67" s="320"/>
      <c r="D67" s="320"/>
      <c r="M67" s="320"/>
      <c r="N67" s="320"/>
      <c r="O67" s="320"/>
      <c r="P67" s="320"/>
      <c r="R67" s="320"/>
      <c r="S67" s="364"/>
      <c r="T67" s="320"/>
    </row>
    <row r="68" spans="1:23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64"/>
      <c r="T68" s="320"/>
    </row>
    <row r="69" spans="1:23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64"/>
      <c r="T69" s="320"/>
      <c r="V69" s="58"/>
      <c r="W69" s="58"/>
    </row>
    <row r="70" spans="1:23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64"/>
      <c r="T70" s="320"/>
      <c r="V70" s="58"/>
      <c r="W70" s="58"/>
    </row>
    <row r="71" spans="1:23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64"/>
      <c r="T71" s="320"/>
      <c r="V71" s="58"/>
      <c r="W71" s="58"/>
    </row>
    <row r="72" spans="1:23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64"/>
      <c r="T72" s="320"/>
      <c r="V72" s="58"/>
      <c r="W72" s="58"/>
    </row>
    <row r="73" spans="1:23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64"/>
      <c r="T73" s="320"/>
      <c r="V73" s="58"/>
    </row>
    <row r="74" spans="1:23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64"/>
      <c r="T74" s="320"/>
      <c r="V74" s="58"/>
    </row>
    <row r="75" spans="1:23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64"/>
      <c r="T75" s="320"/>
    </row>
    <row r="76" spans="1:23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64"/>
      <c r="T76" s="320"/>
    </row>
    <row r="77" spans="1:23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64"/>
      <c r="T77" s="320"/>
    </row>
    <row r="78" spans="1:23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64"/>
      <c r="T78" s="320"/>
    </row>
    <row r="79" spans="1:23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64"/>
      <c r="T79" s="320"/>
    </row>
    <row r="80" spans="1:23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64"/>
      <c r="T80" s="320"/>
    </row>
    <row r="81" spans="2:20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64"/>
      <c r="T81" s="320"/>
    </row>
    <row r="82" spans="2:20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64"/>
      <c r="T82" s="320"/>
    </row>
    <row r="83" spans="2:20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64"/>
      <c r="T83" s="320"/>
    </row>
    <row r="84" spans="2:20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64"/>
      <c r="T84" s="320"/>
    </row>
    <row r="85" spans="2:20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64"/>
      <c r="T85" s="320"/>
    </row>
    <row r="86" spans="2:20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64"/>
      <c r="T86" s="320"/>
    </row>
    <row r="87" spans="2:20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64"/>
      <c r="T87" s="320"/>
    </row>
    <row r="88" spans="2:20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64"/>
      <c r="T88" s="320"/>
    </row>
    <row r="89" spans="2:20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64"/>
      <c r="T89" s="320"/>
    </row>
    <row r="90" spans="2:20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64"/>
      <c r="T90" s="320"/>
    </row>
    <row r="91" spans="2:20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64"/>
      <c r="T91" s="320"/>
    </row>
    <row r="92" spans="2:20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64"/>
      <c r="T92" s="320"/>
    </row>
    <row r="93" spans="2:20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64"/>
      <c r="T93" s="320"/>
    </row>
    <row r="94" spans="2:20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64"/>
      <c r="T94" s="320"/>
    </row>
    <row r="95" spans="2:20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64"/>
      <c r="T95" s="320"/>
    </row>
    <row r="96" spans="2:20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64"/>
      <c r="T96" s="320"/>
    </row>
    <row r="97" spans="2:20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64"/>
      <c r="T97" s="320"/>
    </row>
    <row r="98" spans="2:20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64"/>
      <c r="T98" s="320"/>
    </row>
    <row r="99" spans="2:20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64"/>
      <c r="T99" s="320"/>
    </row>
    <row r="100" spans="2:20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64"/>
      <c r="T100" s="320"/>
    </row>
    <row r="101" spans="2:20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64"/>
      <c r="T101" s="320"/>
    </row>
    <row r="102" spans="2:20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64"/>
      <c r="T102" s="320"/>
    </row>
    <row r="103" spans="2:20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64"/>
      <c r="T103" s="320"/>
    </row>
    <row r="104" spans="2:20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64"/>
      <c r="T104" s="320"/>
    </row>
    <row r="105" spans="2:20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64"/>
      <c r="T105" s="320"/>
    </row>
    <row r="106" spans="2:20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64"/>
      <c r="T106" s="320"/>
    </row>
    <row r="107" spans="2:20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64"/>
      <c r="T107" s="320"/>
    </row>
    <row r="108" spans="2:20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64"/>
      <c r="T108" s="320"/>
    </row>
    <row r="109" spans="2:20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64"/>
      <c r="T109" s="320"/>
    </row>
    <row r="110" spans="2:20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64"/>
      <c r="T110" s="320"/>
    </row>
    <row r="111" spans="2:20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64"/>
      <c r="T111" s="320"/>
    </row>
    <row r="112" spans="2:20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64"/>
      <c r="T112" s="320"/>
    </row>
    <row r="113" spans="1:20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64"/>
      <c r="T113" s="320"/>
    </row>
    <row r="114" spans="1:20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64"/>
      <c r="T114" s="320"/>
    </row>
    <row r="115" spans="1:20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64"/>
      <c r="T115" s="320"/>
    </row>
    <row r="116" spans="1:20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64"/>
      <c r="T116" s="320"/>
    </row>
    <row r="117" spans="1:20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64"/>
      <c r="T117" s="320"/>
    </row>
    <row r="118" spans="1:20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64"/>
      <c r="T118" s="320"/>
    </row>
    <row r="119" spans="1:20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64"/>
      <c r="T119" s="320"/>
    </row>
    <row r="120" spans="1:20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64"/>
      <c r="T120" s="320"/>
    </row>
    <row r="121" spans="1:20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64"/>
      <c r="T121" s="320"/>
    </row>
    <row r="122" spans="1:20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64"/>
      <c r="T122" s="320"/>
    </row>
    <row r="123" spans="1:20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64"/>
      <c r="T123" s="320"/>
    </row>
    <row r="124" spans="1:20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64"/>
      <c r="T124" s="320"/>
    </row>
    <row r="125" spans="1:20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64"/>
      <c r="T125" s="320"/>
    </row>
    <row r="126" spans="1:20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64"/>
      <c r="T126" s="320"/>
    </row>
    <row r="127" spans="1:20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64"/>
      <c r="T127" s="320"/>
    </row>
    <row r="128" spans="1:20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64"/>
      <c r="T128" s="320"/>
    </row>
    <row r="129" spans="1:20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64"/>
      <c r="T129" s="320"/>
    </row>
    <row r="130" spans="1:20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64"/>
      <c r="T130" s="320"/>
    </row>
    <row r="131" spans="1:20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64"/>
      <c r="T131" s="320"/>
    </row>
    <row r="132" spans="1:20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64"/>
      <c r="T132" s="320"/>
    </row>
    <row r="133" spans="1:20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64"/>
      <c r="T133" s="320"/>
    </row>
    <row r="134" spans="1:20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64"/>
      <c r="T134" s="320"/>
    </row>
    <row r="135" spans="1:20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64"/>
      <c r="T135" s="320"/>
    </row>
    <row r="136" spans="1:20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64"/>
      <c r="T136" s="320"/>
    </row>
    <row r="137" spans="1:20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64"/>
      <c r="T137" s="320"/>
    </row>
    <row r="138" spans="1:20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64"/>
      <c r="T138" s="320"/>
    </row>
    <row r="139" spans="1:20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64"/>
      <c r="T139" s="320"/>
    </row>
    <row r="140" spans="1:20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64"/>
      <c r="T140" s="320"/>
    </row>
    <row r="141" spans="1:20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64"/>
      <c r="T141" s="320"/>
    </row>
    <row r="142" spans="1:20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64"/>
      <c r="T142" s="320"/>
    </row>
    <row r="143" spans="1:20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64"/>
      <c r="T143" s="320"/>
    </row>
    <row r="144" spans="1:20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64"/>
      <c r="T144" s="320"/>
    </row>
    <row r="145" spans="1:20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64"/>
      <c r="T145" s="320"/>
    </row>
    <row r="146" spans="1:20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64"/>
      <c r="T146" s="320"/>
    </row>
    <row r="147" spans="1:20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64"/>
      <c r="T147" s="320"/>
    </row>
    <row r="148" spans="1:20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64"/>
      <c r="T148" s="320"/>
    </row>
    <row r="149" spans="1:20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64"/>
      <c r="T149" s="320"/>
    </row>
    <row r="150" spans="1:20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64"/>
      <c r="T150" s="320"/>
    </row>
    <row r="151" spans="1:20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64"/>
      <c r="T151" s="320"/>
    </row>
    <row r="152" spans="1:20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64"/>
      <c r="T152" s="320"/>
    </row>
    <row r="153" spans="1:20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64"/>
      <c r="T153" s="320"/>
    </row>
    <row r="154" spans="1:20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64"/>
      <c r="T154" s="320"/>
    </row>
    <row r="155" spans="1:20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64"/>
      <c r="T155" s="320"/>
    </row>
    <row r="156" spans="1:20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64"/>
      <c r="T156" s="320"/>
    </row>
    <row r="157" spans="1:20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64"/>
      <c r="T157" s="320"/>
    </row>
    <row r="158" spans="1:20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64"/>
      <c r="T158" s="320"/>
    </row>
    <row r="159" spans="1:20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64"/>
      <c r="T159" s="320"/>
    </row>
    <row r="160" spans="1:20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64"/>
      <c r="T160" s="320"/>
    </row>
    <row r="161" spans="1:20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64"/>
      <c r="T161" s="320"/>
    </row>
    <row r="162" spans="1:20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64"/>
      <c r="T162" s="320"/>
    </row>
    <row r="163" spans="1:20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64"/>
      <c r="T163" s="320"/>
    </row>
    <row r="164" spans="1:20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64"/>
      <c r="T164" s="320"/>
    </row>
    <row r="165" spans="1:20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64"/>
      <c r="T165" s="320"/>
    </row>
    <row r="166" spans="1:20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64"/>
      <c r="T166" s="320"/>
    </row>
    <row r="167" spans="1:20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64"/>
      <c r="T167" s="320"/>
    </row>
    <row r="168" spans="1:20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64"/>
      <c r="T168" s="320"/>
    </row>
    <row r="169" spans="1:20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64"/>
      <c r="T169" s="320"/>
    </row>
    <row r="170" spans="1:20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64"/>
      <c r="T170" s="320"/>
    </row>
    <row r="171" spans="1:20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64"/>
      <c r="T171" s="320"/>
    </row>
    <row r="172" spans="1:20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64"/>
      <c r="T172" s="320"/>
    </row>
    <row r="173" spans="1:20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64"/>
      <c r="T173" s="320"/>
    </row>
    <row r="174" spans="1:20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64"/>
      <c r="T174" s="320"/>
    </row>
    <row r="175" spans="1:20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64"/>
      <c r="T175" s="320"/>
    </row>
    <row r="176" spans="1:20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64"/>
      <c r="T176" s="320"/>
    </row>
    <row r="177" spans="1:20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64"/>
      <c r="T177" s="320"/>
    </row>
    <row r="178" spans="1:20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64"/>
      <c r="T178" s="320"/>
    </row>
    <row r="179" spans="1:20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64"/>
      <c r="T179" s="320"/>
    </row>
  </sheetData>
  <dataConsolidate/>
  <mergeCells count="24">
    <mergeCell ref="AI23:AN23"/>
    <mergeCell ref="AA30:AF30"/>
    <mergeCell ref="AA10:AF10"/>
    <mergeCell ref="C1:I1"/>
    <mergeCell ref="K1:R1"/>
    <mergeCell ref="V24:W24"/>
    <mergeCell ref="A4:A5"/>
    <mergeCell ref="A6:A8"/>
    <mergeCell ref="A9:A13"/>
    <mergeCell ref="A15:A20"/>
    <mergeCell ref="A21:A24"/>
    <mergeCell ref="A26:A27"/>
    <mergeCell ref="S26:S27"/>
    <mergeCell ref="T26:T27"/>
    <mergeCell ref="A33:A35"/>
    <mergeCell ref="A53:A54"/>
    <mergeCell ref="A36:A37"/>
    <mergeCell ref="A28:A32"/>
    <mergeCell ref="A55:A56"/>
    <mergeCell ref="A39:A40"/>
    <mergeCell ref="A41:A43"/>
    <mergeCell ref="A45:A48"/>
    <mergeCell ref="A49:A50"/>
    <mergeCell ref="A51:A52"/>
  </mergeCells>
  <conditionalFormatting sqref="M3:M56">
    <cfRule type="expression" dxfId="45" priority="9">
      <formula>(M3&lt;F3)</formula>
    </cfRule>
  </conditionalFormatting>
  <conditionalFormatting sqref="M3">
    <cfRule type="cellIs" dxfId="44" priority="8" operator="lessThan">
      <formula>$E$3</formula>
    </cfRule>
  </conditionalFormatting>
  <conditionalFormatting sqref="Q3:Q56">
    <cfRule type="cellIs" dxfId="43" priority="7" operator="lessThan">
      <formula>0</formula>
    </cfRule>
  </conditionalFormatting>
  <conditionalFormatting sqref="R3:R56">
    <cfRule type="containsText" dxfId="42" priority="6" operator="containsText" text="Yes">
      <formula>NOT(ISERROR(SEARCH("Yes",R3)))</formula>
    </cfRule>
  </conditionalFormatting>
  <conditionalFormatting sqref="AB12:AG23">
    <cfRule type="cellIs" dxfId="41" priority="5" operator="greaterThan">
      <formula>0</formula>
    </cfRule>
  </conditionalFormatting>
  <conditionalFormatting sqref="AJ25:AO36">
    <cfRule type="cellIs" dxfId="40" priority="4" operator="greaterThan">
      <formula>0</formula>
    </cfRule>
  </conditionalFormatting>
  <conditionalFormatting sqref="AG32:AG43">
    <cfRule type="cellIs" dxfId="39" priority="3" operator="greaterThan">
      <formula>0</formula>
    </cfRule>
  </conditionalFormatting>
  <conditionalFormatting sqref="AC32:AF43">
    <cfRule type="cellIs" dxfId="38" priority="2" operator="greaterThan">
      <formula>0</formula>
    </cfRule>
  </conditionalFormatting>
  <conditionalFormatting sqref="AB32:AB43">
    <cfRule type="cellIs" dxfId="37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V4" zoomScale="90" zoomScaleNormal="90" workbookViewId="0">
      <selection activeCell="AF11" sqref="AF1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26.570312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27" width="9" style="5"/>
    <col min="28" max="28" width="16.140625" style="5" customWidth="1"/>
    <col min="29" max="29" width="15.140625" style="5" customWidth="1"/>
    <col min="30" max="30" width="14" style="5" customWidth="1"/>
    <col min="31" max="34" width="9" style="5"/>
    <col min="35" max="35" width="18.5703125" style="5" customWidth="1"/>
    <col min="36" max="36" width="14.28515625" style="5" customWidth="1"/>
    <col min="37" max="37" width="9" style="5"/>
    <col min="38" max="38" width="22.7109375" style="5" customWidth="1"/>
    <col min="39" max="16384" width="9" style="5"/>
  </cols>
  <sheetData>
    <row r="1" spans="1:38" ht="14.25" customHeight="1">
      <c r="A1" s="363"/>
      <c r="B1" s="198"/>
      <c r="C1" s="514" t="s">
        <v>452</v>
      </c>
      <c r="D1" s="515"/>
      <c r="E1" s="515"/>
      <c r="F1" s="515"/>
      <c r="G1" s="515"/>
      <c r="H1" s="515"/>
      <c r="I1" s="516"/>
      <c r="J1" s="355"/>
      <c r="K1" s="512" t="s">
        <v>451</v>
      </c>
      <c r="L1" s="513"/>
      <c r="M1" s="513"/>
      <c r="N1" s="513"/>
      <c r="O1" s="513"/>
      <c r="P1" s="513"/>
      <c r="Q1" s="513"/>
      <c r="R1" s="552"/>
      <c r="S1" s="7"/>
      <c r="T1" s="7"/>
    </row>
    <row r="2" spans="1:38" ht="13.5" thickBot="1">
      <c r="A2" s="363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256" t="s">
        <v>459</v>
      </c>
      <c r="K2" s="192" t="s">
        <v>446</v>
      </c>
      <c r="L2" s="192" t="s">
        <v>34</v>
      </c>
      <c r="M2" s="192" t="s">
        <v>33</v>
      </c>
      <c r="N2" s="191" t="s">
        <v>445</v>
      </c>
      <c r="O2" s="190" t="s">
        <v>460</v>
      </c>
      <c r="P2" s="190" t="s">
        <v>462</v>
      </c>
      <c r="Q2" s="190" t="s">
        <v>444</v>
      </c>
      <c r="R2" s="245" t="s">
        <v>458</v>
      </c>
      <c r="S2" s="364"/>
      <c r="T2" s="320"/>
    </row>
    <row r="3" spans="1:38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3">
        <f>H3/E3*100</f>
        <v>49.482750000000003</v>
      </c>
      <c r="K3" s="181" t="s">
        <v>435</v>
      </c>
      <c r="L3" s="181">
        <v>598.85</v>
      </c>
      <c r="M3" s="297">
        <v>300</v>
      </c>
      <c r="N3" s="180">
        <f t="shared" ref="N3:N13" si="1">F3</f>
        <v>131.95400000000001</v>
      </c>
      <c r="O3" s="244">
        <v>1.5</v>
      </c>
      <c r="P3" s="244">
        <f>O3*N3</f>
        <v>197.93100000000001</v>
      </c>
      <c r="Q3" s="290">
        <f>M3-P3</f>
        <v>102.06899999999999</v>
      </c>
      <c r="R3" s="180" t="str">
        <f t="shared" ref="R3:R9" si="2">IF(Q3&gt;=0,"No","Yes")</f>
        <v>No</v>
      </c>
      <c r="S3" s="364"/>
      <c r="T3" s="364"/>
    </row>
    <row r="4" spans="1:38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76">
        <v>1.5</v>
      </c>
      <c r="H4" s="183">
        <f t="shared" ref="H4:H56" si="3">G4*F4</f>
        <v>119.63775</v>
      </c>
      <c r="I4" s="175">
        <f t="shared" si="0"/>
        <v>120.2415</v>
      </c>
      <c r="J4" s="183">
        <f t="shared" ref="J4:J13" si="4">H4/E4*100</f>
        <v>59.818874999999991</v>
      </c>
      <c r="K4" s="174" t="s">
        <v>434</v>
      </c>
      <c r="L4" s="174">
        <v>561.44000000000005</v>
      </c>
      <c r="M4" s="296">
        <v>150</v>
      </c>
      <c r="N4" s="173">
        <f t="shared" si="1"/>
        <v>79.758499999999998</v>
      </c>
      <c r="O4" s="244">
        <v>1.5</v>
      </c>
      <c r="P4" s="244">
        <f t="shared" ref="P4:P56" si="5">O4*N4</f>
        <v>119.63775</v>
      </c>
      <c r="Q4" s="290">
        <f t="shared" ref="Q4:Q13" si="6">M4-P4</f>
        <v>30.362250000000003</v>
      </c>
      <c r="R4" s="181" t="str">
        <f t="shared" si="2"/>
        <v>No</v>
      </c>
      <c r="S4" s="364"/>
      <c r="T4" s="364"/>
    </row>
    <row r="5" spans="1:38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95">
        <v>1.5</v>
      </c>
      <c r="H5" s="183">
        <f t="shared" si="3"/>
        <v>152.28555</v>
      </c>
      <c r="I5" s="95">
        <f t="shared" si="0"/>
        <v>198.47629999999998</v>
      </c>
      <c r="J5" s="183">
        <f t="shared" si="4"/>
        <v>50.761849999999995</v>
      </c>
      <c r="K5" s="94" t="s">
        <v>429</v>
      </c>
      <c r="L5" s="94">
        <v>691.82</v>
      </c>
      <c r="M5" s="94">
        <v>300</v>
      </c>
      <c r="N5" s="93">
        <f t="shared" si="1"/>
        <v>101.52370000000001</v>
      </c>
      <c r="O5" s="244">
        <v>1.5</v>
      </c>
      <c r="P5" s="244">
        <f t="shared" si="5"/>
        <v>152.28555</v>
      </c>
      <c r="Q5" s="290">
        <f t="shared" si="6"/>
        <v>147.71445</v>
      </c>
      <c r="R5" s="181" t="str">
        <f t="shared" si="2"/>
        <v>No</v>
      </c>
      <c r="S5" s="356" t="s">
        <v>440</v>
      </c>
      <c r="T5" s="356" t="s">
        <v>457</v>
      </c>
    </row>
    <row r="6" spans="1:38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86">
        <v>1.5</v>
      </c>
      <c r="H6" s="183">
        <f t="shared" si="3"/>
        <v>890.08500000000004</v>
      </c>
      <c r="I6" s="85">
        <f t="shared" si="0"/>
        <v>606.61</v>
      </c>
      <c r="J6" s="183">
        <f t="shared" si="4"/>
        <v>74.173749999999998</v>
      </c>
      <c r="K6" s="84" t="s">
        <v>431</v>
      </c>
      <c r="L6" s="84">
        <v>778.62</v>
      </c>
      <c r="M6" s="84">
        <v>1200</v>
      </c>
      <c r="N6" s="83">
        <f t="shared" si="1"/>
        <v>593.39</v>
      </c>
      <c r="O6" s="244">
        <v>1.5</v>
      </c>
      <c r="P6" s="244">
        <f t="shared" si="5"/>
        <v>890.08500000000004</v>
      </c>
      <c r="Q6" s="290">
        <f t="shared" si="6"/>
        <v>309.91499999999996</v>
      </c>
      <c r="R6" s="181" t="str">
        <f t="shared" si="2"/>
        <v>No</v>
      </c>
      <c r="S6" s="217"/>
      <c r="T6" s="216"/>
    </row>
    <row r="7" spans="1:38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10">
        <v>1.5</v>
      </c>
      <c r="H7" s="183">
        <f t="shared" si="3"/>
        <v>248.31</v>
      </c>
      <c r="I7" s="109">
        <f t="shared" si="0"/>
        <v>334.46000000000004</v>
      </c>
      <c r="J7" s="183">
        <f t="shared" si="4"/>
        <v>49.661999999999999</v>
      </c>
      <c r="K7" s="108" t="s">
        <v>430</v>
      </c>
      <c r="L7" s="108">
        <v>904.18</v>
      </c>
      <c r="M7" s="298">
        <v>300</v>
      </c>
      <c r="N7" s="107">
        <f t="shared" si="1"/>
        <v>165.54</v>
      </c>
      <c r="O7" s="244">
        <v>1.5</v>
      </c>
      <c r="P7" s="244">
        <f t="shared" si="5"/>
        <v>248.31</v>
      </c>
      <c r="Q7" s="290">
        <f t="shared" si="6"/>
        <v>51.69</v>
      </c>
      <c r="R7" s="301" t="str">
        <f t="shared" si="2"/>
        <v>No</v>
      </c>
      <c r="S7" s="255" t="s">
        <v>351</v>
      </c>
      <c r="T7" s="238" t="s">
        <v>351</v>
      </c>
    </row>
    <row r="8" spans="1:38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96">
        <v>1.5</v>
      </c>
      <c r="H8" s="183">
        <f t="shared" si="3"/>
        <v>152.28555</v>
      </c>
      <c r="I8" s="95">
        <f t="shared" si="0"/>
        <v>198.47629999999998</v>
      </c>
      <c r="J8" s="183">
        <f t="shared" si="4"/>
        <v>50.761849999999995</v>
      </c>
      <c r="K8" s="94" t="s">
        <v>429</v>
      </c>
      <c r="L8" s="94">
        <v>691.82</v>
      </c>
      <c r="M8" s="94">
        <v>300</v>
      </c>
      <c r="N8" s="93">
        <f t="shared" si="1"/>
        <v>101.52370000000001</v>
      </c>
      <c r="O8" s="244">
        <v>1.5</v>
      </c>
      <c r="P8" s="244">
        <f t="shared" si="5"/>
        <v>152.28555</v>
      </c>
      <c r="Q8" s="290">
        <f t="shared" si="6"/>
        <v>147.71445</v>
      </c>
      <c r="R8" s="181" t="str">
        <f t="shared" si="2"/>
        <v>No</v>
      </c>
      <c r="S8" s="254"/>
      <c r="T8" s="238"/>
    </row>
    <row r="9" spans="1:38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86">
        <v>1.5</v>
      </c>
      <c r="H9" s="183">
        <f t="shared" si="3"/>
        <v>495.05579999999998</v>
      </c>
      <c r="I9" s="85">
        <f t="shared" si="0"/>
        <v>269.96280000000002</v>
      </c>
      <c r="J9" s="183">
        <f t="shared" si="4"/>
        <v>82.509299999999996</v>
      </c>
      <c r="K9" s="84" t="s">
        <v>428</v>
      </c>
      <c r="L9" s="84">
        <v>243.73500000000001</v>
      </c>
      <c r="M9" s="299">
        <v>500</v>
      </c>
      <c r="N9" s="83">
        <f t="shared" si="1"/>
        <v>330.03719999999998</v>
      </c>
      <c r="O9" s="244">
        <v>1.5</v>
      </c>
      <c r="P9" s="244">
        <f t="shared" si="5"/>
        <v>495.05579999999998</v>
      </c>
      <c r="Q9" s="290">
        <f t="shared" si="6"/>
        <v>4.9442000000000235</v>
      </c>
      <c r="R9" s="180" t="str">
        <f t="shared" si="2"/>
        <v>No</v>
      </c>
      <c r="S9" s="233"/>
      <c r="T9" s="233"/>
      <c r="U9" s="246"/>
    </row>
    <row r="10" spans="1:38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10">
        <v>1.5</v>
      </c>
      <c r="H10" s="183">
        <f t="shared" si="3"/>
        <v>300.16500000000002</v>
      </c>
      <c r="I10" s="109">
        <f t="shared" si="0"/>
        <v>199.89</v>
      </c>
      <c r="J10" s="183">
        <f t="shared" si="4"/>
        <v>75.041250000000005</v>
      </c>
      <c r="K10" s="108" t="s">
        <v>427</v>
      </c>
      <c r="L10" s="108">
        <v>614.06500000000005</v>
      </c>
      <c r="M10" s="298">
        <v>300</v>
      </c>
      <c r="N10" s="107">
        <f t="shared" si="1"/>
        <v>200.11</v>
      </c>
      <c r="O10" s="244">
        <v>1.5</v>
      </c>
      <c r="P10" s="244">
        <f t="shared" si="5"/>
        <v>300.16500000000002</v>
      </c>
      <c r="Q10" s="290">
        <f t="shared" si="6"/>
        <v>-0.16500000000002046</v>
      </c>
      <c r="R10" s="253" t="s">
        <v>478</v>
      </c>
      <c r="S10" s="364"/>
      <c r="T10" s="364"/>
      <c r="U10" s="246"/>
      <c r="AA10" s="520" t="s">
        <v>591</v>
      </c>
      <c r="AB10" s="521"/>
      <c r="AC10" s="521"/>
      <c r="AD10" s="521"/>
      <c r="AE10" s="521"/>
      <c r="AF10" s="522"/>
      <c r="AG10" s="164"/>
    </row>
    <row r="11" spans="1:38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10">
        <v>1.5</v>
      </c>
      <c r="H11" s="183">
        <f t="shared" si="3"/>
        <v>624.22170000000006</v>
      </c>
      <c r="I11" s="109">
        <f t="shared" si="0"/>
        <v>333.85219999999998</v>
      </c>
      <c r="J11" s="183">
        <f t="shared" si="4"/>
        <v>83.229560000000006</v>
      </c>
      <c r="K11" s="108" t="s">
        <v>426</v>
      </c>
      <c r="L11" s="108">
        <v>692.19500000000005</v>
      </c>
      <c r="M11" s="108">
        <v>750</v>
      </c>
      <c r="N11" s="107">
        <f t="shared" si="1"/>
        <v>416.14780000000002</v>
      </c>
      <c r="O11" s="244">
        <v>1.5</v>
      </c>
      <c r="P11" s="244">
        <f t="shared" si="5"/>
        <v>624.22170000000006</v>
      </c>
      <c r="Q11" s="290">
        <f t="shared" si="6"/>
        <v>125.77829999999994</v>
      </c>
      <c r="R11" s="180" t="str">
        <f>IF(Q11&gt;=0,"No","Yes")</f>
        <v>No</v>
      </c>
      <c r="S11" s="364"/>
      <c r="T11" s="364"/>
      <c r="U11" s="246"/>
      <c r="AA11" s="336" t="s">
        <v>506</v>
      </c>
      <c r="AB11" s="338" t="s">
        <v>507</v>
      </c>
      <c r="AC11" s="338" t="s">
        <v>508</v>
      </c>
      <c r="AD11" s="338" t="s">
        <v>509</v>
      </c>
      <c r="AE11" s="338" t="s">
        <v>510</v>
      </c>
      <c r="AF11" s="339" t="s">
        <v>558</v>
      </c>
      <c r="AG11" s="312" t="s">
        <v>417</v>
      </c>
    </row>
    <row r="12" spans="1:38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10">
        <v>1.5</v>
      </c>
      <c r="H12" s="183">
        <f t="shared" si="3"/>
        <v>481.16999999999996</v>
      </c>
      <c r="I12" s="109">
        <f t="shared" si="0"/>
        <v>279.22000000000003</v>
      </c>
      <c r="J12" s="183">
        <f t="shared" si="4"/>
        <v>80.194999999999993</v>
      </c>
      <c r="K12" s="108" t="s">
        <v>420</v>
      </c>
      <c r="L12" s="108">
        <v>440.09</v>
      </c>
      <c r="M12" s="108">
        <v>600</v>
      </c>
      <c r="N12" s="107">
        <f t="shared" si="1"/>
        <v>320.77999999999997</v>
      </c>
      <c r="O12" s="244">
        <v>1.5</v>
      </c>
      <c r="P12" s="244">
        <f t="shared" si="5"/>
        <v>481.16999999999996</v>
      </c>
      <c r="Q12" s="290">
        <f t="shared" si="6"/>
        <v>118.83000000000004</v>
      </c>
      <c r="R12" s="180" t="str">
        <f>IF(Q12&gt;=0,"No","Yes")</f>
        <v>No</v>
      </c>
      <c r="S12" s="364"/>
      <c r="T12" s="364"/>
      <c r="U12" s="246"/>
      <c r="AA12" s="60" t="s">
        <v>84</v>
      </c>
      <c r="AB12" s="340">
        <v>0</v>
      </c>
      <c r="AC12" s="340">
        <v>0</v>
      </c>
      <c r="AD12" s="341">
        <v>0</v>
      </c>
      <c r="AE12" s="341">
        <v>0</v>
      </c>
      <c r="AF12" s="342">
        <v>0</v>
      </c>
      <c r="AG12" s="343">
        <f>SUM(AB12:AF12)</f>
        <v>0</v>
      </c>
    </row>
    <row r="13" spans="1:38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96">
        <v>1.5</v>
      </c>
      <c r="H13" s="183">
        <f t="shared" si="3"/>
        <v>33.525000000000006</v>
      </c>
      <c r="I13" s="95">
        <f t="shared" si="0"/>
        <v>177.65</v>
      </c>
      <c r="J13" s="183">
        <f t="shared" si="4"/>
        <v>16.762500000000003</v>
      </c>
      <c r="K13" s="94" t="s">
        <v>418</v>
      </c>
      <c r="L13" s="94">
        <v>541.49</v>
      </c>
      <c r="M13" s="291">
        <v>150</v>
      </c>
      <c r="N13" s="93">
        <f t="shared" si="1"/>
        <v>22.35</v>
      </c>
      <c r="O13" s="244">
        <v>1.5</v>
      </c>
      <c r="P13" s="244">
        <f t="shared" si="5"/>
        <v>33.525000000000006</v>
      </c>
      <c r="Q13" s="290">
        <f t="shared" si="6"/>
        <v>116.47499999999999</v>
      </c>
      <c r="R13" s="180" t="str">
        <f>IF(Q13&gt;=0,"No","Yes")</f>
        <v>No</v>
      </c>
      <c r="S13" s="364"/>
      <c r="T13" s="364"/>
      <c r="U13" s="246"/>
      <c r="AA13" s="60" t="s">
        <v>85</v>
      </c>
      <c r="AB13" s="340">
        <v>0</v>
      </c>
      <c r="AC13" s="340">
        <v>0</v>
      </c>
      <c r="AD13" s="340">
        <v>0</v>
      </c>
      <c r="AE13" s="340">
        <v>0</v>
      </c>
      <c r="AF13" s="342">
        <v>0</v>
      </c>
      <c r="AG13" s="60">
        <f t="shared" ref="AG13:AG23" si="7">SUM(AB13:AF13)</f>
        <v>0</v>
      </c>
    </row>
    <row r="14" spans="1:38" ht="13.5" thickBot="1">
      <c r="A14" s="354" t="s">
        <v>426</v>
      </c>
      <c r="B14" s="88" t="s">
        <v>351</v>
      </c>
      <c r="C14" s="161"/>
      <c r="D14" s="86"/>
      <c r="E14" s="86"/>
      <c r="F14" s="86"/>
      <c r="G14" s="86">
        <v>1.5</v>
      </c>
      <c r="H14" s="183">
        <f t="shared" si="3"/>
        <v>0</v>
      </c>
      <c r="I14" s="85"/>
      <c r="J14" s="183"/>
      <c r="K14" s="84"/>
      <c r="L14" s="84"/>
      <c r="M14" s="84"/>
      <c r="N14" s="83"/>
      <c r="O14" s="244">
        <v>1.5</v>
      </c>
      <c r="P14" s="244">
        <f t="shared" si="5"/>
        <v>0</v>
      </c>
      <c r="Q14" s="82"/>
      <c r="R14" s="83"/>
      <c r="S14" s="364"/>
      <c r="T14" s="364"/>
      <c r="U14" s="246"/>
      <c r="AA14" s="60" t="s">
        <v>86</v>
      </c>
      <c r="AB14" s="340">
        <v>0</v>
      </c>
      <c r="AC14" s="340">
        <v>0</v>
      </c>
      <c r="AD14" s="340">
        <v>0</v>
      </c>
      <c r="AE14" s="340">
        <v>0</v>
      </c>
      <c r="AF14" s="342">
        <v>0</v>
      </c>
      <c r="AG14" s="60">
        <f t="shared" si="7"/>
        <v>0</v>
      </c>
      <c r="AI14" s="406" t="s">
        <v>512</v>
      </c>
      <c r="AJ14" s="406" t="s">
        <v>513</v>
      </c>
      <c r="AK14" s="344" t="s">
        <v>514</v>
      </c>
    </row>
    <row r="15" spans="1:38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86">
        <v>1.5</v>
      </c>
      <c r="H15" s="183">
        <f t="shared" si="3"/>
        <v>621.76125000000002</v>
      </c>
      <c r="I15" s="85">
        <f t="shared" ref="I15:I24" si="8">E15-F15</f>
        <v>385.49250000000001</v>
      </c>
      <c r="J15" s="86">
        <f>H15/E15*100</f>
        <v>77.720156250000002</v>
      </c>
      <c r="K15" s="84" t="s">
        <v>424</v>
      </c>
      <c r="L15" s="84">
        <v>527.53499999999997</v>
      </c>
      <c r="M15" s="84">
        <v>800</v>
      </c>
      <c r="N15" s="83">
        <f t="shared" ref="N15:N24" si="9">F15</f>
        <v>414.50749999999999</v>
      </c>
      <c r="O15" s="244">
        <v>1.5</v>
      </c>
      <c r="P15" s="244">
        <f t="shared" si="5"/>
        <v>621.76125000000002</v>
      </c>
      <c r="Q15" s="203">
        <f>M15-P15</f>
        <v>178.23874999999998</v>
      </c>
      <c r="R15" s="83" t="str">
        <f t="shared" ref="R15:R24" si="10">IF(Q15&gt;=0,"No","Yes")</f>
        <v>No</v>
      </c>
      <c r="S15" s="364"/>
      <c r="T15" s="364"/>
      <c r="U15" s="246"/>
      <c r="AA15" s="60" t="s">
        <v>87</v>
      </c>
      <c r="AB15" s="340">
        <v>1</v>
      </c>
      <c r="AC15" s="340">
        <v>0</v>
      </c>
      <c r="AD15" s="340">
        <v>0</v>
      </c>
      <c r="AE15" s="340">
        <v>0</v>
      </c>
      <c r="AF15" s="342">
        <v>0</v>
      </c>
      <c r="AG15" s="60">
        <f t="shared" si="7"/>
        <v>1</v>
      </c>
      <c r="AI15" s="61" t="s">
        <v>507</v>
      </c>
      <c r="AJ15" s="61">
        <v>100</v>
      </c>
      <c r="AK15" s="416">
        <v>15</v>
      </c>
      <c r="AL15" s="405"/>
    </row>
    <row r="16" spans="1:38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10">
        <v>1.5</v>
      </c>
      <c r="H16" s="183">
        <f t="shared" si="3"/>
        <v>373.59030000000001</v>
      </c>
      <c r="I16" s="109">
        <f t="shared" si="8"/>
        <v>350.93979999999999</v>
      </c>
      <c r="J16" s="86">
        <f t="shared" ref="J16:J24" si="11">H16/E16*100</f>
        <v>62.265050000000002</v>
      </c>
      <c r="K16" s="108" t="s">
        <v>422</v>
      </c>
      <c r="L16" s="108">
        <v>258.625</v>
      </c>
      <c r="M16" s="298">
        <v>500</v>
      </c>
      <c r="N16" s="107">
        <f t="shared" si="9"/>
        <v>249.06020000000001</v>
      </c>
      <c r="O16" s="244">
        <v>1.5</v>
      </c>
      <c r="P16" s="244">
        <f t="shared" si="5"/>
        <v>373.59030000000001</v>
      </c>
      <c r="Q16" s="203">
        <f t="shared" ref="Q16:Q24" si="12">M16-P16</f>
        <v>126.40969999999999</v>
      </c>
      <c r="R16" s="83" t="str">
        <f t="shared" si="10"/>
        <v>No</v>
      </c>
      <c r="S16" s="364"/>
      <c r="T16" s="364"/>
      <c r="U16" s="246"/>
      <c r="AA16" s="60" t="s">
        <v>88</v>
      </c>
      <c r="AB16" s="340">
        <v>0</v>
      </c>
      <c r="AC16" s="340">
        <v>0</v>
      </c>
      <c r="AD16" s="340">
        <v>0</v>
      </c>
      <c r="AE16" s="340">
        <v>0</v>
      </c>
      <c r="AF16" s="342">
        <v>0</v>
      </c>
      <c r="AG16" s="60">
        <f t="shared" si="7"/>
        <v>0</v>
      </c>
      <c r="AH16" s="364"/>
      <c r="AI16" s="345" t="s">
        <v>508</v>
      </c>
      <c r="AJ16" s="345">
        <v>150</v>
      </c>
      <c r="AK16" s="417">
        <v>16.3689</v>
      </c>
      <c r="AL16" s="409"/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10">
        <v>1.5</v>
      </c>
      <c r="H17" s="183">
        <f t="shared" si="3"/>
        <v>278.15129999999999</v>
      </c>
      <c r="I17" s="109">
        <f t="shared" si="8"/>
        <v>264.56579999999997</v>
      </c>
      <c r="J17" s="86">
        <f t="shared" si="11"/>
        <v>61.811399999999992</v>
      </c>
      <c r="K17" s="108" t="s">
        <v>385</v>
      </c>
      <c r="L17" s="108">
        <v>975.03499999999997</v>
      </c>
      <c r="M17" s="108">
        <v>450</v>
      </c>
      <c r="N17" s="107">
        <f t="shared" si="9"/>
        <v>185.4342</v>
      </c>
      <c r="O17" s="244">
        <v>1.5</v>
      </c>
      <c r="P17" s="244">
        <f t="shared" si="5"/>
        <v>278.15129999999999</v>
      </c>
      <c r="Q17" s="203">
        <f t="shared" si="12"/>
        <v>171.84870000000001</v>
      </c>
      <c r="R17" s="83" t="str">
        <f t="shared" si="10"/>
        <v>No</v>
      </c>
      <c r="S17" s="364"/>
      <c r="T17" s="364"/>
      <c r="U17" s="246"/>
      <c r="AA17" s="60" t="s">
        <v>89</v>
      </c>
      <c r="AB17" s="340">
        <v>0</v>
      </c>
      <c r="AC17" s="340">
        <v>0</v>
      </c>
      <c r="AD17" s="340">
        <v>0</v>
      </c>
      <c r="AE17" s="340">
        <v>0</v>
      </c>
      <c r="AF17" s="342">
        <v>0</v>
      </c>
      <c r="AG17" s="60">
        <f t="shared" si="7"/>
        <v>0</v>
      </c>
      <c r="AH17" s="356"/>
      <c r="AI17" s="345" t="s">
        <v>509</v>
      </c>
      <c r="AJ17" s="345">
        <v>200</v>
      </c>
      <c r="AK17" s="417">
        <v>16.746700000000001</v>
      </c>
      <c r="AL17" s="352"/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10">
        <v>1.5</v>
      </c>
      <c r="H18" s="183">
        <f t="shared" si="3"/>
        <v>320.77244999999999</v>
      </c>
      <c r="I18" s="109">
        <f t="shared" si="8"/>
        <v>236.15170000000001</v>
      </c>
      <c r="J18" s="86">
        <f t="shared" si="11"/>
        <v>71.28276666666666</v>
      </c>
      <c r="K18" s="108" t="s">
        <v>421</v>
      </c>
      <c r="L18" s="108">
        <v>1025.3</v>
      </c>
      <c r="M18" s="108">
        <v>450</v>
      </c>
      <c r="N18" s="107">
        <f t="shared" si="9"/>
        <v>213.84829999999999</v>
      </c>
      <c r="O18" s="244">
        <v>1.5</v>
      </c>
      <c r="P18" s="244">
        <f t="shared" si="5"/>
        <v>320.77244999999999</v>
      </c>
      <c r="Q18" s="203">
        <f t="shared" si="12"/>
        <v>129.22755000000001</v>
      </c>
      <c r="R18" s="83" t="str">
        <f t="shared" si="10"/>
        <v>No</v>
      </c>
      <c r="S18" s="364"/>
      <c r="T18" s="364"/>
      <c r="U18" s="246"/>
      <c r="AA18" s="60" t="s">
        <v>90</v>
      </c>
      <c r="AB18" s="340">
        <v>0</v>
      </c>
      <c r="AC18" s="340">
        <v>0</v>
      </c>
      <c r="AD18" s="340">
        <v>0</v>
      </c>
      <c r="AE18" s="340">
        <v>0</v>
      </c>
      <c r="AF18" s="342">
        <v>0</v>
      </c>
      <c r="AG18" s="60">
        <f t="shared" si="7"/>
        <v>0</v>
      </c>
      <c r="AH18" s="356"/>
      <c r="AI18" s="345" t="s">
        <v>510</v>
      </c>
      <c r="AJ18" s="345">
        <v>250</v>
      </c>
      <c r="AK18" s="417">
        <v>16.886600000000001</v>
      </c>
      <c r="AL18" s="409"/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10">
        <v>1.5</v>
      </c>
      <c r="H19" s="183">
        <f t="shared" si="3"/>
        <v>481.17255</v>
      </c>
      <c r="I19" s="109">
        <f t="shared" si="8"/>
        <v>279.2183</v>
      </c>
      <c r="J19" s="86">
        <f t="shared" si="11"/>
        <v>80.195425</v>
      </c>
      <c r="K19" s="108" t="s">
        <v>420</v>
      </c>
      <c r="L19" s="108">
        <v>440.09</v>
      </c>
      <c r="M19" s="108">
        <v>600</v>
      </c>
      <c r="N19" s="107">
        <f t="shared" si="9"/>
        <v>320.7817</v>
      </c>
      <c r="O19" s="244">
        <v>1.5</v>
      </c>
      <c r="P19" s="244">
        <f t="shared" si="5"/>
        <v>481.17255</v>
      </c>
      <c r="Q19" s="203">
        <f t="shared" si="12"/>
        <v>118.82745</v>
      </c>
      <c r="R19" s="83" t="str">
        <f t="shared" si="10"/>
        <v>No</v>
      </c>
      <c r="S19" s="364"/>
      <c r="T19" s="364"/>
      <c r="U19" s="246"/>
      <c r="AA19" s="60" t="s">
        <v>91</v>
      </c>
      <c r="AB19" s="340">
        <v>0</v>
      </c>
      <c r="AC19" s="340">
        <v>0</v>
      </c>
      <c r="AD19" s="342">
        <v>0</v>
      </c>
      <c r="AE19" s="342">
        <v>0</v>
      </c>
      <c r="AF19" s="342">
        <v>0</v>
      </c>
      <c r="AG19" s="60">
        <f t="shared" si="7"/>
        <v>0</v>
      </c>
      <c r="AH19" s="364"/>
      <c r="AI19" s="346" t="s">
        <v>558</v>
      </c>
      <c r="AJ19" s="346">
        <v>300</v>
      </c>
      <c r="AK19" s="418">
        <v>17</v>
      </c>
      <c r="AL19" s="409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96">
        <v>1.5</v>
      </c>
      <c r="H20" s="183">
        <f t="shared" si="3"/>
        <v>33.525000000000006</v>
      </c>
      <c r="I20" s="95">
        <f t="shared" si="8"/>
        <v>177.65</v>
      </c>
      <c r="J20" s="86">
        <f t="shared" si="11"/>
        <v>16.762500000000003</v>
      </c>
      <c r="K20" s="94" t="s">
        <v>418</v>
      </c>
      <c r="L20" s="94">
        <v>541.49</v>
      </c>
      <c r="M20" s="291">
        <v>150</v>
      </c>
      <c r="N20" s="93">
        <f t="shared" si="9"/>
        <v>22.35</v>
      </c>
      <c r="O20" s="244">
        <v>1.5</v>
      </c>
      <c r="P20" s="244">
        <f t="shared" si="5"/>
        <v>33.525000000000006</v>
      </c>
      <c r="Q20" s="203">
        <f t="shared" si="12"/>
        <v>116.47499999999999</v>
      </c>
      <c r="R20" s="83" t="str">
        <f t="shared" si="10"/>
        <v>No</v>
      </c>
      <c r="S20" s="364"/>
      <c r="T20" s="364"/>
      <c r="U20" s="246"/>
      <c r="AA20" s="60" t="s">
        <v>92</v>
      </c>
      <c r="AB20" s="342">
        <v>0</v>
      </c>
      <c r="AC20" s="342">
        <v>0</v>
      </c>
      <c r="AD20" s="342">
        <v>0</v>
      </c>
      <c r="AE20" s="342">
        <v>0</v>
      </c>
      <c r="AF20" s="342">
        <v>0</v>
      </c>
      <c r="AG20" s="60">
        <f t="shared" si="7"/>
        <v>0</v>
      </c>
      <c r="AH20" s="364"/>
      <c r="AI20" s="409"/>
      <c r="AJ20" s="409"/>
      <c r="AL20" s="409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86">
        <v>1.5</v>
      </c>
      <c r="H21" s="183">
        <f t="shared" si="3"/>
        <v>300.16829999999999</v>
      </c>
      <c r="I21" s="85">
        <f t="shared" si="8"/>
        <v>199.8878</v>
      </c>
      <c r="J21" s="86">
        <f t="shared" si="11"/>
        <v>75.042074999999997</v>
      </c>
      <c r="K21" s="84" t="s">
        <v>416</v>
      </c>
      <c r="L21" s="84">
        <v>733.18499999999995</v>
      </c>
      <c r="M21" s="299">
        <v>300</v>
      </c>
      <c r="N21" s="83">
        <f t="shared" si="9"/>
        <v>200.1122</v>
      </c>
      <c r="O21" s="244">
        <v>1.5</v>
      </c>
      <c r="P21" s="244">
        <f t="shared" si="5"/>
        <v>300.16829999999999</v>
      </c>
      <c r="Q21" s="203">
        <f t="shared" si="12"/>
        <v>-0.1682999999999879</v>
      </c>
      <c r="R21" s="201" t="str">
        <f t="shared" si="10"/>
        <v>Yes</v>
      </c>
      <c r="S21" s="364"/>
      <c r="T21" s="364"/>
      <c r="U21" s="246"/>
      <c r="AA21" s="60" t="s">
        <v>93</v>
      </c>
      <c r="AB21" s="342">
        <v>0</v>
      </c>
      <c r="AC21" s="340">
        <v>0</v>
      </c>
      <c r="AD21" s="342">
        <v>0</v>
      </c>
      <c r="AE21" s="342">
        <v>0</v>
      </c>
      <c r="AF21" s="342">
        <v>0</v>
      </c>
      <c r="AG21" s="60">
        <f t="shared" si="7"/>
        <v>0</v>
      </c>
      <c r="AH21" s="364"/>
      <c r="AI21" s="409"/>
      <c r="AJ21" s="409"/>
      <c r="AL21" s="409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10">
        <v>1.5</v>
      </c>
      <c r="H22" s="183">
        <f t="shared" si="3"/>
        <v>624.22170000000006</v>
      </c>
      <c r="I22" s="109">
        <f t="shared" si="8"/>
        <v>333.85219999999998</v>
      </c>
      <c r="J22" s="86">
        <f t="shared" si="11"/>
        <v>83.229560000000006</v>
      </c>
      <c r="K22" s="108" t="s">
        <v>361</v>
      </c>
      <c r="L22" s="108">
        <v>692.19500000000005</v>
      </c>
      <c r="M22" s="108">
        <v>750</v>
      </c>
      <c r="N22" s="107">
        <f t="shared" si="9"/>
        <v>416.14780000000002</v>
      </c>
      <c r="O22" s="244">
        <v>1.5</v>
      </c>
      <c r="P22" s="244">
        <f t="shared" si="5"/>
        <v>624.22170000000006</v>
      </c>
      <c r="Q22" s="203">
        <f t="shared" si="12"/>
        <v>125.77829999999994</v>
      </c>
      <c r="R22" s="83" t="str">
        <f t="shared" si="10"/>
        <v>No</v>
      </c>
      <c r="S22" s="364"/>
      <c r="T22" s="364"/>
      <c r="U22" s="246"/>
      <c r="AA22" s="60" t="s">
        <v>94</v>
      </c>
      <c r="AB22" s="342">
        <v>1</v>
      </c>
      <c r="AC22" s="340">
        <v>0</v>
      </c>
      <c r="AD22" s="342">
        <v>0</v>
      </c>
      <c r="AE22" s="342">
        <v>0</v>
      </c>
      <c r="AF22" s="342">
        <v>0</v>
      </c>
      <c r="AG22" s="60">
        <f t="shared" si="7"/>
        <v>1</v>
      </c>
      <c r="AH22" s="18" t="s">
        <v>516</v>
      </c>
      <c r="AI22" s="18"/>
      <c r="AJ22" s="409"/>
      <c r="AL22" s="409"/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10">
        <v>1.5</v>
      </c>
      <c r="H23" s="183">
        <f t="shared" si="3"/>
        <v>36.154499999999999</v>
      </c>
      <c r="I23" s="109">
        <f t="shared" si="8"/>
        <v>175.89699999999999</v>
      </c>
      <c r="J23" s="86">
        <f t="shared" si="11"/>
        <v>18.077249999999999</v>
      </c>
      <c r="K23" s="108" t="s">
        <v>412</v>
      </c>
      <c r="L23" s="108">
        <v>820.63</v>
      </c>
      <c r="M23" s="298">
        <v>150</v>
      </c>
      <c r="N23" s="107">
        <f t="shared" si="9"/>
        <v>24.103000000000002</v>
      </c>
      <c r="O23" s="244">
        <v>1.5</v>
      </c>
      <c r="P23" s="244">
        <f t="shared" si="5"/>
        <v>36.154499999999999</v>
      </c>
      <c r="Q23" s="203">
        <f t="shared" si="12"/>
        <v>113.8455</v>
      </c>
      <c r="R23" s="83" t="str">
        <f t="shared" si="10"/>
        <v>No</v>
      </c>
      <c r="S23" s="364"/>
      <c r="T23" s="364"/>
      <c r="U23" s="246"/>
      <c r="V23" s="320"/>
      <c r="W23" s="58"/>
      <c r="AA23" s="347" t="s">
        <v>505</v>
      </c>
      <c r="AB23" s="348">
        <v>0</v>
      </c>
      <c r="AC23" s="348">
        <v>0</v>
      </c>
      <c r="AD23" s="348">
        <v>0</v>
      </c>
      <c r="AE23" s="348">
        <v>0</v>
      </c>
      <c r="AF23" s="348">
        <v>0</v>
      </c>
      <c r="AG23" s="347">
        <f t="shared" si="7"/>
        <v>0</v>
      </c>
      <c r="AH23" s="364"/>
      <c r="AI23" s="520" t="s">
        <v>593</v>
      </c>
      <c r="AJ23" s="521"/>
      <c r="AK23" s="521"/>
      <c r="AL23" s="521"/>
      <c r="AM23" s="521"/>
      <c r="AN23" s="522"/>
      <c r="AO23" s="164"/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96">
        <v>1.5</v>
      </c>
      <c r="H24" s="183">
        <f t="shared" si="3"/>
        <v>33.525000000000006</v>
      </c>
      <c r="I24" s="95">
        <f t="shared" si="8"/>
        <v>177.65</v>
      </c>
      <c r="J24" s="86">
        <f t="shared" si="11"/>
        <v>16.762500000000003</v>
      </c>
      <c r="K24" s="94" t="s">
        <v>410</v>
      </c>
      <c r="L24" s="94">
        <v>660.63</v>
      </c>
      <c r="M24" s="291">
        <v>150</v>
      </c>
      <c r="N24" s="93">
        <f t="shared" si="9"/>
        <v>22.35</v>
      </c>
      <c r="O24" s="244">
        <v>1.5</v>
      </c>
      <c r="P24" s="244">
        <f t="shared" si="5"/>
        <v>33.525000000000006</v>
      </c>
      <c r="Q24" s="203">
        <f t="shared" si="12"/>
        <v>116.47499999999999</v>
      </c>
      <c r="R24" s="83" t="str">
        <f t="shared" si="10"/>
        <v>No</v>
      </c>
      <c r="S24" s="364"/>
      <c r="T24" s="364"/>
      <c r="V24" s="553" t="s">
        <v>455</v>
      </c>
      <c r="W24" s="554"/>
      <c r="X24" s="365"/>
      <c r="AA24" s="312" t="s">
        <v>515</v>
      </c>
      <c r="AB24" s="349">
        <f t="shared" ref="AB24:AG24" si="13">SUM(AB12:AB23)</f>
        <v>2</v>
      </c>
      <c r="AC24" s="349">
        <f t="shared" si="13"/>
        <v>0</v>
      </c>
      <c r="AD24" s="349">
        <f t="shared" si="13"/>
        <v>0</v>
      </c>
      <c r="AE24" s="349">
        <f t="shared" si="13"/>
        <v>0</v>
      </c>
      <c r="AF24" s="349">
        <f t="shared" si="13"/>
        <v>0</v>
      </c>
      <c r="AG24" s="350">
        <f t="shared" si="13"/>
        <v>2</v>
      </c>
      <c r="AH24" s="364"/>
      <c r="AI24" s="336" t="s">
        <v>506</v>
      </c>
      <c r="AJ24" s="338" t="s">
        <v>507</v>
      </c>
      <c r="AK24" s="338" t="s">
        <v>508</v>
      </c>
      <c r="AL24" s="338" t="s">
        <v>509</v>
      </c>
      <c r="AM24" s="338" t="s">
        <v>510</v>
      </c>
      <c r="AN24" s="339" t="s">
        <v>558</v>
      </c>
      <c r="AO24" s="312" t="s">
        <v>417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86">
        <v>1.5</v>
      </c>
      <c r="H25" s="183">
        <f t="shared" si="3"/>
        <v>0</v>
      </c>
      <c r="I25" s="85"/>
      <c r="J25" s="183"/>
      <c r="K25" s="84"/>
      <c r="L25" s="84"/>
      <c r="M25" s="84"/>
      <c r="N25" s="83"/>
      <c r="O25" s="244">
        <v>1.5</v>
      </c>
      <c r="P25" s="244">
        <f t="shared" si="5"/>
        <v>0</v>
      </c>
      <c r="Q25" s="82"/>
      <c r="R25" s="83"/>
      <c r="S25" s="356" t="s">
        <v>440</v>
      </c>
      <c r="T25" s="356" t="s">
        <v>457</v>
      </c>
      <c r="V25" s="91"/>
      <c r="W25" s="320"/>
      <c r="X25" s="100"/>
      <c r="AA25" s="312" t="s">
        <v>514</v>
      </c>
      <c r="AB25" s="351">
        <f>PRODUCT(AB24*AK15)</f>
        <v>30</v>
      </c>
      <c r="AC25" s="351">
        <f>PRODUCT(AC24*AK16)</f>
        <v>0</v>
      </c>
      <c r="AD25" s="351">
        <f>PRODUCT(AD24*AK17)</f>
        <v>0</v>
      </c>
      <c r="AE25" s="351">
        <f>PRODUCT(AE24*AK18)</f>
        <v>0</v>
      </c>
      <c r="AF25" s="351">
        <f>PRODUCT(AF24*AK19)</f>
        <v>0</v>
      </c>
      <c r="AG25" s="312">
        <f>SUM(AB25:AF25)</f>
        <v>30</v>
      </c>
      <c r="AH25" s="364"/>
      <c r="AI25" s="60" t="s">
        <v>84</v>
      </c>
      <c r="AJ25" s="342">
        <f>AB12+AB32</f>
        <v>0</v>
      </c>
      <c r="AK25" s="342">
        <f t="shared" ref="AK25:AN36" si="14">AC12+AC32</f>
        <v>8</v>
      </c>
      <c r="AL25" s="342">
        <f t="shared" si="14"/>
        <v>3</v>
      </c>
      <c r="AM25" s="342">
        <f t="shared" si="14"/>
        <v>2</v>
      </c>
      <c r="AN25" s="342">
        <f t="shared" si="14"/>
        <v>0</v>
      </c>
      <c r="AO25" s="343">
        <f>SUM(AJ25:AN25)</f>
        <v>13</v>
      </c>
    </row>
    <row r="26" spans="1:41" ht="15" customHeight="1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86">
        <v>1.5</v>
      </c>
      <c r="H26" s="183">
        <f t="shared" si="3"/>
        <v>996.77129999999988</v>
      </c>
      <c r="I26" s="85">
        <f t="shared" ref="I26:I56" si="15">E26-F26</f>
        <v>535.48580000000004</v>
      </c>
      <c r="J26" s="85">
        <f>H26/E26*100</f>
        <v>83.064274999999981</v>
      </c>
      <c r="K26" s="84" t="s">
        <v>405</v>
      </c>
      <c r="L26" s="84">
        <v>799.22</v>
      </c>
      <c r="M26" s="299">
        <v>900</v>
      </c>
      <c r="N26" s="83">
        <f t="shared" ref="N26:N56" si="16">F26</f>
        <v>664.51419999999996</v>
      </c>
      <c r="O26" s="244">
        <v>1.5</v>
      </c>
      <c r="P26" s="244">
        <f t="shared" si="5"/>
        <v>996.77129999999988</v>
      </c>
      <c r="Q26" s="82">
        <f>M26-P26</f>
        <v>-96.771299999999883</v>
      </c>
      <c r="R26" s="218" t="str">
        <f t="shared" ref="R26:R56" si="17">IF(Q26&gt;=0,"No","Yes")</f>
        <v>Yes</v>
      </c>
      <c r="S26" s="557" t="s">
        <v>351</v>
      </c>
      <c r="T26" s="555" t="s">
        <v>351</v>
      </c>
      <c r="V26" s="302" t="s">
        <v>390</v>
      </c>
      <c r="W26" s="363" t="s">
        <v>389</v>
      </c>
      <c r="X26" s="303" t="s">
        <v>388</v>
      </c>
      <c r="AA26" s="312" t="s">
        <v>513</v>
      </c>
      <c r="AB26" s="351">
        <f>AB24*AJ15</f>
        <v>200</v>
      </c>
      <c r="AC26" s="351">
        <f>AC24*AJ16</f>
        <v>0</v>
      </c>
      <c r="AD26" s="351">
        <f>AD24*AJ17</f>
        <v>0</v>
      </c>
      <c r="AE26" s="351">
        <f>AE24*AJ18</f>
        <v>0</v>
      </c>
      <c r="AF26" s="351">
        <f>AF24*AJ19</f>
        <v>0</v>
      </c>
      <c r="AG26" s="312">
        <f>SUM(AB26:AF26)</f>
        <v>200</v>
      </c>
      <c r="AH26" s="364"/>
      <c r="AI26" s="60" t="s">
        <v>85</v>
      </c>
      <c r="AJ26" s="342">
        <f t="shared" ref="AJ26:AJ36" si="18">AB13+AB33</f>
        <v>0</v>
      </c>
      <c r="AK26" s="342">
        <f t="shared" si="14"/>
        <v>11</v>
      </c>
      <c r="AL26" s="342">
        <f t="shared" si="14"/>
        <v>6</v>
      </c>
      <c r="AM26" s="342">
        <f t="shared" si="14"/>
        <v>0</v>
      </c>
      <c r="AN26" s="342">
        <f t="shared" si="14"/>
        <v>4</v>
      </c>
      <c r="AO26" s="60">
        <f t="shared" ref="AO26:AO36" si="19">SUM(AJ26:AN26)</f>
        <v>21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55">
        <v>1.5</v>
      </c>
      <c r="H27" s="183">
        <f t="shared" si="3"/>
        <v>637.00244999999995</v>
      </c>
      <c r="I27" s="154">
        <f t="shared" si="15"/>
        <v>475.33170000000001</v>
      </c>
      <c r="J27" s="85">
        <f t="shared" ref="J27:J56" si="20">H27/E27*100</f>
        <v>70.778049999999993</v>
      </c>
      <c r="K27" s="153" t="s">
        <v>404</v>
      </c>
      <c r="L27" s="153">
        <v>973.76</v>
      </c>
      <c r="M27" s="153">
        <v>900</v>
      </c>
      <c r="N27" s="71">
        <f t="shared" si="16"/>
        <v>424.66829999999999</v>
      </c>
      <c r="O27" s="244">
        <v>1.5</v>
      </c>
      <c r="P27" s="244">
        <f t="shared" si="5"/>
        <v>637.00244999999995</v>
      </c>
      <c r="Q27" s="82">
        <f t="shared" ref="Q27:Q56" si="21">M27-P27</f>
        <v>262.99755000000005</v>
      </c>
      <c r="R27" s="201" t="str">
        <f t="shared" si="17"/>
        <v>No</v>
      </c>
      <c r="S27" s="558"/>
      <c r="T27" s="556"/>
      <c r="V27" s="133"/>
      <c r="W27" s="132"/>
      <c r="X27" s="100">
        <f>(W27/200)*100</f>
        <v>0</v>
      </c>
      <c r="AA27" s="409"/>
      <c r="AB27" s="409"/>
      <c r="AC27" s="409"/>
      <c r="AD27" s="409"/>
      <c r="AE27" s="409"/>
      <c r="AF27" s="409"/>
      <c r="AG27" s="409"/>
      <c r="AI27" s="60" t="s">
        <v>86</v>
      </c>
      <c r="AJ27" s="342">
        <f t="shared" si="18"/>
        <v>0</v>
      </c>
      <c r="AK27" s="342">
        <f t="shared" si="14"/>
        <v>0</v>
      </c>
      <c r="AL27" s="342">
        <f t="shared" si="14"/>
        <v>4</v>
      </c>
      <c r="AM27" s="342">
        <f t="shared" si="14"/>
        <v>0</v>
      </c>
      <c r="AN27" s="342">
        <f t="shared" si="14"/>
        <v>2</v>
      </c>
      <c r="AO27" s="60">
        <f t="shared" si="19"/>
        <v>6</v>
      </c>
    </row>
    <row r="28" spans="1:41" ht="15" customHeight="1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96">
        <v>1.5</v>
      </c>
      <c r="H28" s="183">
        <f t="shared" si="3"/>
        <v>621.76125000000002</v>
      </c>
      <c r="I28" s="95">
        <f t="shared" si="15"/>
        <v>385.49250000000001</v>
      </c>
      <c r="J28" s="85">
        <f t="shared" si="20"/>
        <v>77.720156250000002</v>
      </c>
      <c r="K28" s="94" t="s">
        <v>402</v>
      </c>
      <c r="L28" s="94">
        <v>849.47500000000002</v>
      </c>
      <c r="M28" s="291">
        <v>600</v>
      </c>
      <c r="N28" s="93">
        <f t="shared" si="16"/>
        <v>414.50749999999999</v>
      </c>
      <c r="O28" s="244">
        <v>1.5</v>
      </c>
      <c r="P28" s="244">
        <f t="shared" si="5"/>
        <v>621.76125000000002</v>
      </c>
      <c r="Q28" s="82">
        <f t="shared" si="21"/>
        <v>-21.761250000000018</v>
      </c>
      <c r="R28" s="201" t="str">
        <f t="shared" si="17"/>
        <v>Yes</v>
      </c>
      <c r="S28" s="357"/>
      <c r="T28" s="360"/>
      <c r="V28" s="133"/>
      <c r="W28" s="132"/>
      <c r="X28" s="100">
        <f>(W28/150)*100</f>
        <v>0</v>
      </c>
      <c r="AA28" s="409"/>
      <c r="AB28" s="409"/>
      <c r="AC28" s="409"/>
      <c r="AD28" s="409"/>
      <c r="AE28" s="409"/>
      <c r="AF28" s="409"/>
      <c r="AG28" s="409"/>
      <c r="AH28" s="364"/>
      <c r="AI28" s="60" t="s">
        <v>87</v>
      </c>
      <c r="AJ28" s="342">
        <f t="shared" si="18"/>
        <v>1</v>
      </c>
      <c r="AK28" s="342">
        <f t="shared" si="14"/>
        <v>20</v>
      </c>
      <c r="AL28" s="342">
        <f t="shared" si="14"/>
        <v>27</v>
      </c>
      <c r="AM28" s="342">
        <f t="shared" si="14"/>
        <v>15</v>
      </c>
      <c r="AN28" s="342">
        <f t="shared" si="14"/>
        <v>0</v>
      </c>
      <c r="AO28" s="60">
        <f t="shared" si="19"/>
        <v>63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96">
        <v>1.5</v>
      </c>
      <c r="H29" s="183">
        <f t="shared" si="3"/>
        <v>278.15129999999999</v>
      </c>
      <c r="I29" s="95">
        <f t="shared" si="15"/>
        <v>264.56579999999997</v>
      </c>
      <c r="J29" s="85">
        <f t="shared" si="20"/>
        <v>61.811399999999992</v>
      </c>
      <c r="K29" s="94" t="s">
        <v>385</v>
      </c>
      <c r="L29" s="94">
        <v>975.03499999999997</v>
      </c>
      <c r="M29" s="94">
        <v>450</v>
      </c>
      <c r="N29" s="93">
        <f t="shared" si="16"/>
        <v>185.4342</v>
      </c>
      <c r="O29" s="244">
        <v>1.5</v>
      </c>
      <c r="P29" s="244">
        <f t="shared" si="5"/>
        <v>278.15129999999999</v>
      </c>
      <c r="Q29" s="82">
        <f t="shared" si="21"/>
        <v>171.84870000000001</v>
      </c>
      <c r="R29" s="201" t="str">
        <f t="shared" si="17"/>
        <v>No</v>
      </c>
      <c r="S29" s="359"/>
      <c r="T29" s="361"/>
      <c r="V29" s="133"/>
      <c r="W29" s="132"/>
      <c r="X29" s="100"/>
      <c r="AA29" s="409"/>
      <c r="AB29" s="409"/>
      <c r="AC29" s="409"/>
      <c r="AD29" s="409"/>
      <c r="AE29" s="409"/>
      <c r="AF29" s="409"/>
      <c r="AG29" s="409"/>
      <c r="AH29" s="364"/>
      <c r="AI29" s="60" t="s">
        <v>88</v>
      </c>
      <c r="AJ29" s="342">
        <f t="shared" si="18"/>
        <v>0</v>
      </c>
      <c r="AK29" s="342">
        <f t="shared" si="14"/>
        <v>0</v>
      </c>
      <c r="AL29" s="342">
        <f t="shared" si="14"/>
        <v>13</v>
      </c>
      <c r="AM29" s="342">
        <f t="shared" si="14"/>
        <v>1</v>
      </c>
      <c r="AN29" s="342">
        <f t="shared" si="14"/>
        <v>0</v>
      </c>
      <c r="AO29" s="60">
        <f t="shared" si="19"/>
        <v>14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10">
        <v>1.5</v>
      </c>
      <c r="H30" s="183">
        <f t="shared" si="3"/>
        <v>320.77244999999999</v>
      </c>
      <c r="I30" s="109">
        <f t="shared" si="15"/>
        <v>236.15170000000001</v>
      </c>
      <c r="J30" s="85">
        <f t="shared" si="20"/>
        <v>71.28276666666666</v>
      </c>
      <c r="K30" s="108" t="s">
        <v>399</v>
      </c>
      <c r="L30" s="108">
        <v>1347.24</v>
      </c>
      <c r="M30" s="298">
        <v>300</v>
      </c>
      <c r="N30" s="107">
        <f t="shared" si="16"/>
        <v>213.84829999999999</v>
      </c>
      <c r="O30" s="244">
        <v>1.5</v>
      </c>
      <c r="P30" s="244">
        <f t="shared" si="5"/>
        <v>320.77244999999999</v>
      </c>
      <c r="Q30" s="82">
        <f t="shared" si="21"/>
        <v>-20.772449999999992</v>
      </c>
      <c r="R30" s="218" t="str">
        <f t="shared" si="17"/>
        <v>Yes</v>
      </c>
      <c r="S30" s="359" t="s">
        <v>351</v>
      </c>
      <c r="T30" s="361" t="s">
        <v>351</v>
      </c>
      <c r="V30" s="91"/>
      <c r="W30" s="320"/>
      <c r="X30" s="100"/>
      <c r="AA30" s="520" t="s">
        <v>592</v>
      </c>
      <c r="AB30" s="521"/>
      <c r="AC30" s="521"/>
      <c r="AD30" s="521"/>
      <c r="AE30" s="521"/>
      <c r="AF30" s="522"/>
      <c r="AG30" s="164"/>
      <c r="AH30" s="364"/>
      <c r="AI30" s="60" t="s">
        <v>89</v>
      </c>
      <c r="AJ30" s="342">
        <f t="shared" si="18"/>
        <v>0</v>
      </c>
      <c r="AK30" s="342">
        <f t="shared" si="14"/>
        <v>13</v>
      </c>
      <c r="AL30" s="342">
        <f t="shared" si="14"/>
        <v>1</v>
      </c>
      <c r="AM30" s="342">
        <f t="shared" si="14"/>
        <v>1</v>
      </c>
      <c r="AN30" s="342">
        <f t="shared" si="14"/>
        <v>0</v>
      </c>
      <c r="AO30" s="60">
        <f t="shared" si="19"/>
        <v>15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96">
        <v>1.5</v>
      </c>
      <c r="H31" s="183">
        <f t="shared" si="3"/>
        <v>481.17255</v>
      </c>
      <c r="I31" s="95">
        <f t="shared" si="15"/>
        <v>279.2183</v>
      </c>
      <c r="J31" s="85">
        <f t="shared" si="20"/>
        <v>80.195425</v>
      </c>
      <c r="K31" s="94" t="s">
        <v>397</v>
      </c>
      <c r="L31" s="94">
        <v>762.03</v>
      </c>
      <c r="M31" s="291">
        <v>450</v>
      </c>
      <c r="N31" s="93">
        <f t="shared" si="16"/>
        <v>320.7817</v>
      </c>
      <c r="O31" s="244">
        <v>1.5</v>
      </c>
      <c r="P31" s="244">
        <f t="shared" si="5"/>
        <v>481.17255</v>
      </c>
      <c r="Q31" s="82">
        <f t="shared" si="21"/>
        <v>-31.172550000000001</v>
      </c>
      <c r="R31" s="218" t="str">
        <f t="shared" si="17"/>
        <v>Yes</v>
      </c>
      <c r="S31" s="359"/>
      <c r="T31" s="361"/>
      <c r="V31" s="304" t="s">
        <v>20</v>
      </c>
      <c r="W31" s="234">
        <v>18</v>
      </c>
      <c r="X31" s="90"/>
      <c r="Y31" s="320"/>
      <c r="Z31" s="17"/>
      <c r="AA31" s="336" t="s">
        <v>506</v>
      </c>
      <c r="AB31" s="338" t="s">
        <v>507</v>
      </c>
      <c r="AC31" s="338" t="s">
        <v>508</v>
      </c>
      <c r="AD31" s="338" t="s">
        <v>509</v>
      </c>
      <c r="AE31" s="338" t="s">
        <v>510</v>
      </c>
      <c r="AF31" s="339" t="s">
        <v>558</v>
      </c>
      <c r="AG31" s="312" t="s">
        <v>417</v>
      </c>
      <c r="AH31" s="364"/>
      <c r="AI31" s="60" t="s">
        <v>90</v>
      </c>
      <c r="AJ31" s="342">
        <f t="shared" si="18"/>
        <v>0</v>
      </c>
      <c r="AK31" s="342">
        <f t="shared" si="14"/>
        <v>0</v>
      </c>
      <c r="AL31" s="342">
        <f t="shared" si="14"/>
        <v>1</v>
      </c>
      <c r="AM31" s="342">
        <f t="shared" si="14"/>
        <v>2</v>
      </c>
      <c r="AN31" s="342">
        <f t="shared" si="14"/>
        <v>2</v>
      </c>
      <c r="AO31" s="60">
        <f t="shared" si="19"/>
        <v>5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96">
        <v>1.5</v>
      </c>
      <c r="H32" s="183">
        <f t="shared" si="3"/>
        <v>416.36130000000003</v>
      </c>
      <c r="I32" s="95">
        <f t="shared" si="15"/>
        <v>222.42579999999998</v>
      </c>
      <c r="J32" s="85">
        <f t="shared" si="20"/>
        <v>83.272260000000003</v>
      </c>
      <c r="K32" s="94" t="s">
        <v>394</v>
      </c>
      <c r="L32" s="94">
        <v>922.03</v>
      </c>
      <c r="M32" s="291">
        <v>300</v>
      </c>
      <c r="N32" s="107">
        <f t="shared" si="16"/>
        <v>277.57420000000002</v>
      </c>
      <c r="O32" s="244">
        <v>1.5</v>
      </c>
      <c r="P32" s="244">
        <f t="shared" si="5"/>
        <v>416.36130000000003</v>
      </c>
      <c r="Q32" s="82">
        <f t="shared" si="21"/>
        <v>-116.36130000000003</v>
      </c>
      <c r="R32" s="201" t="str">
        <f t="shared" si="17"/>
        <v>Yes</v>
      </c>
      <c r="S32" s="358"/>
      <c r="T32" s="362"/>
      <c r="V32" s="163" t="s">
        <v>369</v>
      </c>
      <c r="W32" s="252">
        <f>SUM(W27:W31)</f>
        <v>18</v>
      </c>
      <c r="X32" s="320"/>
      <c r="Y32" s="320"/>
      <c r="AA32" s="60" t="s">
        <v>84</v>
      </c>
      <c r="AB32" s="342">
        <v>0</v>
      </c>
      <c r="AC32" s="342">
        <f>8</f>
        <v>8</v>
      </c>
      <c r="AD32" s="412">
        <f>2+1</f>
        <v>3</v>
      </c>
      <c r="AE32" s="412">
        <f>2</f>
        <v>2</v>
      </c>
      <c r="AF32" s="342">
        <v>0</v>
      </c>
      <c r="AG32" s="343">
        <f>SUM(AB32:AF32)</f>
        <v>13</v>
      </c>
      <c r="AH32" s="364"/>
      <c r="AI32" s="60" t="s">
        <v>91</v>
      </c>
      <c r="AJ32" s="342">
        <f t="shared" si="18"/>
        <v>0</v>
      </c>
      <c r="AK32" s="342">
        <f t="shared" si="14"/>
        <v>17</v>
      </c>
      <c r="AL32" s="342">
        <f t="shared" si="14"/>
        <v>3</v>
      </c>
      <c r="AM32" s="342">
        <f t="shared" si="14"/>
        <v>2</v>
      </c>
      <c r="AN32" s="342">
        <f t="shared" si="14"/>
        <v>0</v>
      </c>
      <c r="AO32" s="60">
        <f t="shared" si="19"/>
        <v>22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86">
        <v>1.5</v>
      </c>
      <c r="H33" s="183">
        <f t="shared" si="3"/>
        <v>890.08500000000004</v>
      </c>
      <c r="I33" s="85">
        <f t="shared" si="15"/>
        <v>606.61</v>
      </c>
      <c r="J33" s="85">
        <f t="shared" si="20"/>
        <v>74.173749999999998</v>
      </c>
      <c r="K33" s="84" t="s">
        <v>391</v>
      </c>
      <c r="L33" s="84">
        <v>778.62</v>
      </c>
      <c r="M33" s="84">
        <v>1200</v>
      </c>
      <c r="N33" s="83">
        <f t="shared" si="16"/>
        <v>593.39</v>
      </c>
      <c r="O33" s="244">
        <v>1.5</v>
      </c>
      <c r="P33" s="244">
        <f t="shared" si="5"/>
        <v>890.08500000000004</v>
      </c>
      <c r="Q33" s="82">
        <f t="shared" si="21"/>
        <v>309.91499999999996</v>
      </c>
      <c r="R33" s="201" t="str">
        <f t="shared" si="17"/>
        <v>No</v>
      </c>
      <c r="S33" s="233"/>
      <c r="T33" s="233"/>
      <c r="U33" s="246"/>
      <c r="V33" s="251" t="s">
        <v>365</v>
      </c>
      <c r="W33" s="250">
        <f>W32/E57</f>
        <v>5.980066445182724E-4</v>
      </c>
      <c r="X33" s="320"/>
      <c r="AA33" s="60" t="s">
        <v>85</v>
      </c>
      <c r="AB33" s="342">
        <v>0</v>
      </c>
      <c r="AC33" s="342">
        <f>5+3+3</f>
        <v>11</v>
      </c>
      <c r="AD33" s="342">
        <f>4+2</f>
        <v>6</v>
      </c>
      <c r="AE33" s="342">
        <v>0</v>
      </c>
      <c r="AF33" s="342">
        <f>2+2</f>
        <v>4</v>
      </c>
      <c r="AG33" s="60">
        <f t="shared" ref="AG33:AG43" si="22">SUM(AB33:AF33)</f>
        <v>21</v>
      </c>
      <c r="AH33" s="364"/>
      <c r="AI33" s="60" t="s">
        <v>92</v>
      </c>
      <c r="AJ33" s="342">
        <f t="shared" si="18"/>
        <v>0</v>
      </c>
      <c r="AK33" s="342">
        <f t="shared" si="14"/>
        <v>6</v>
      </c>
      <c r="AL33" s="342">
        <f t="shared" si="14"/>
        <v>13</v>
      </c>
      <c r="AM33" s="342">
        <f t="shared" si="14"/>
        <v>0</v>
      </c>
      <c r="AN33" s="342">
        <f t="shared" si="14"/>
        <v>0</v>
      </c>
      <c r="AO33" s="60">
        <f t="shared" si="19"/>
        <v>19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10">
        <v>1.5</v>
      </c>
      <c r="H34" s="183">
        <f t="shared" si="3"/>
        <v>278.15129999999999</v>
      </c>
      <c r="I34" s="109">
        <f t="shared" si="15"/>
        <v>264.56579999999997</v>
      </c>
      <c r="J34" s="85">
        <f t="shared" si="20"/>
        <v>61.811399999999992</v>
      </c>
      <c r="K34" s="108" t="s">
        <v>385</v>
      </c>
      <c r="L34" s="108">
        <v>975.03499999999997</v>
      </c>
      <c r="M34" s="108">
        <v>450</v>
      </c>
      <c r="N34" s="107">
        <f t="shared" si="16"/>
        <v>185.4342</v>
      </c>
      <c r="O34" s="244">
        <v>1.5</v>
      </c>
      <c r="P34" s="244">
        <f t="shared" si="5"/>
        <v>278.15129999999999</v>
      </c>
      <c r="Q34" s="82">
        <f t="shared" si="21"/>
        <v>171.84870000000001</v>
      </c>
      <c r="R34" s="201" t="str">
        <f t="shared" si="17"/>
        <v>No</v>
      </c>
      <c r="S34" s="364"/>
      <c r="T34" s="364"/>
      <c r="U34" s="246"/>
      <c r="V34" s="135"/>
      <c r="W34" s="135"/>
      <c r="X34" s="135"/>
      <c r="AA34" s="60" t="s">
        <v>86</v>
      </c>
      <c r="AB34" s="342">
        <v>0</v>
      </c>
      <c r="AC34" s="342">
        <v>0</v>
      </c>
      <c r="AD34" s="340">
        <f>3+1</f>
        <v>4</v>
      </c>
      <c r="AE34" s="342">
        <v>0</v>
      </c>
      <c r="AF34" s="342">
        <f>2</f>
        <v>2</v>
      </c>
      <c r="AG34" s="60">
        <f t="shared" si="22"/>
        <v>6</v>
      </c>
      <c r="AH34" s="364"/>
      <c r="AI34" s="60" t="s">
        <v>93</v>
      </c>
      <c r="AJ34" s="342">
        <f t="shared" si="18"/>
        <v>0</v>
      </c>
      <c r="AK34" s="342">
        <f t="shared" si="14"/>
        <v>0</v>
      </c>
      <c r="AL34" s="342">
        <f t="shared" si="14"/>
        <v>3</v>
      </c>
      <c r="AM34" s="342">
        <f t="shared" si="14"/>
        <v>6</v>
      </c>
      <c r="AN34" s="342">
        <f t="shared" si="14"/>
        <v>0</v>
      </c>
      <c r="AO34" s="60">
        <f t="shared" si="19"/>
        <v>9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96">
        <v>1.5</v>
      </c>
      <c r="H35" s="183">
        <f t="shared" si="3"/>
        <v>737.21355000000005</v>
      </c>
      <c r="I35" s="95">
        <f t="shared" si="15"/>
        <v>408.52429999999998</v>
      </c>
      <c r="J35" s="85">
        <f t="shared" si="20"/>
        <v>81.912616666666665</v>
      </c>
      <c r="K35" s="94" t="s">
        <v>381</v>
      </c>
      <c r="L35" s="94">
        <v>660.12</v>
      </c>
      <c r="M35" s="94">
        <v>900</v>
      </c>
      <c r="N35" s="93">
        <f t="shared" si="16"/>
        <v>491.47570000000002</v>
      </c>
      <c r="O35" s="244">
        <v>1.5</v>
      </c>
      <c r="P35" s="244">
        <f t="shared" si="5"/>
        <v>737.21355000000005</v>
      </c>
      <c r="Q35" s="82">
        <f t="shared" si="21"/>
        <v>162.78644999999995</v>
      </c>
      <c r="R35" s="201" t="str">
        <f t="shared" si="17"/>
        <v>No</v>
      </c>
      <c r="S35" s="364"/>
      <c r="T35" s="364"/>
      <c r="U35" s="246"/>
      <c r="V35" s="249"/>
      <c r="W35" s="135"/>
      <c r="X35" s="135"/>
      <c r="Y35" s="320"/>
      <c r="AA35" s="60" t="s">
        <v>87</v>
      </c>
      <c r="AB35" s="342">
        <v>0</v>
      </c>
      <c r="AC35" s="413">
        <f>8+6+6</f>
        <v>20</v>
      </c>
      <c r="AD35" s="342">
        <f>4+3+6+11+3</f>
        <v>27</v>
      </c>
      <c r="AE35" s="342">
        <f>2+6+7</f>
        <v>15</v>
      </c>
      <c r="AF35" s="342">
        <v>0</v>
      </c>
      <c r="AG35" s="60">
        <f t="shared" si="22"/>
        <v>62</v>
      </c>
      <c r="AH35" s="364"/>
      <c r="AI35" s="60" t="s">
        <v>94</v>
      </c>
      <c r="AJ35" s="342">
        <f t="shared" si="18"/>
        <v>1</v>
      </c>
      <c r="AK35" s="342">
        <f t="shared" si="14"/>
        <v>2</v>
      </c>
      <c r="AL35" s="342">
        <f t="shared" si="14"/>
        <v>3</v>
      </c>
      <c r="AM35" s="342">
        <f t="shared" si="14"/>
        <v>7</v>
      </c>
      <c r="AN35" s="342">
        <f t="shared" si="14"/>
        <v>0</v>
      </c>
      <c r="AO35" s="60">
        <f t="shared" si="19"/>
        <v>13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86">
        <v>1.5</v>
      </c>
      <c r="H36" s="183">
        <f t="shared" si="3"/>
        <v>320.77244999999999</v>
      </c>
      <c r="I36" s="85">
        <f t="shared" si="15"/>
        <v>236.15170000000001</v>
      </c>
      <c r="J36" s="85">
        <f t="shared" si="20"/>
        <v>71.28276666666666</v>
      </c>
      <c r="K36" s="84" t="s">
        <v>377</v>
      </c>
      <c r="L36" s="84">
        <v>844.89</v>
      </c>
      <c r="M36" s="84">
        <v>450</v>
      </c>
      <c r="N36" s="83">
        <f t="shared" si="16"/>
        <v>213.84829999999999</v>
      </c>
      <c r="O36" s="244">
        <v>1.5</v>
      </c>
      <c r="P36" s="244">
        <f t="shared" si="5"/>
        <v>320.77244999999999</v>
      </c>
      <c r="Q36" s="82">
        <f t="shared" si="21"/>
        <v>129.22755000000001</v>
      </c>
      <c r="R36" s="201" t="str">
        <f t="shared" si="17"/>
        <v>No</v>
      </c>
      <c r="S36" s="364"/>
      <c r="T36" s="364"/>
      <c r="U36" s="246"/>
      <c r="AA36" s="60" t="s">
        <v>88</v>
      </c>
      <c r="AB36" s="342">
        <v>0</v>
      </c>
      <c r="AC36" s="342">
        <v>0</v>
      </c>
      <c r="AD36" s="342">
        <f>2+2+1+6+1+1</f>
        <v>13</v>
      </c>
      <c r="AE36" s="342">
        <f>1</f>
        <v>1</v>
      </c>
      <c r="AF36" s="342">
        <v>0</v>
      </c>
      <c r="AG36" s="60">
        <f t="shared" si="22"/>
        <v>14</v>
      </c>
      <c r="AH36" s="364"/>
      <c r="AI36" s="347" t="s">
        <v>505</v>
      </c>
      <c r="AJ36" s="342">
        <f t="shared" si="18"/>
        <v>0</v>
      </c>
      <c r="AK36" s="342">
        <f t="shared" si="14"/>
        <v>1</v>
      </c>
      <c r="AL36" s="342">
        <f t="shared" si="14"/>
        <v>3</v>
      </c>
      <c r="AM36" s="342">
        <f t="shared" si="14"/>
        <v>0</v>
      </c>
      <c r="AN36" s="342">
        <f t="shared" si="14"/>
        <v>0</v>
      </c>
      <c r="AO36" s="347">
        <f t="shared" si="19"/>
        <v>4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96">
        <v>1.5</v>
      </c>
      <c r="H37" s="183">
        <f t="shared" si="3"/>
        <v>1726.992</v>
      </c>
      <c r="I37" s="95">
        <f t="shared" si="15"/>
        <v>1048.672</v>
      </c>
      <c r="J37" s="85">
        <f t="shared" si="20"/>
        <v>78.499636363636355</v>
      </c>
      <c r="K37" s="94" t="s">
        <v>374</v>
      </c>
      <c r="L37" s="94">
        <v>503.42500000000001</v>
      </c>
      <c r="M37" s="94">
        <v>2200</v>
      </c>
      <c r="N37" s="93">
        <f t="shared" si="16"/>
        <v>1151.328</v>
      </c>
      <c r="O37" s="244">
        <v>1.5</v>
      </c>
      <c r="P37" s="244">
        <f t="shared" si="5"/>
        <v>1726.992</v>
      </c>
      <c r="Q37" s="82">
        <f t="shared" si="21"/>
        <v>473.00800000000004</v>
      </c>
      <c r="R37" s="201" t="str">
        <f t="shared" si="17"/>
        <v>No</v>
      </c>
      <c r="S37" s="248"/>
      <c r="T37" s="248"/>
      <c r="U37" s="246"/>
      <c r="AA37" s="60" t="s">
        <v>89</v>
      </c>
      <c r="AB37" s="342">
        <v>0</v>
      </c>
      <c r="AC37" s="342">
        <f>5+6+2</f>
        <v>13</v>
      </c>
      <c r="AD37" s="342">
        <f>1</f>
        <v>1</v>
      </c>
      <c r="AE37" s="342">
        <f>1</f>
        <v>1</v>
      </c>
      <c r="AF37" s="342">
        <v>0</v>
      </c>
      <c r="AG37" s="60">
        <f t="shared" si="22"/>
        <v>15</v>
      </c>
      <c r="AH37" s="364"/>
      <c r="AI37" s="312" t="s">
        <v>515</v>
      </c>
      <c r="AJ37" s="349">
        <f t="shared" ref="AJ37:AO37" si="23">SUM(AJ25:AJ36)</f>
        <v>2</v>
      </c>
      <c r="AK37" s="349">
        <f t="shared" si="23"/>
        <v>78</v>
      </c>
      <c r="AL37" s="349">
        <f t="shared" si="23"/>
        <v>80</v>
      </c>
      <c r="AM37" s="349">
        <f t="shared" si="23"/>
        <v>36</v>
      </c>
      <c r="AN37" s="349">
        <f t="shared" si="23"/>
        <v>8</v>
      </c>
      <c r="AO37" s="350">
        <f t="shared" si="23"/>
        <v>204</v>
      </c>
    </row>
    <row r="38" spans="1:41" ht="13.5" thickBot="1">
      <c r="A38" s="35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86">
        <v>1.5</v>
      </c>
      <c r="H38" s="183">
        <f t="shared" si="3"/>
        <v>1169.28495</v>
      </c>
      <c r="I38" s="85">
        <f t="shared" si="15"/>
        <v>720.47670000000005</v>
      </c>
      <c r="J38" s="85">
        <f t="shared" si="20"/>
        <v>77.952330000000003</v>
      </c>
      <c r="K38" s="84" t="s">
        <v>371</v>
      </c>
      <c r="L38" s="84">
        <v>539.80499999999995</v>
      </c>
      <c r="M38" s="299">
        <v>900</v>
      </c>
      <c r="N38" s="83">
        <f t="shared" si="16"/>
        <v>779.52329999999995</v>
      </c>
      <c r="O38" s="244">
        <v>1.5</v>
      </c>
      <c r="P38" s="244">
        <f t="shared" si="5"/>
        <v>1169.28495</v>
      </c>
      <c r="Q38" s="82">
        <f t="shared" si="21"/>
        <v>-269.28494999999998</v>
      </c>
      <c r="R38" s="218" t="str">
        <f t="shared" si="17"/>
        <v>Yes</v>
      </c>
      <c r="S38" s="220" t="s">
        <v>351</v>
      </c>
      <c r="T38" s="219" t="s">
        <v>351</v>
      </c>
      <c r="AA38" s="60" t="s">
        <v>90</v>
      </c>
      <c r="AB38" s="342">
        <v>0</v>
      </c>
      <c r="AC38" s="340">
        <v>0</v>
      </c>
      <c r="AD38" s="340">
        <f>1</f>
        <v>1</v>
      </c>
      <c r="AE38" s="342">
        <f>2</f>
        <v>2</v>
      </c>
      <c r="AF38" s="342">
        <f>2</f>
        <v>2</v>
      </c>
      <c r="AG38" s="60">
        <f t="shared" si="22"/>
        <v>5</v>
      </c>
      <c r="AH38" s="364"/>
      <c r="AI38" s="312" t="s">
        <v>514</v>
      </c>
      <c r="AJ38" s="351">
        <f>PRODUCT(AJ37*AK15)</f>
        <v>30</v>
      </c>
      <c r="AK38" s="414">
        <f>PRODUCT(AK37*AK16)</f>
        <v>1276.7742000000001</v>
      </c>
      <c r="AL38" s="414">
        <f>PRODUCT(AL37*AK17)</f>
        <v>1339.7360000000001</v>
      </c>
      <c r="AM38" s="414">
        <f>PRODUCT(AM37*AK18)</f>
        <v>607.91759999999999</v>
      </c>
      <c r="AN38" s="414">
        <f>PRODUCT(AN37*AK19)</f>
        <v>136</v>
      </c>
      <c r="AO38" s="415">
        <f>SUM(AJ38:AN38)</f>
        <v>3390.4278000000004</v>
      </c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86">
        <v>1.5</v>
      </c>
      <c r="H39" s="183">
        <f t="shared" si="3"/>
        <v>1329.2317499999999</v>
      </c>
      <c r="I39" s="85">
        <f t="shared" si="15"/>
        <v>863.84550000000002</v>
      </c>
      <c r="J39" s="85">
        <f t="shared" si="20"/>
        <v>75.956099999999992</v>
      </c>
      <c r="K39" s="84" t="s">
        <v>366</v>
      </c>
      <c r="L39" s="84">
        <v>585.61500000000001</v>
      </c>
      <c r="M39" s="299">
        <v>1050</v>
      </c>
      <c r="N39" s="83">
        <f t="shared" si="16"/>
        <v>886.15449999999998</v>
      </c>
      <c r="O39" s="244">
        <v>1.5</v>
      </c>
      <c r="P39" s="244">
        <f t="shared" si="5"/>
        <v>1329.2317499999999</v>
      </c>
      <c r="Q39" s="82">
        <f t="shared" si="21"/>
        <v>-279.23174999999992</v>
      </c>
      <c r="R39" s="218" t="str">
        <f t="shared" si="17"/>
        <v>Yes</v>
      </c>
      <c r="S39" s="217" t="s">
        <v>20</v>
      </c>
      <c r="T39" s="216">
        <v>18</v>
      </c>
      <c r="AA39" s="60" t="s">
        <v>91</v>
      </c>
      <c r="AB39" s="342">
        <v>0</v>
      </c>
      <c r="AC39" s="340">
        <f>3+6+2+3+2+1</f>
        <v>17</v>
      </c>
      <c r="AD39" s="342">
        <f>1+2</f>
        <v>3</v>
      </c>
      <c r="AE39" s="342">
        <f>2</f>
        <v>2</v>
      </c>
      <c r="AF39" s="342">
        <v>0</v>
      </c>
      <c r="AG39" s="60">
        <f t="shared" si="22"/>
        <v>22</v>
      </c>
      <c r="AI39" s="312" t="s">
        <v>559</v>
      </c>
      <c r="AJ39" s="351">
        <f>AJ37*AJ15</f>
        <v>200</v>
      </c>
      <c r="AK39" s="351">
        <f>AK37*AJ16</f>
        <v>11700</v>
      </c>
      <c r="AL39" s="351">
        <f>AL37*AJ17</f>
        <v>16000</v>
      </c>
      <c r="AM39" s="351">
        <f>AM37*AJ18</f>
        <v>9000</v>
      </c>
      <c r="AN39" s="351">
        <f>AN37*AJ19</f>
        <v>2400</v>
      </c>
      <c r="AO39" s="312">
        <f>SUM(AJ39:AN39)</f>
        <v>39300</v>
      </c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74">
        <v>1.5</v>
      </c>
      <c r="H40" s="183">
        <f t="shared" si="3"/>
        <v>350.71049999999997</v>
      </c>
      <c r="I40" s="73">
        <f t="shared" si="15"/>
        <v>366.19299999999998</v>
      </c>
      <c r="J40" s="85">
        <f t="shared" si="20"/>
        <v>58.45174999999999</v>
      </c>
      <c r="K40" s="72" t="s">
        <v>328</v>
      </c>
      <c r="L40" s="72">
        <v>673.16499999999996</v>
      </c>
      <c r="M40" s="300">
        <v>450</v>
      </c>
      <c r="N40" s="120">
        <f t="shared" si="16"/>
        <v>233.80699999999999</v>
      </c>
      <c r="O40" s="244">
        <v>1.5</v>
      </c>
      <c r="P40" s="244">
        <f t="shared" si="5"/>
        <v>350.71049999999997</v>
      </c>
      <c r="Q40" s="82">
        <f t="shared" si="21"/>
        <v>99.289500000000032</v>
      </c>
      <c r="R40" s="201" t="str">
        <f t="shared" si="17"/>
        <v>No</v>
      </c>
      <c r="S40" s="215"/>
      <c r="T40" s="214"/>
      <c r="AA40" s="60" t="s">
        <v>92</v>
      </c>
      <c r="AB40" s="342">
        <v>0</v>
      </c>
      <c r="AC40" s="340">
        <f>3+3</f>
        <v>6</v>
      </c>
      <c r="AD40" s="342">
        <f>11+2</f>
        <v>13</v>
      </c>
      <c r="AE40" s="342">
        <v>0</v>
      </c>
      <c r="AF40" s="342">
        <v>0</v>
      </c>
      <c r="AG40" s="60">
        <f t="shared" si="22"/>
        <v>19</v>
      </c>
      <c r="AI40"/>
      <c r="AK40" s="320"/>
      <c r="AL40" s="320"/>
    </row>
    <row r="41" spans="1:41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96">
        <v>1.5</v>
      </c>
      <c r="H41" s="183">
        <f t="shared" si="3"/>
        <v>624.22170000000006</v>
      </c>
      <c r="I41" s="95">
        <f t="shared" si="15"/>
        <v>333.85219999999998</v>
      </c>
      <c r="J41" s="85">
        <f t="shared" si="20"/>
        <v>83.229560000000006</v>
      </c>
      <c r="K41" s="94" t="s">
        <v>361</v>
      </c>
      <c r="L41" s="94">
        <v>692.19500000000005</v>
      </c>
      <c r="M41" s="94">
        <v>750</v>
      </c>
      <c r="N41" s="93">
        <f t="shared" si="16"/>
        <v>416.14780000000002</v>
      </c>
      <c r="O41" s="244">
        <v>1.5</v>
      </c>
      <c r="P41" s="244">
        <f t="shared" si="5"/>
        <v>624.22170000000006</v>
      </c>
      <c r="Q41" s="82">
        <f t="shared" si="21"/>
        <v>125.77829999999994</v>
      </c>
      <c r="R41" s="201" t="str">
        <f t="shared" si="17"/>
        <v>No</v>
      </c>
      <c r="S41" s="233"/>
      <c r="T41" s="233"/>
      <c r="AA41" s="60" t="s">
        <v>93</v>
      </c>
      <c r="AB41" s="342">
        <v>0</v>
      </c>
      <c r="AC41" s="340">
        <v>0</v>
      </c>
      <c r="AD41" s="342">
        <f>2+1</f>
        <v>3</v>
      </c>
      <c r="AE41" s="342">
        <f>6</f>
        <v>6</v>
      </c>
      <c r="AF41" s="342">
        <v>0</v>
      </c>
      <c r="AG41" s="60">
        <f t="shared" si="22"/>
        <v>9</v>
      </c>
      <c r="AI41"/>
      <c r="AK41" s="320"/>
      <c r="AL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10">
        <v>1.5</v>
      </c>
      <c r="H42" s="183">
        <f t="shared" si="3"/>
        <v>637.00244999999995</v>
      </c>
      <c r="I42" s="109">
        <f t="shared" si="15"/>
        <v>475.33170000000001</v>
      </c>
      <c r="J42" s="85">
        <f t="shared" si="20"/>
        <v>70.778049999999993</v>
      </c>
      <c r="K42" s="108" t="s">
        <v>359</v>
      </c>
      <c r="L42" s="108">
        <v>1033.6600000000001</v>
      </c>
      <c r="M42" s="108">
        <v>900</v>
      </c>
      <c r="N42" s="107">
        <f t="shared" si="16"/>
        <v>424.66829999999999</v>
      </c>
      <c r="O42" s="244">
        <v>1.5</v>
      </c>
      <c r="P42" s="244">
        <f t="shared" si="5"/>
        <v>637.00244999999995</v>
      </c>
      <c r="Q42" s="82">
        <f t="shared" si="21"/>
        <v>262.99755000000005</v>
      </c>
      <c r="R42" s="201" t="str">
        <f t="shared" si="17"/>
        <v>No</v>
      </c>
      <c r="S42" s="364"/>
      <c r="T42" s="364"/>
      <c r="U42" s="246"/>
      <c r="AA42" s="60" t="s">
        <v>94</v>
      </c>
      <c r="AB42" s="342">
        <v>0</v>
      </c>
      <c r="AC42" s="413">
        <f>2</f>
        <v>2</v>
      </c>
      <c r="AD42" s="342">
        <f>2+1</f>
        <v>3</v>
      </c>
      <c r="AE42" s="342">
        <f>7</f>
        <v>7</v>
      </c>
      <c r="AF42" s="342">
        <v>0</v>
      </c>
      <c r="AG42" s="60">
        <f t="shared" si="22"/>
        <v>12</v>
      </c>
      <c r="AI42">
        <f>AG44+AG24</f>
        <v>204</v>
      </c>
      <c r="AK42" s="320"/>
      <c r="AL42" s="320"/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96">
        <v>1.5</v>
      </c>
      <c r="H43" s="183">
        <f t="shared" si="3"/>
        <v>120.505005</v>
      </c>
      <c r="I43" s="95">
        <f t="shared" si="15"/>
        <v>169.66333</v>
      </c>
      <c r="J43" s="85">
        <f t="shared" si="20"/>
        <v>48.202002</v>
      </c>
      <c r="K43" s="94" t="s">
        <v>357</v>
      </c>
      <c r="L43" s="94">
        <v>811.21</v>
      </c>
      <c r="M43" s="291">
        <v>150</v>
      </c>
      <c r="N43" s="107">
        <f t="shared" si="16"/>
        <v>80.336669999999998</v>
      </c>
      <c r="O43" s="244">
        <v>1.5</v>
      </c>
      <c r="P43" s="244">
        <f t="shared" si="5"/>
        <v>120.505005</v>
      </c>
      <c r="Q43" s="82">
        <f t="shared" si="21"/>
        <v>29.494995000000003</v>
      </c>
      <c r="R43" s="201" t="str">
        <f t="shared" si="17"/>
        <v>No</v>
      </c>
      <c r="S43" s="364"/>
      <c r="T43" s="364"/>
      <c r="U43" s="246"/>
      <c r="AA43" s="347" t="s">
        <v>505</v>
      </c>
      <c r="AB43" s="342">
        <v>0</v>
      </c>
      <c r="AC43" s="348">
        <f>1</f>
        <v>1</v>
      </c>
      <c r="AD43" s="348">
        <f>3</f>
        <v>3</v>
      </c>
      <c r="AE43" s="348">
        <v>0</v>
      </c>
      <c r="AF43" s="342">
        <v>0</v>
      </c>
      <c r="AG43" s="347">
        <f t="shared" si="22"/>
        <v>4</v>
      </c>
      <c r="AI43" s="422">
        <f>AG45+AG25</f>
        <v>3390.4278000000004</v>
      </c>
      <c r="AK43" s="320"/>
      <c r="AL43" s="320"/>
    </row>
    <row r="44" spans="1:41" ht="13.5" thickBot="1">
      <c r="A44" s="35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86">
        <v>1.5</v>
      </c>
      <c r="H44" s="183">
        <f t="shared" si="3"/>
        <v>100.86274499999999</v>
      </c>
      <c r="I44" s="85">
        <f t="shared" si="15"/>
        <v>132.75817000000001</v>
      </c>
      <c r="J44" s="85">
        <f t="shared" si="20"/>
        <v>50.431372499999995</v>
      </c>
      <c r="K44" s="84" t="s">
        <v>354</v>
      </c>
      <c r="L44" s="84">
        <v>607.995</v>
      </c>
      <c r="M44" s="299">
        <v>150</v>
      </c>
      <c r="N44" s="83">
        <f t="shared" si="16"/>
        <v>67.241829999999993</v>
      </c>
      <c r="O44" s="244">
        <v>1.5</v>
      </c>
      <c r="P44" s="244">
        <f t="shared" si="5"/>
        <v>100.86274499999999</v>
      </c>
      <c r="Q44" s="82">
        <f t="shared" si="21"/>
        <v>49.13725500000001</v>
      </c>
      <c r="R44" s="201" t="str">
        <f t="shared" si="17"/>
        <v>No</v>
      </c>
      <c r="S44" s="364"/>
      <c r="T44" s="364"/>
      <c r="U44" s="246"/>
      <c r="AA44" s="312" t="s">
        <v>515</v>
      </c>
      <c r="AB44" s="349">
        <f t="shared" ref="AB44:AG44" si="24">SUM(AB32:AB43)</f>
        <v>0</v>
      </c>
      <c r="AC44" s="349">
        <f t="shared" si="24"/>
        <v>78</v>
      </c>
      <c r="AD44" s="349">
        <f t="shared" si="24"/>
        <v>80</v>
      </c>
      <c r="AE44" s="349">
        <f t="shared" si="24"/>
        <v>36</v>
      </c>
      <c r="AF44" s="349">
        <f t="shared" si="24"/>
        <v>8</v>
      </c>
      <c r="AG44" s="350">
        <f t="shared" si="24"/>
        <v>202</v>
      </c>
      <c r="AI44" s="342">
        <f>AG46+AG26</f>
        <v>39300</v>
      </c>
      <c r="AK44" s="320"/>
      <c r="AL44" s="320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86">
        <v>1.5</v>
      </c>
      <c r="H45" s="183">
        <f t="shared" si="3"/>
        <v>263.87879999999996</v>
      </c>
      <c r="I45" s="85">
        <f t="shared" si="15"/>
        <v>274.08080000000001</v>
      </c>
      <c r="J45" s="85">
        <f t="shared" si="20"/>
        <v>58.639733333333325</v>
      </c>
      <c r="K45" s="84" t="s">
        <v>352</v>
      </c>
      <c r="L45" s="84">
        <v>1051.23</v>
      </c>
      <c r="M45" s="84">
        <v>450</v>
      </c>
      <c r="N45" s="83">
        <f t="shared" si="16"/>
        <v>175.91919999999999</v>
      </c>
      <c r="O45" s="244">
        <v>1.5</v>
      </c>
      <c r="P45" s="244">
        <f t="shared" si="5"/>
        <v>263.87879999999996</v>
      </c>
      <c r="Q45" s="82">
        <f t="shared" si="21"/>
        <v>186.12120000000004</v>
      </c>
      <c r="R45" s="201" t="str">
        <f t="shared" si="17"/>
        <v>No</v>
      </c>
      <c r="S45" s="364"/>
      <c r="T45" s="364"/>
      <c r="U45" s="246"/>
      <c r="AA45" s="312" t="s">
        <v>514</v>
      </c>
      <c r="AB45" s="414">
        <f>PRODUCT(AB44*AK15)</f>
        <v>0</v>
      </c>
      <c r="AC45" s="414">
        <f>PRODUCT(AC44*AK16)</f>
        <v>1276.7742000000001</v>
      </c>
      <c r="AD45" s="414">
        <f>PRODUCT(AD44*AK17)</f>
        <v>1339.7360000000001</v>
      </c>
      <c r="AE45" s="414">
        <f>PRODUCT(AE44*AK18)</f>
        <v>607.91759999999999</v>
      </c>
      <c r="AF45" s="414">
        <f>PRODUCT(AF44*AK19)</f>
        <v>136</v>
      </c>
      <c r="AG45" s="415">
        <f>SUM(AB45:AF45)</f>
        <v>3360.4278000000004</v>
      </c>
      <c r="AK45" s="320"/>
      <c r="AL45" s="320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10">
        <v>1.5</v>
      </c>
      <c r="H46" s="183">
        <f t="shared" si="3"/>
        <v>172.67144999999999</v>
      </c>
      <c r="I46" s="109">
        <f t="shared" si="15"/>
        <v>284.88569999999999</v>
      </c>
      <c r="J46" s="85">
        <f t="shared" si="20"/>
        <v>43.167862499999998</v>
      </c>
      <c r="K46" s="108" t="s">
        <v>348</v>
      </c>
      <c r="L46" s="108">
        <v>838.745</v>
      </c>
      <c r="M46" s="298">
        <v>300</v>
      </c>
      <c r="N46" s="107">
        <f t="shared" si="16"/>
        <v>115.1143</v>
      </c>
      <c r="O46" s="244">
        <v>1.5</v>
      </c>
      <c r="P46" s="244">
        <f t="shared" si="5"/>
        <v>172.67144999999999</v>
      </c>
      <c r="Q46" s="82">
        <f t="shared" si="21"/>
        <v>127.32855000000001</v>
      </c>
      <c r="R46" s="201" t="str">
        <f t="shared" si="17"/>
        <v>No</v>
      </c>
      <c r="S46" s="364"/>
      <c r="T46" s="364"/>
      <c r="U46" s="246"/>
      <c r="AA46" s="312" t="s">
        <v>559</v>
      </c>
      <c r="AB46" s="351">
        <f>AB44*AJ15</f>
        <v>0</v>
      </c>
      <c r="AC46" s="351">
        <f>AC44*AJ16</f>
        <v>11700</v>
      </c>
      <c r="AD46" s="351">
        <f>AD44*AJ17</f>
        <v>16000</v>
      </c>
      <c r="AE46" s="351">
        <f>AE44*AJ18</f>
        <v>9000</v>
      </c>
      <c r="AF46" s="351">
        <f>AF44*AJ19</f>
        <v>2400</v>
      </c>
      <c r="AG46" s="312">
        <f>SUM(AB46:AF46)</f>
        <v>39100</v>
      </c>
      <c r="AK46" s="320"/>
      <c r="AL46" s="320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10">
        <v>1.5</v>
      </c>
      <c r="H47" s="183">
        <f t="shared" si="3"/>
        <v>131.35275000000001</v>
      </c>
      <c r="I47" s="109">
        <f t="shared" si="15"/>
        <v>212.4315</v>
      </c>
      <c r="J47" s="85">
        <f t="shared" si="20"/>
        <v>43.78425</v>
      </c>
      <c r="K47" s="108" t="s">
        <v>346</v>
      </c>
      <c r="L47" s="108">
        <v>792.93499999999995</v>
      </c>
      <c r="M47" s="108">
        <v>300</v>
      </c>
      <c r="N47" s="107">
        <f t="shared" si="16"/>
        <v>87.5685</v>
      </c>
      <c r="O47" s="244">
        <v>1.5</v>
      </c>
      <c r="P47" s="244">
        <f t="shared" si="5"/>
        <v>131.35275000000001</v>
      </c>
      <c r="Q47" s="82">
        <f t="shared" si="21"/>
        <v>168.64724999999999</v>
      </c>
      <c r="R47" s="201" t="str">
        <f t="shared" si="17"/>
        <v>No</v>
      </c>
      <c r="S47" s="364"/>
      <c r="T47" s="364"/>
      <c r="U47" s="246"/>
      <c r="AA47" s="268"/>
      <c r="AB47" s="405"/>
      <c r="AC47" s="405"/>
      <c r="AD47" s="405"/>
      <c r="AE47" s="405"/>
      <c r="AF47" s="405"/>
      <c r="AG47" s="405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96">
        <v>1.5</v>
      </c>
      <c r="H48" s="183">
        <f t="shared" si="3"/>
        <v>69.246000000000009</v>
      </c>
      <c r="I48" s="95">
        <f t="shared" si="15"/>
        <v>103.836</v>
      </c>
      <c r="J48" s="85">
        <f t="shared" si="20"/>
        <v>46.164000000000001</v>
      </c>
      <c r="K48" s="94" t="s">
        <v>345</v>
      </c>
      <c r="L48" s="94">
        <v>934.80499999999995</v>
      </c>
      <c r="M48" s="94">
        <v>150</v>
      </c>
      <c r="N48" s="93">
        <f t="shared" si="16"/>
        <v>46.164000000000001</v>
      </c>
      <c r="O48" s="244">
        <v>1.5</v>
      </c>
      <c r="P48" s="244">
        <f t="shared" si="5"/>
        <v>69.246000000000009</v>
      </c>
      <c r="Q48" s="82">
        <f t="shared" si="21"/>
        <v>80.753999999999991</v>
      </c>
      <c r="R48" s="201" t="str">
        <f t="shared" si="17"/>
        <v>No</v>
      </c>
      <c r="S48" s="364"/>
      <c r="T48" s="364"/>
      <c r="U48" s="246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86">
        <v>1.5</v>
      </c>
      <c r="H49" s="183">
        <f t="shared" si="3"/>
        <v>263.87879999999996</v>
      </c>
      <c r="I49" s="85">
        <f t="shared" si="15"/>
        <v>274.08080000000001</v>
      </c>
      <c r="J49" s="85">
        <f t="shared" si="20"/>
        <v>58.639733333333325</v>
      </c>
      <c r="K49" s="84" t="s">
        <v>341</v>
      </c>
      <c r="L49" s="84">
        <v>992.44500000000005</v>
      </c>
      <c r="M49" s="84">
        <v>450</v>
      </c>
      <c r="N49" s="83">
        <f t="shared" si="16"/>
        <v>175.91919999999999</v>
      </c>
      <c r="O49" s="244">
        <v>1.5</v>
      </c>
      <c r="P49" s="244">
        <f t="shared" si="5"/>
        <v>263.87879999999996</v>
      </c>
      <c r="Q49" s="82">
        <f t="shared" si="21"/>
        <v>186.12120000000004</v>
      </c>
      <c r="R49" s="201" t="str">
        <f t="shared" si="17"/>
        <v>No</v>
      </c>
      <c r="S49" s="364"/>
      <c r="T49" s="364"/>
      <c r="U49" s="246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96">
        <v>1.5</v>
      </c>
      <c r="H50" s="183">
        <f t="shared" si="3"/>
        <v>69.246000000000009</v>
      </c>
      <c r="I50" s="95">
        <f t="shared" si="15"/>
        <v>103.836</v>
      </c>
      <c r="J50" s="85">
        <f t="shared" si="20"/>
        <v>46.164000000000001</v>
      </c>
      <c r="K50" s="94" t="s">
        <v>337</v>
      </c>
      <c r="L50" s="94">
        <v>817.04499999999996</v>
      </c>
      <c r="M50" s="94">
        <v>150</v>
      </c>
      <c r="N50" s="93">
        <f t="shared" si="16"/>
        <v>46.164000000000001</v>
      </c>
      <c r="O50" s="244">
        <v>1.5</v>
      </c>
      <c r="P50" s="244">
        <f t="shared" si="5"/>
        <v>69.246000000000009</v>
      </c>
      <c r="Q50" s="82">
        <f t="shared" si="21"/>
        <v>80.753999999999991</v>
      </c>
      <c r="R50" s="201" t="str">
        <f t="shared" si="17"/>
        <v>No</v>
      </c>
      <c r="S50" s="364"/>
      <c r="T50" s="364"/>
      <c r="U50" s="246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86">
        <v>1.5</v>
      </c>
      <c r="H51" s="183">
        <f t="shared" si="3"/>
        <v>69.246000000000009</v>
      </c>
      <c r="I51" s="85">
        <f t="shared" si="15"/>
        <v>103.836</v>
      </c>
      <c r="J51" s="85">
        <f t="shared" si="20"/>
        <v>46.164000000000001</v>
      </c>
      <c r="K51" s="84" t="s">
        <v>337</v>
      </c>
      <c r="L51" s="84">
        <v>817.04499999999996</v>
      </c>
      <c r="M51" s="84">
        <v>150</v>
      </c>
      <c r="N51" s="83">
        <f t="shared" si="16"/>
        <v>46.164000000000001</v>
      </c>
      <c r="O51" s="244">
        <v>1.5</v>
      </c>
      <c r="P51" s="244">
        <f t="shared" si="5"/>
        <v>69.246000000000009</v>
      </c>
      <c r="Q51" s="82">
        <f t="shared" si="21"/>
        <v>80.753999999999991</v>
      </c>
      <c r="R51" s="201" t="str">
        <f t="shared" si="17"/>
        <v>No</v>
      </c>
      <c r="S51" s="364"/>
      <c r="T51" s="364"/>
      <c r="U51" s="246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96">
        <v>1.5</v>
      </c>
      <c r="H52" s="183">
        <f t="shared" si="3"/>
        <v>205.31295</v>
      </c>
      <c r="I52" s="95">
        <f t="shared" si="15"/>
        <v>263.12469999999996</v>
      </c>
      <c r="J52" s="85">
        <f t="shared" si="20"/>
        <v>51.328237499999993</v>
      </c>
      <c r="K52" s="94" t="s">
        <v>325</v>
      </c>
      <c r="L52" s="94">
        <v>518.48</v>
      </c>
      <c r="M52" s="94">
        <v>400</v>
      </c>
      <c r="N52" s="93">
        <f t="shared" si="16"/>
        <v>136.87530000000001</v>
      </c>
      <c r="O52" s="244">
        <v>1.5</v>
      </c>
      <c r="P52" s="244">
        <f t="shared" si="5"/>
        <v>205.31295</v>
      </c>
      <c r="Q52" s="82">
        <f t="shared" si="21"/>
        <v>194.68705</v>
      </c>
      <c r="R52" s="201" t="str">
        <f t="shared" si="17"/>
        <v>No</v>
      </c>
      <c r="S52" s="364"/>
      <c r="T52" s="364"/>
      <c r="U52" s="246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86">
        <v>1.5</v>
      </c>
      <c r="H53" s="183">
        <f t="shared" si="3"/>
        <v>131.35275000000001</v>
      </c>
      <c r="I53" s="85">
        <f t="shared" si="15"/>
        <v>212.4315</v>
      </c>
      <c r="J53" s="85">
        <f t="shared" si="20"/>
        <v>43.78425</v>
      </c>
      <c r="K53" s="84" t="s">
        <v>334</v>
      </c>
      <c r="L53" s="84">
        <v>792.93499999999995</v>
      </c>
      <c r="M53" s="84">
        <v>300</v>
      </c>
      <c r="N53" s="83">
        <f t="shared" si="16"/>
        <v>87.5685</v>
      </c>
      <c r="O53" s="244">
        <v>1.5</v>
      </c>
      <c r="P53" s="244">
        <f t="shared" si="5"/>
        <v>131.35275000000001</v>
      </c>
      <c r="Q53" s="82">
        <f t="shared" si="21"/>
        <v>168.64724999999999</v>
      </c>
      <c r="R53" s="201" t="str">
        <f t="shared" si="17"/>
        <v>No</v>
      </c>
      <c r="S53" s="364"/>
      <c r="T53" s="364"/>
      <c r="U53" s="246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96">
        <v>1.5</v>
      </c>
      <c r="H54" s="183">
        <f t="shared" si="3"/>
        <v>49.947495000000004</v>
      </c>
      <c r="I54" s="95">
        <f t="shared" si="15"/>
        <v>166.70167000000001</v>
      </c>
      <c r="J54" s="85">
        <f t="shared" si="20"/>
        <v>24.973747500000002</v>
      </c>
      <c r="K54" s="94" t="s">
        <v>331</v>
      </c>
      <c r="L54" s="94">
        <v>524.75</v>
      </c>
      <c r="M54" s="94">
        <v>200</v>
      </c>
      <c r="N54" s="93">
        <f t="shared" si="16"/>
        <v>33.29833</v>
      </c>
      <c r="O54" s="244">
        <v>1.5</v>
      </c>
      <c r="P54" s="244">
        <f t="shared" si="5"/>
        <v>49.947495000000004</v>
      </c>
      <c r="Q54" s="82">
        <f t="shared" si="21"/>
        <v>150.052505</v>
      </c>
      <c r="R54" s="201" t="str">
        <f t="shared" si="17"/>
        <v>No</v>
      </c>
      <c r="S54" s="364"/>
      <c r="T54" s="364"/>
      <c r="U54" s="246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86">
        <v>1.5</v>
      </c>
      <c r="H55" s="183">
        <f t="shared" si="3"/>
        <v>350.71049999999997</v>
      </c>
      <c r="I55" s="85">
        <f t="shared" si="15"/>
        <v>366.19299999999998</v>
      </c>
      <c r="J55" s="85">
        <f t="shared" si="20"/>
        <v>58.45174999999999</v>
      </c>
      <c r="K55" s="84" t="s">
        <v>328</v>
      </c>
      <c r="L55" s="84">
        <v>673.16499999999996</v>
      </c>
      <c r="M55" s="299">
        <v>450</v>
      </c>
      <c r="N55" s="83">
        <f t="shared" si="16"/>
        <v>233.80699999999999</v>
      </c>
      <c r="O55" s="244">
        <v>1.5</v>
      </c>
      <c r="P55" s="244">
        <f t="shared" si="5"/>
        <v>350.71049999999997</v>
      </c>
      <c r="Q55" s="82">
        <f t="shared" si="21"/>
        <v>99.289500000000032</v>
      </c>
      <c r="R55" s="201" t="str">
        <f t="shared" si="17"/>
        <v>No</v>
      </c>
      <c r="S55" s="364"/>
      <c r="T55" s="364"/>
      <c r="U55" s="246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74">
        <v>1.5</v>
      </c>
      <c r="H56" s="183">
        <f t="shared" si="3"/>
        <v>205.31295</v>
      </c>
      <c r="I56" s="73">
        <f t="shared" si="15"/>
        <v>263.12469999999996</v>
      </c>
      <c r="J56" s="85">
        <f t="shared" si="20"/>
        <v>51.328237499999993</v>
      </c>
      <c r="K56" s="72" t="s">
        <v>325</v>
      </c>
      <c r="L56" s="72">
        <v>518.48</v>
      </c>
      <c r="M56" s="72">
        <v>400</v>
      </c>
      <c r="N56" s="71">
        <f t="shared" si="16"/>
        <v>136.87530000000001</v>
      </c>
      <c r="O56" s="244">
        <v>1.5</v>
      </c>
      <c r="P56" s="244">
        <f t="shared" si="5"/>
        <v>205.31295</v>
      </c>
      <c r="Q56" s="82">
        <f t="shared" si="21"/>
        <v>194.68705</v>
      </c>
      <c r="R56" s="247" t="str">
        <f t="shared" si="17"/>
        <v>No</v>
      </c>
      <c r="S56" s="364"/>
      <c r="T56" s="364"/>
      <c r="U56" s="246"/>
      <c r="AC56" s="363"/>
      <c r="AD56" s="320"/>
      <c r="AE56" s="320"/>
    </row>
    <row r="57" spans="1:31">
      <c r="A57" s="320"/>
      <c r="B57" s="64"/>
      <c r="C57" s="320"/>
      <c r="D57" s="320" t="s">
        <v>369</v>
      </c>
      <c r="E57" s="320">
        <f>SUM(E3:E56)</f>
        <v>30100</v>
      </c>
      <c r="F57" s="64"/>
      <c r="G57" s="64"/>
      <c r="H57" s="64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64"/>
      <c r="T57" s="364"/>
      <c r="AC57" s="320"/>
      <c r="AD57" s="320"/>
      <c r="AE57" s="320"/>
    </row>
    <row r="58" spans="1:3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64"/>
      <c r="T58" s="364"/>
    </row>
    <row r="59" spans="1:31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64"/>
      <c r="T59" s="320"/>
    </row>
    <row r="60" spans="1:31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64"/>
      <c r="T60" s="320"/>
    </row>
    <row r="61" spans="1:31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64"/>
      <c r="T61" s="320"/>
    </row>
    <row r="62" spans="1:31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64"/>
      <c r="T62" s="320"/>
    </row>
    <row r="63" spans="1:31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64"/>
      <c r="T63" s="320"/>
    </row>
    <row r="64" spans="1:31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64"/>
      <c r="T64" s="320"/>
    </row>
    <row r="65" spans="1:23">
      <c r="A65" s="320"/>
      <c r="B65" s="64"/>
      <c r="C65" s="320"/>
      <c r="D65" s="320"/>
      <c r="M65" s="320"/>
      <c r="N65" s="320"/>
      <c r="O65" s="320"/>
      <c r="P65" s="320"/>
      <c r="R65" s="320"/>
      <c r="S65" s="364"/>
      <c r="T65" s="320"/>
    </row>
    <row r="66" spans="1:23">
      <c r="A66" s="320"/>
      <c r="B66" s="64"/>
      <c r="C66" s="320"/>
      <c r="D66" s="320"/>
      <c r="M66" s="320"/>
      <c r="N66" s="320"/>
      <c r="O66" s="320"/>
      <c r="P66" s="320"/>
      <c r="R66" s="320"/>
      <c r="S66" s="364"/>
      <c r="T66" s="320"/>
    </row>
    <row r="67" spans="1:23">
      <c r="A67" s="320"/>
      <c r="B67" s="64"/>
      <c r="C67" s="320"/>
      <c r="D67" s="320"/>
      <c r="M67" s="320"/>
      <c r="N67" s="320"/>
      <c r="O67" s="320"/>
      <c r="P67" s="320"/>
      <c r="R67" s="320"/>
      <c r="S67" s="364"/>
      <c r="T67" s="320"/>
    </row>
    <row r="68" spans="1:23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64"/>
      <c r="T68" s="320"/>
    </row>
    <row r="69" spans="1:23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64"/>
      <c r="T69" s="320"/>
      <c r="V69" s="58"/>
      <c r="W69" s="58"/>
    </row>
    <row r="70" spans="1:23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64"/>
      <c r="T70" s="320"/>
      <c r="V70" s="58"/>
      <c r="W70" s="58"/>
    </row>
    <row r="71" spans="1:23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64"/>
      <c r="T71" s="320"/>
      <c r="V71" s="58"/>
      <c r="W71" s="58"/>
    </row>
    <row r="72" spans="1:23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64"/>
      <c r="T72" s="320"/>
      <c r="V72" s="58"/>
      <c r="W72" s="58"/>
    </row>
    <row r="73" spans="1:23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64"/>
      <c r="T73" s="320"/>
      <c r="V73" s="58"/>
    </row>
    <row r="74" spans="1:23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64"/>
      <c r="T74" s="320"/>
      <c r="V74" s="58"/>
    </row>
    <row r="75" spans="1:23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64"/>
      <c r="T75" s="320"/>
    </row>
    <row r="76" spans="1:23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64"/>
      <c r="T76" s="320"/>
    </row>
    <row r="77" spans="1:23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64"/>
      <c r="T77" s="320"/>
    </row>
    <row r="78" spans="1:23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64"/>
      <c r="T78" s="320"/>
    </row>
    <row r="79" spans="1:23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64"/>
      <c r="T79" s="320"/>
    </row>
    <row r="80" spans="1:23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64"/>
      <c r="T80" s="320"/>
    </row>
    <row r="81" spans="2:20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64"/>
      <c r="T81" s="320"/>
    </row>
    <row r="82" spans="2:20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64"/>
      <c r="T82" s="320"/>
    </row>
    <row r="83" spans="2:20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64"/>
      <c r="T83" s="320"/>
    </row>
    <row r="84" spans="2:20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64"/>
      <c r="T84" s="320"/>
    </row>
    <row r="85" spans="2:20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64"/>
      <c r="T85" s="320"/>
    </row>
    <row r="86" spans="2:20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64"/>
      <c r="T86" s="320"/>
    </row>
    <row r="87" spans="2:20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64"/>
      <c r="T87" s="320"/>
    </row>
    <row r="88" spans="2:20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64"/>
      <c r="T88" s="320"/>
    </row>
    <row r="89" spans="2:20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64"/>
      <c r="T89" s="320"/>
    </row>
    <row r="90" spans="2:20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64"/>
      <c r="T90" s="320"/>
    </row>
    <row r="91" spans="2:20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64"/>
      <c r="T91" s="320"/>
    </row>
    <row r="92" spans="2:20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64"/>
      <c r="T92" s="320"/>
    </row>
    <row r="93" spans="2:20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64"/>
      <c r="T93" s="320"/>
    </row>
    <row r="94" spans="2:20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64"/>
      <c r="T94" s="320"/>
    </row>
    <row r="95" spans="2:20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64"/>
      <c r="T95" s="320"/>
    </row>
    <row r="96" spans="2:20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64"/>
      <c r="T96" s="320"/>
    </row>
    <row r="97" spans="2:20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64"/>
      <c r="T97" s="320"/>
    </row>
    <row r="98" spans="2:20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64"/>
      <c r="T98" s="320"/>
    </row>
    <row r="99" spans="2:20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64"/>
      <c r="T99" s="320"/>
    </row>
    <row r="100" spans="2:20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64"/>
      <c r="T100" s="320"/>
    </row>
    <row r="101" spans="2:20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64"/>
      <c r="T101" s="320"/>
    </row>
    <row r="102" spans="2:20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64"/>
      <c r="T102" s="320"/>
    </row>
    <row r="103" spans="2:20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64"/>
      <c r="T103" s="320"/>
    </row>
    <row r="104" spans="2:20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64"/>
      <c r="T104" s="320"/>
    </row>
    <row r="105" spans="2:20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64"/>
      <c r="T105" s="320"/>
    </row>
    <row r="106" spans="2:20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64"/>
      <c r="T106" s="320"/>
    </row>
    <row r="107" spans="2:20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64"/>
      <c r="T107" s="320"/>
    </row>
    <row r="108" spans="2:20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64"/>
      <c r="T108" s="320"/>
    </row>
    <row r="109" spans="2:20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64"/>
      <c r="T109" s="320"/>
    </row>
    <row r="110" spans="2:20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64"/>
      <c r="T110" s="320"/>
    </row>
    <row r="111" spans="2:20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64"/>
      <c r="T111" s="320"/>
    </row>
    <row r="112" spans="2:20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64"/>
      <c r="T112" s="320"/>
    </row>
    <row r="113" spans="1:20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64"/>
      <c r="T113" s="320"/>
    </row>
    <row r="114" spans="1:20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64"/>
      <c r="T114" s="320"/>
    </row>
    <row r="115" spans="1:20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64"/>
      <c r="T115" s="320"/>
    </row>
    <row r="116" spans="1:20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64"/>
      <c r="T116" s="320"/>
    </row>
    <row r="117" spans="1:20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64"/>
      <c r="T117" s="320"/>
    </row>
    <row r="118" spans="1:20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64"/>
      <c r="T118" s="320"/>
    </row>
    <row r="119" spans="1:20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64"/>
      <c r="T119" s="320"/>
    </row>
    <row r="120" spans="1:20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64"/>
      <c r="T120" s="320"/>
    </row>
    <row r="121" spans="1:20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64"/>
      <c r="T121" s="320"/>
    </row>
    <row r="122" spans="1:20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64"/>
      <c r="T122" s="320"/>
    </row>
    <row r="123" spans="1:20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64"/>
      <c r="T123" s="320"/>
    </row>
    <row r="124" spans="1:20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64"/>
      <c r="T124" s="320"/>
    </row>
    <row r="125" spans="1:20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64"/>
      <c r="T125" s="320"/>
    </row>
    <row r="126" spans="1:20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64"/>
      <c r="T126" s="320"/>
    </row>
    <row r="127" spans="1:20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64"/>
      <c r="T127" s="320"/>
    </row>
    <row r="128" spans="1:20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64"/>
      <c r="T128" s="320"/>
    </row>
    <row r="129" spans="1:20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64"/>
      <c r="T129" s="320"/>
    </row>
    <row r="130" spans="1:20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64"/>
      <c r="T130" s="320"/>
    </row>
    <row r="131" spans="1:20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64"/>
      <c r="T131" s="320"/>
    </row>
    <row r="132" spans="1:20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64"/>
      <c r="T132" s="320"/>
    </row>
    <row r="133" spans="1:20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64"/>
      <c r="T133" s="320"/>
    </row>
    <row r="134" spans="1:20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64"/>
      <c r="T134" s="320"/>
    </row>
    <row r="135" spans="1:20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64"/>
      <c r="T135" s="320"/>
    </row>
    <row r="136" spans="1:20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64"/>
      <c r="T136" s="320"/>
    </row>
    <row r="137" spans="1:20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64"/>
      <c r="T137" s="320"/>
    </row>
    <row r="138" spans="1:20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64"/>
      <c r="T138" s="320"/>
    </row>
    <row r="139" spans="1:20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64"/>
      <c r="T139" s="320"/>
    </row>
    <row r="140" spans="1:20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64"/>
      <c r="T140" s="320"/>
    </row>
    <row r="141" spans="1:20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64"/>
      <c r="T141" s="320"/>
    </row>
    <row r="142" spans="1:20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64"/>
      <c r="T142" s="320"/>
    </row>
    <row r="143" spans="1:20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64"/>
      <c r="T143" s="320"/>
    </row>
    <row r="144" spans="1:20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64"/>
      <c r="T144" s="320"/>
    </row>
    <row r="145" spans="1:20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64"/>
      <c r="T145" s="320"/>
    </row>
    <row r="146" spans="1:20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64"/>
      <c r="T146" s="320"/>
    </row>
    <row r="147" spans="1:20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64"/>
      <c r="T147" s="320"/>
    </row>
    <row r="148" spans="1:20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64"/>
      <c r="T148" s="320"/>
    </row>
    <row r="149" spans="1:20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64"/>
      <c r="T149" s="320"/>
    </row>
    <row r="150" spans="1:20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64"/>
      <c r="T150" s="320"/>
    </row>
    <row r="151" spans="1:20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64"/>
      <c r="T151" s="320"/>
    </row>
    <row r="152" spans="1:20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64"/>
      <c r="T152" s="320"/>
    </row>
    <row r="153" spans="1:20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64"/>
      <c r="T153" s="320"/>
    </row>
    <row r="154" spans="1:20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64"/>
      <c r="T154" s="320"/>
    </row>
    <row r="155" spans="1:20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64"/>
      <c r="T155" s="320"/>
    </row>
    <row r="156" spans="1:20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64"/>
      <c r="T156" s="320"/>
    </row>
    <row r="157" spans="1:20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64"/>
      <c r="T157" s="320"/>
    </row>
    <row r="158" spans="1:20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64"/>
      <c r="T158" s="320"/>
    </row>
    <row r="159" spans="1:20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64"/>
      <c r="T159" s="320"/>
    </row>
    <row r="160" spans="1:20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64"/>
      <c r="T160" s="320"/>
    </row>
    <row r="161" spans="1:20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64"/>
      <c r="T161" s="320"/>
    </row>
    <row r="162" spans="1:20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64"/>
      <c r="T162" s="320"/>
    </row>
    <row r="163" spans="1:20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64"/>
      <c r="T163" s="320"/>
    </row>
    <row r="164" spans="1:20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64"/>
      <c r="T164" s="320"/>
    </row>
    <row r="165" spans="1:20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64"/>
      <c r="T165" s="320"/>
    </row>
    <row r="166" spans="1:20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64"/>
      <c r="T166" s="320"/>
    </row>
    <row r="167" spans="1:20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64"/>
      <c r="T167" s="320"/>
    </row>
    <row r="168" spans="1:20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64"/>
      <c r="T168" s="320"/>
    </row>
    <row r="169" spans="1:20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64"/>
      <c r="T169" s="320"/>
    </row>
    <row r="170" spans="1:20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64"/>
      <c r="T170" s="320"/>
    </row>
    <row r="171" spans="1:20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64"/>
      <c r="T171" s="320"/>
    </row>
    <row r="172" spans="1:20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64"/>
      <c r="T172" s="320"/>
    </row>
    <row r="173" spans="1:20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64"/>
      <c r="T173" s="320"/>
    </row>
    <row r="174" spans="1:20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64"/>
      <c r="T174" s="320"/>
    </row>
    <row r="175" spans="1:20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64"/>
      <c r="T175" s="320"/>
    </row>
    <row r="176" spans="1:20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64"/>
      <c r="T176" s="320"/>
    </row>
    <row r="177" spans="1:20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64"/>
      <c r="T177" s="320"/>
    </row>
    <row r="178" spans="1:20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64"/>
      <c r="T178" s="320"/>
    </row>
    <row r="179" spans="1:20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64"/>
      <c r="T179" s="320"/>
    </row>
  </sheetData>
  <dataConsolidate/>
  <mergeCells count="24">
    <mergeCell ref="AI23:AN23"/>
    <mergeCell ref="AA30:AF30"/>
    <mergeCell ref="AA10:AF10"/>
    <mergeCell ref="C1:I1"/>
    <mergeCell ref="K1:R1"/>
    <mergeCell ref="V24:W24"/>
    <mergeCell ref="A4:A5"/>
    <mergeCell ref="A6:A8"/>
    <mergeCell ref="A9:A13"/>
    <mergeCell ref="A15:A20"/>
    <mergeCell ref="A21:A24"/>
    <mergeCell ref="A26:A27"/>
    <mergeCell ref="S26:S27"/>
    <mergeCell ref="T26:T27"/>
    <mergeCell ref="A33:A35"/>
    <mergeCell ref="A53:A54"/>
    <mergeCell ref="A36:A37"/>
    <mergeCell ref="A28:A32"/>
    <mergeCell ref="A55:A56"/>
    <mergeCell ref="A39:A40"/>
    <mergeCell ref="A41:A43"/>
    <mergeCell ref="A45:A48"/>
    <mergeCell ref="A49:A50"/>
    <mergeCell ref="A51:A52"/>
  </mergeCells>
  <conditionalFormatting sqref="M3:M56">
    <cfRule type="expression" dxfId="36" priority="9">
      <formula>(M3&lt;F3)</formula>
    </cfRule>
  </conditionalFormatting>
  <conditionalFormatting sqref="M3">
    <cfRule type="cellIs" dxfId="35" priority="8" operator="lessThan">
      <formula>$E$3</formula>
    </cfRule>
  </conditionalFormatting>
  <conditionalFormatting sqref="Q3:Q56">
    <cfRule type="cellIs" dxfId="34" priority="7" operator="lessThan">
      <formula>0</formula>
    </cfRule>
  </conditionalFormatting>
  <conditionalFormatting sqref="R3:R56">
    <cfRule type="containsText" dxfId="33" priority="6" operator="containsText" text="Yes">
      <formula>NOT(ISERROR(SEARCH("Yes",R3)))</formula>
    </cfRule>
  </conditionalFormatting>
  <conditionalFormatting sqref="AB12:AG23">
    <cfRule type="cellIs" dxfId="32" priority="5" operator="greaterThan">
      <formula>0</formula>
    </cfRule>
  </conditionalFormatting>
  <conditionalFormatting sqref="AJ25:AO36">
    <cfRule type="cellIs" dxfId="31" priority="4" operator="greaterThan">
      <formula>0</formula>
    </cfRule>
  </conditionalFormatting>
  <conditionalFormatting sqref="AG32:AG43">
    <cfRule type="cellIs" dxfId="30" priority="3" operator="greaterThan">
      <formula>0</formula>
    </cfRule>
  </conditionalFormatting>
  <conditionalFormatting sqref="AC32:AF43">
    <cfRule type="cellIs" dxfId="29" priority="2" operator="greaterThan">
      <formula>0</formula>
    </cfRule>
  </conditionalFormatting>
  <conditionalFormatting sqref="AB32:AB43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V10" zoomScale="90" zoomScaleNormal="90" workbookViewId="0">
      <selection activeCell="AF11" sqref="AF1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26.570312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27" width="9" style="5"/>
    <col min="28" max="28" width="14" style="5" customWidth="1"/>
    <col min="29" max="29" width="11.140625" style="5" customWidth="1"/>
    <col min="30" max="30" width="13.140625" style="5" customWidth="1"/>
    <col min="31" max="34" width="9" style="5"/>
    <col min="35" max="35" width="18.5703125" style="5" customWidth="1"/>
    <col min="36" max="36" width="14.28515625" style="5" customWidth="1"/>
    <col min="37" max="37" width="9" style="5"/>
    <col min="38" max="38" width="22.7109375" style="5" customWidth="1"/>
    <col min="39" max="16384" width="9" style="5"/>
  </cols>
  <sheetData>
    <row r="1" spans="1:38" ht="14.25" customHeight="1">
      <c r="A1" s="363"/>
      <c r="B1" s="198"/>
      <c r="C1" s="514" t="s">
        <v>452</v>
      </c>
      <c r="D1" s="515"/>
      <c r="E1" s="515"/>
      <c r="F1" s="515"/>
      <c r="G1" s="515"/>
      <c r="H1" s="515"/>
      <c r="I1" s="516"/>
      <c r="J1" s="355"/>
      <c r="K1" s="512" t="s">
        <v>451</v>
      </c>
      <c r="L1" s="513"/>
      <c r="M1" s="513"/>
      <c r="N1" s="513"/>
      <c r="O1" s="513"/>
      <c r="P1" s="513"/>
      <c r="Q1" s="513"/>
      <c r="R1" s="552"/>
      <c r="S1" s="7"/>
      <c r="T1" s="7"/>
    </row>
    <row r="2" spans="1:38" ht="13.5" thickBot="1">
      <c r="A2" s="363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256" t="s">
        <v>459</v>
      </c>
      <c r="K2" s="192" t="s">
        <v>446</v>
      </c>
      <c r="L2" s="192" t="s">
        <v>34</v>
      </c>
      <c r="M2" s="192" t="s">
        <v>33</v>
      </c>
      <c r="N2" s="191" t="s">
        <v>445</v>
      </c>
      <c r="O2" s="190" t="s">
        <v>460</v>
      </c>
      <c r="P2" s="190" t="s">
        <v>462</v>
      </c>
      <c r="Q2" s="190" t="s">
        <v>444</v>
      </c>
      <c r="R2" s="245" t="s">
        <v>458</v>
      </c>
      <c r="S2" s="364"/>
      <c r="T2" s="320"/>
    </row>
    <row r="3" spans="1:38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3">
        <f>H3/E3*100</f>
        <v>49.482750000000003</v>
      </c>
      <c r="K3" s="181" t="s">
        <v>435</v>
      </c>
      <c r="L3" s="181">
        <v>598.85</v>
      </c>
      <c r="M3" s="297">
        <v>300</v>
      </c>
      <c r="N3" s="180">
        <f t="shared" ref="N3:N13" si="1">F3</f>
        <v>131.95400000000001</v>
      </c>
      <c r="O3" s="244">
        <v>1.5</v>
      </c>
      <c r="P3" s="244">
        <f>O3*N3</f>
        <v>197.93100000000001</v>
      </c>
      <c r="Q3" s="290">
        <f>M3-P3</f>
        <v>102.06899999999999</v>
      </c>
      <c r="R3" s="180" t="str">
        <f t="shared" ref="R3:R9" si="2">IF(Q3&gt;=0,"No","Yes")</f>
        <v>No</v>
      </c>
      <c r="S3" s="364"/>
      <c r="T3" s="364"/>
    </row>
    <row r="4" spans="1:38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76">
        <v>1.5</v>
      </c>
      <c r="H4" s="183">
        <f t="shared" ref="H4:H56" si="3">G4*F4</f>
        <v>119.63775</v>
      </c>
      <c r="I4" s="175">
        <f t="shared" si="0"/>
        <v>120.2415</v>
      </c>
      <c r="J4" s="183">
        <f t="shared" ref="J4:J13" si="4">H4/E4*100</f>
        <v>59.818874999999991</v>
      </c>
      <c r="K4" s="174" t="s">
        <v>434</v>
      </c>
      <c r="L4" s="174">
        <v>561.44000000000005</v>
      </c>
      <c r="M4" s="296">
        <v>150</v>
      </c>
      <c r="N4" s="173">
        <f t="shared" si="1"/>
        <v>79.758499999999998</v>
      </c>
      <c r="O4" s="244">
        <v>1.5</v>
      </c>
      <c r="P4" s="244">
        <f t="shared" ref="P4:P56" si="5">O4*N4</f>
        <v>119.63775</v>
      </c>
      <c r="Q4" s="290">
        <f t="shared" ref="Q4:Q13" si="6">M4-P4</f>
        <v>30.362250000000003</v>
      </c>
      <c r="R4" s="181" t="str">
        <f t="shared" si="2"/>
        <v>No</v>
      </c>
      <c r="S4" s="364"/>
      <c r="T4" s="364"/>
    </row>
    <row r="5" spans="1:38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95">
        <v>1.5</v>
      </c>
      <c r="H5" s="183">
        <f t="shared" si="3"/>
        <v>152.28555</v>
      </c>
      <c r="I5" s="95">
        <f t="shared" si="0"/>
        <v>198.47629999999998</v>
      </c>
      <c r="J5" s="183">
        <f t="shared" si="4"/>
        <v>50.761849999999995</v>
      </c>
      <c r="K5" s="94" t="s">
        <v>429</v>
      </c>
      <c r="L5" s="94">
        <v>691.82</v>
      </c>
      <c r="M5" s="94">
        <v>300</v>
      </c>
      <c r="N5" s="93">
        <f t="shared" si="1"/>
        <v>101.52370000000001</v>
      </c>
      <c r="O5" s="244">
        <v>1.5</v>
      </c>
      <c r="P5" s="244">
        <f t="shared" si="5"/>
        <v>152.28555</v>
      </c>
      <c r="Q5" s="290">
        <f t="shared" si="6"/>
        <v>147.71445</v>
      </c>
      <c r="R5" s="181" t="str">
        <f t="shared" si="2"/>
        <v>No</v>
      </c>
      <c r="S5" s="356" t="s">
        <v>440</v>
      </c>
      <c r="T5" s="356" t="s">
        <v>457</v>
      </c>
    </row>
    <row r="6" spans="1:38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86">
        <v>1.5</v>
      </c>
      <c r="H6" s="183">
        <f t="shared" si="3"/>
        <v>890.08500000000004</v>
      </c>
      <c r="I6" s="85">
        <f t="shared" si="0"/>
        <v>606.61</v>
      </c>
      <c r="J6" s="183">
        <f t="shared" si="4"/>
        <v>74.173749999999998</v>
      </c>
      <c r="K6" s="84" t="s">
        <v>431</v>
      </c>
      <c r="L6" s="84">
        <v>778.62</v>
      </c>
      <c r="M6" s="84">
        <v>1200</v>
      </c>
      <c r="N6" s="83">
        <f t="shared" si="1"/>
        <v>593.39</v>
      </c>
      <c r="O6" s="244">
        <v>1.5</v>
      </c>
      <c r="P6" s="244">
        <f t="shared" si="5"/>
        <v>890.08500000000004</v>
      </c>
      <c r="Q6" s="290">
        <f t="shared" si="6"/>
        <v>309.91499999999996</v>
      </c>
      <c r="R6" s="181" t="str">
        <f t="shared" si="2"/>
        <v>No</v>
      </c>
      <c r="S6" s="217"/>
      <c r="T6" s="216"/>
    </row>
    <row r="7" spans="1:38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10">
        <v>1.5</v>
      </c>
      <c r="H7" s="183">
        <f t="shared" si="3"/>
        <v>248.31</v>
      </c>
      <c r="I7" s="109">
        <f t="shared" si="0"/>
        <v>334.46000000000004</v>
      </c>
      <c r="J7" s="183">
        <f t="shared" si="4"/>
        <v>49.661999999999999</v>
      </c>
      <c r="K7" s="108" t="s">
        <v>430</v>
      </c>
      <c r="L7" s="108">
        <v>904.18</v>
      </c>
      <c r="M7" s="298">
        <v>300</v>
      </c>
      <c r="N7" s="107">
        <f t="shared" si="1"/>
        <v>165.54</v>
      </c>
      <c r="O7" s="244">
        <v>1.5</v>
      </c>
      <c r="P7" s="244">
        <f t="shared" si="5"/>
        <v>248.31</v>
      </c>
      <c r="Q7" s="290">
        <f t="shared" si="6"/>
        <v>51.69</v>
      </c>
      <c r="R7" s="301" t="str">
        <f t="shared" si="2"/>
        <v>No</v>
      </c>
      <c r="S7" s="255" t="s">
        <v>351</v>
      </c>
      <c r="T7" s="238" t="s">
        <v>351</v>
      </c>
    </row>
    <row r="8" spans="1:38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96">
        <v>1.5</v>
      </c>
      <c r="H8" s="183">
        <f t="shared" si="3"/>
        <v>152.28555</v>
      </c>
      <c r="I8" s="95">
        <f t="shared" si="0"/>
        <v>198.47629999999998</v>
      </c>
      <c r="J8" s="183">
        <f t="shared" si="4"/>
        <v>50.761849999999995</v>
      </c>
      <c r="K8" s="94" t="s">
        <v>429</v>
      </c>
      <c r="L8" s="94">
        <v>691.82</v>
      </c>
      <c r="M8" s="94">
        <v>300</v>
      </c>
      <c r="N8" s="93">
        <f t="shared" si="1"/>
        <v>101.52370000000001</v>
      </c>
      <c r="O8" s="244">
        <v>1.5</v>
      </c>
      <c r="P8" s="244">
        <f t="shared" si="5"/>
        <v>152.28555</v>
      </c>
      <c r="Q8" s="290">
        <f t="shared" si="6"/>
        <v>147.71445</v>
      </c>
      <c r="R8" s="181" t="str">
        <f t="shared" si="2"/>
        <v>No</v>
      </c>
      <c r="S8" s="254"/>
      <c r="T8" s="238"/>
    </row>
    <row r="9" spans="1:38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86">
        <v>1.5</v>
      </c>
      <c r="H9" s="183">
        <f t="shared" si="3"/>
        <v>495.05579999999998</v>
      </c>
      <c r="I9" s="85">
        <f t="shared" si="0"/>
        <v>269.96280000000002</v>
      </c>
      <c r="J9" s="183">
        <f t="shared" si="4"/>
        <v>82.509299999999996</v>
      </c>
      <c r="K9" s="84" t="s">
        <v>428</v>
      </c>
      <c r="L9" s="84">
        <v>243.73500000000001</v>
      </c>
      <c r="M9" s="299">
        <v>500</v>
      </c>
      <c r="N9" s="83">
        <f t="shared" si="1"/>
        <v>330.03719999999998</v>
      </c>
      <c r="O9" s="244">
        <v>1.5</v>
      </c>
      <c r="P9" s="244">
        <f t="shared" si="5"/>
        <v>495.05579999999998</v>
      </c>
      <c r="Q9" s="290">
        <f t="shared" si="6"/>
        <v>4.9442000000000235</v>
      </c>
      <c r="R9" s="180" t="str">
        <f t="shared" si="2"/>
        <v>No</v>
      </c>
      <c r="S9" s="233"/>
      <c r="T9" s="233"/>
      <c r="U9" s="246"/>
    </row>
    <row r="10" spans="1:38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10">
        <v>1.5</v>
      </c>
      <c r="H10" s="183">
        <f t="shared" si="3"/>
        <v>300.16500000000002</v>
      </c>
      <c r="I10" s="109">
        <f t="shared" si="0"/>
        <v>199.89</v>
      </c>
      <c r="J10" s="183">
        <f t="shared" si="4"/>
        <v>75.041250000000005</v>
      </c>
      <c r="K10" s="108" t="s">
        <v>427</v>
      </c>
      <c r="L10" s="108">
        <v>614.06500000000005</v>
      </c>
      <c r="M10" s="298">
        <v>300</v>
      </c>
      <c r="N10" s="107">
        <f t="shared" si="1"/>
        <v>200.11</v>
      </c>
      <c r="O10" s="244">
        <v>1.5</v>
      </c>
      <c r="P10" s="244">
        <f t="shared" si="5"/>
        <v>300.16500000000002</v>
      </c>
      <c r="Q10" s="290">
        <f t="shared" si="6"/>
        <v>-0.16500000000002046</v>
      </c>
      <c r="R10" s="253" t="s">
        <v>478</v>
      </c>
      <c r="S10" s="364"/>
      <c r="T10" s="364"/>
      <c r="U10" s="246"/>
      <c r="AA10" s="520" t="s">
        <v>594</v>
      </c>
      <c r="AB10" s="521"/>
      <c r="AC10" s="521"/>
      <c r="AD10" s="521"/>
      <c r="AE10" s="521"/>
      <c r="AF10" s="522"/>
      <c r="AG10" s="164"/>
    </row>
    <row r="11" spans="1:38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10">
        <v>1.5</v>
      </c>
      <c r="H11" s="183">
        <f t="shared" si="3"/>
        <v>624.22170000000006</v>
      </c>
      <c r="I11" s="109">
        <f t="shared" si="0"/>
        <v>333.85219999999998</v>
      </c>
      <c r="J11" s="183">
        <f t="shared" si="4"/>
        <v>83.229560000000006</v>
      </c>
      <c r="K11" s="108" t="s">
        <v>426</v>
      </c>
      <c r="L11" s="108">
        <v>692.19500000000005</v>
      </c>
      <c r="M11" s="108">
        <v>750</v>
      </c>
      <c r="N11" s="107">
        <f t="shared" si="1"/>
        <v>416.14780000000002</v>
      </c>
      <c r="O11" s="244">
        <v>1.5</v>
      </c>
      <c r="P11" s="244">
        <f t="shared" si="5"/>
        <v>624.22170000000006</v>
      </c>
      <c r="Q11" s="290">
        <f t="shared" si="6"/>
        <v>125.77829999999994</v>
      </c>
      <c r="R11" s="180" t="str">
        <f>IF(Q11&gt;=0,"No","Yes")</f>
        <v>No</v>
      </c>
      <c r="S11" s="364"/>
      <c r="T11" s="364"/>
      <c r="U11" s="246"/>
      <c r="AA11" s="336" t="s">
        <v>506</v>
      </c>
      <c r="AB11" s="338" t="s">
        <v>507</v>
      </c>
      <c r="AC11" s="338" t="s">
        <v>508</v>
      </c>
      <c r="AD11" s="338" t="s">
        <v>509</v>
      </c>
      <c r="AE11" s="338" t="s">
        <v>510</v>
      </c>
      <c r="AF11" s="339" t="s">
        <v>558</v>
      </c>
      <c r="AG11" s="312" t="s">
        <v>417</v>
      </c>
    </row>
    <row r="12" spans="1:38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10">
        <v>1.5</v>
      </c>
      <c r="H12" s="183">
        <f t="shared" si="3"/>
        <v>481.16999999999996</v>
      </c>
      <c r="I12" s="109">
        <f t="shared" si="0"/>
        <v>279.22000000000003</v>
      </c>
      <c r="J12" s="183">
        <f t="shared" si="4"/>
        <v>80.194999999999993</v>
      </c>
      <c r="K12" s="108" t="s">
        <v>420</v>
      </c>
      <c r="L12" s="108">
        <v>440.09</v>
      </c>
      <c r="M12" s="108">
        <v>600</v>
      </c>
      <c r="N12" s="107">
        <f t="shared" si="1"/>
        <v>320.77999999999997</v>
      </c>
      <c r="O12" s="244">
        <v>1.5</v>
      </c>
      <c r="P12" s="244">
        <f t="shared" si="5"/>
        <v>481.16999999999996</v>
      </c>
      <c r="Q12" s="290">
        <f t="shared" si="6"/>
        <v>118.83000000000004</v>
      </c>
      <c r="R12" s="180" t="str">
        <f>IF(Q12&gt;=0,"No","Yes")</f>
        <v>No</v>
      </c>
      <c r="S12" s="364"/>
      <c r="T12" s="364"/>
      <c r="U12" s="246"/>
      <c r="AA12" s="60" t="s">
        <v>84</v>
      </c>
      <c r="AB12" s="340">
        <v>0</v>
      </c>
      <c r="AC12" s="340">
        <v>0</v>
      </c>
      <c r="AD12" s="341">
        <v>0</v>
      </c>
      <c r="AE12" s="341">
        <v>0</v>
      </c>
      <c r="AF12" s="342">
        <v>0</v>
      </c>
      <c r="AG12" s="343">
        <f>SUM(AB12:AF12)</f>
        <v>0</v>
      </c>
    </row>
    <row r="13" spans="1:38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96">
        <v>1.5</v>
      </c>
      <c r="H13" s="183">
        <f t="shared" si="3"/>
        <v>33.525000000000006</v>
      </c>
      <c r="I13" s="95">
        <f t="shared" si="0"/>
        <v>177.65</v>
      </c>
      <c r="J13" s="183">
        <f t="shared" si="4"/>
        <v>16.762500000000003</v>
      </c>
      <c r="K13" s="94" t="s">
        <v>418</v>
      </c>
      <c r="L13" s="94">
        <v>541.49</v>
      </c>
      <c r="M13" s="291">
        <v>150</v>
      </c>
      <c r="N13" s="93">
        <f t="shared" si="1"/>
        <v>22.35</v>
      </c>
      <c r="O13" s="244">
        <v>1.5</v>
      </c>
      <c r="P13" s="244">
        <f t="shared" si="5"/>
        <v>33.525000000000006</v>
      </c>
      <c r="Q13" s="290">
        <f t="shared" si="6"/>
        <v>116.47499999999999</v>
      </c>
      <c r="R13" s="180" t="str">
        <f>IF(Q13&gt;=0,"No","Yes")</f>
        <v>No</v>
      </c>
      <c r="S13" s="364"/>
      <c r="T13" s="364"/>
      <c r="U13" s="246"/>
      <c r="AA13" s="60" t="s">
        <v>85</v>
      </c>
      <c r="AB13" s="340">
        <v>0</v>
      </c>
      <c r="AC13" s="340">
        <v>0</v>
      </c>
      <c r="AD13" s="340">
        <v>0</v>
      </c>
      <c r="AE13" s="340">
        <v>0</v>
      </c>
      <c r="AF13" s="342">
        <v>0</v>
      </c>
      <c r="AG13" s="60">
        <f t="shared" ref="AG13:AG23" si="7">SUM(AB13:AF13)</f>
        <v>0</v>
      </c>
    </row>
    <row r="14" spans="1:38" ht="13.5" thickBot="1">
      <c r="A14" s="354" t="s">
        <v>426</v>
      </c>
      <c r="B14" s="88" t="s">
        <v>351</v>
      </c>
      <c r="C14" s="161"/>
      <c r="D14" s="86"/>
      <c r="E14" s="86"/>
      <c r="F14" s="86"/>
      <c r="G14" s="86">
        <v>1.5</v>
      </c>
      <c r="H14" s="183">
        <f t="shared" si="3"/>
        <v>0</v>
      </c>
      <c r="I14" s="85"/>
      <c r="J14" s="183"/>
      <c r="K14" s="84"/>
      <c r="L14" s="84"/>
      <c r="M14" s="84"/>
      <c r="N14" s="83"/>
      <c r="O14" s="244">
        <v>1.5</v>
      </c>
      <c r="P14" s="244">
        <f t="shared" si="5"/>
        <v>0</v>
      </c>
      <c r="Q14" s="82"/>
      <c r="R14" s="83"/>
      <c r="S14" s="364"/>
      <c r="T14" s="364"/>
      <c r="U14" s="246"/>
      <c r="AA14" s="60" t="s">
        <v>86</v>
      </c>
      <c r="AB14" s="340">
        <v>0</v>
      </c>
      <c r="AC14" s="340">
        <v>0</v>
      </c>
      <c r="AD14" s="340">
        <v>0</v>
      </c>
      <c r="AE14" s="340">
        <v>0</v>
      </c>
      <c r="AF14" s="342">
        <v>0</v>
      </c>
      <c r="AG14" s="60">
        <f t="shared" si="7"/>
        <v>0</v>
      </c>
      <c r="AI14" s="406" t="s">
        <v>512</v>
      </c>
      <c r="AJ14" s="406" t="s">
        <v>513</v>
      </c>
      <c r="AK14" s="344" t="s">
        <v>514</v>
      </c>
    </row>
    <row r="15" spans="1:38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86">
        <v>1.5</v>
      </c>
      <c r="H15" s="183">
        <f t="shared" si="3"/>
        <v>621.76125000000002</v>
      </c>
      <c r="I15" s="85">
        <f t="shared" ref="I15:I24" si="8">E15-F15</f>
        <v>385.49250000000001</v>
      </c>
      <c r="J15" s="86">
        <f>H15/E15*100</f>
        <v>77.720156250000002</v>
      </c>
      <c r="K15" s="84" t="s">
        <v>424</v>
      </c>
      <c r="L15" s="84">
        <v>527.53499999999997</v>
      </c>
      <c r="M15" s="84">
        <v>800</v>
      </c>
      <c r="N15" s="83">
        <f t="shared" ref="N15:N24" si="9">F15</f>
        <v>414.50749999999999</v>
      </c>
      <c r="O15" s="244">
        <v>1.5</v>
      </c>
      <c r="P15" s="244">
        <f t="shared" si="5"/>
        <v>621.76125000000002</v>
      </c>
      <c r="Q15" s="203">
        <f>M15-P15</f>
        <v>178.23874999999998</v>
      </c>
      <c r="R15" s="83" t="str">
        <f t="shared" ref="R15:R24" si="10">IF(Q15&gt;=0,"No","Yes")</f>
        <v>No</v>
      </c>
      <c r="S15" s="364"/>
      <c r="T15" s="364"/>
      <c r="U15" s="246"/>
      <c r="AA15" s="60" t="s">
        <v>87</v>
      </c>
      <c r="AB15" s="340">
        <v>0</v>
      </c>
      <c r="AC15" s="340">
        <v>0</v>
      </c>
      <c r="AD15" s="340">
        <v>0</v>
      </c>
      <c r="AE15" s="340">
        <v>0</v>
      </c>
      <c r="AF15" s="342">
        <v>0</v>
      </c>
      <c r="AG15" s="60">
        <f t="shared" si="7"/>
        <v>0</v>
      </c>
      <c r="AI15" s="61" t="s">
        <v>507</v>
      </c>
      <c r="AJ15" s="61">
        <v>100</v>
      </c>
      <c r="AK15" s="416">
        <v>15</v>
      </c>
      <c r="AL15" s="405"/>
    </row>
    <row r="16" spans="1:38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10">
        <v>1.5</v>
      </c>
      <c r="H16" s="183">
        <f t="shared" si="3"/>
        <v>373.59030000000001</v>
      </c>
      <c r="I16" s="109">
        <f t="shared" si="8"/>
        <v>350.93979999999999</v>
      </c>
      <c r="J16" s="86">
        <f t="shared" ref="J16:J24" si="11">H16/E16*100</f>
        <v>62.265050000000002</v>
      </c>
      <c r="K16" s="108" t="s">
        <v>422</v>
      </c>
      <c r="L16" s="108">
        <v>258.625</v>
      </c>
      <c r="M16" s="298">
        <v>500</v>
      </c>
      <c r="N16" s="107">
        <f t="shared" si="9"/>
        <v>249.06020000000001</v>
      </c>
      <c r="O16" s="244">
        <v>1.5</v>
      </c>
      <c r="P16" s="244">
        <f t="shared" si="5"/>
        <v>373.59030000000001</v>
      </c>
      <c r="Q16" s="203">
        <f t="shared" ref="Q16:Q24" si="12">M16-P16</f>
        <v>126.40969999999999</v>
      </c>
      <c r="R16" s="83" t="str">
        <f t="shared" si="10"/>
        <v>No</v>
      </c>
      <c r="S16" s="364"/>
      <c r="T16" s="364"/>
      <c r="U16" s="246"/>
      <c r="AA16" s="60" t="s">
        <v>88</v>
      </c>
      <c r="AB16" s="340">
        <v>0</v>
      </c>
      <c r="AC16" s="340">
        <v>0</v>
      </c>
      <c r="AD16" s="340">
        <v>0</v>
      </c>
      <c r="AE16" s="340">
        <v>0</v>
      </c>
      <c r="AF16" s="342">
        <v>0</v>
      </c>
      <c r="AG16" s="60">
        <f t="shared" si="7"/>
        <v>0</v>
      </c>
      <c r="AH16" s="364"/>
      <c r="AI16" s="345" t="s">
        <v>508</v>
      </c>
      <c r="AJ16" s="345">
        <v>150</v>
      </c>
      <c r="AK16" s="417">
        <v>16.3689</v>
      </c>
      <c r="AL16" s="409"/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10">
        <v>1.5</v>
      </c>
      <c r="H17" s="183">
        <f t="shared" si="3"/>
        <v>278.15129999999999</v>
      </c>
      <c r="I17" s="109">
        <f t="shared" si="8"/>
        <v>264.56579999999997</v>
      </c>
      <c r="J17" s="86">
        <f t="shared" si="11"/>
        <v>61.811399999999992</v>
      </c>
      <c r="K17" s="108" t="s">
        <v>385</v>
      </c>
      <c r="L17" s="108">
        <v>975.03499999999997</v>
      </c>
      <c r="M17" s="108">
        <v>450</v>
      </c>
      <c r="N17" s="107">
        <f t="shared" si="9"/>
        <v>185.4342</v>
      </c>
      <c r="O17" s="244">
        <v>1.5</v>
      </c>
      <c r="P17" s="244">
        <f t="shared" si="5"/>
        <v>278.15129999999999</v>
      </c>
      <c r="Q17" s="203">
        <f t="shared" si="12"/>
        <v>171.84870000000001</v>
      </c>
      <c r="R17" s="83" t="str">
        <f t="shared" si="10"/>
        <v>No</v>
      </c>
      <c r="S17" s="364"/>
      <c r="T17" s="364"/>
      <c r="U17" s="246"/>
      <c r="AA17" s="60" t="s">
        <v>89</v>
      </c>
      <c r="AB17" s="340">
        <v>0</v>
      </c>
      <c r="AC17" s="340">
        <v>0</v>
      </c>
      <c r="AD17" s="340">
        <v>0</v>
      </c>
      <c r="AE17" s="340">
        <v>0</v>
      </c>
      <c r="AF17" s="342">
        <v>0</v>
      </c>
      <c r="AG17" s="60">
        <f t="shared" si="7"/>
        <v>0</v>
      </c>
      <c r="AH17" s="356"/>
      <c r="AI17" s="345" t="s">
        <v>509</v>
      </c>
      <c r="AJ17" s="345">
        <v>200</v>
      </c>
      <c r="AK17" s="417">
        <v>16.746700000000001</v>
      </c>
      <c r="AL17" s="352"/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10">
        <v>1.5</v>
      </c>
      <c r="H18" s="183">
        <f t="shared" si="3"/>
        <v>320.77244999999999</v>
      </c>
      <c r="I18" s="109">
        <f t="shared" si="8"/>
        <v>236.15170000000001</v>
      </c>
      <c r="J18" s="86">
        <f t="shared" si="11"/>
        <v>71.28276666666666</v>
      </c>
      <c r="K18" s="108" t="s">
        <v>421</v>
      </c>
      <c r="L18" s="108">
        <v>1025.3</v>
      </c>
      <c r="M18" s="108">
        <v>450</v>
      </c>
      <c r="N18" s="107">
        <f t="shared" si="9"/>
        <v>213.84829999999999</v>
      </c>
      <c r="O18" s="244">
        <v>1.5</v>
      </c>
      <c r="P18" s="244">
        <f t="shared" si="5"/>
        <v>320.77244999999999</v>
      </c>
      <c r="Q18" s="203">
        <f t="shared" si="12"/>
        <v>129.22755000000001</v>
      </c>
      <c r="R18" s="83" t="str">
        <f t="shared" si="10"/>
        <v>No</v>
      </c>
      <c r="S18" s="364"/>
      <c r="T18" s="364"/>
      <c r="U18" s="246"/>
      <c r="AA18" s="60" t="s">
        <v>90</v>
      </c>
      <c r="AB18" s="340">
        <v>0</v>
      </c>
      <c r="AC18" s="340">
        <v>0</v>
      </c>
      <c r="AD18" s="340">
        <v>0</v>
      </c>
      <c r="AE18" s="340">
        <v>0</v>
      </c>
      <c r="AF18" s="342">
        <v>0</v>
      </c>
      <c r="AG18" s="60">
        <f t="shared" si="7"/>
        <v>0</v>
      </c>
      <c r="AH18" s="356"/>
      <c r="AI18" s="345" t="s">
        <v>510</v>
      </c>
      <c r="AJ18" s="345">
        <v>250</v>
      </c>
      <c r="AK18" s="417">
        <v>16.886600000000001</v>
      </c>
      <c r="AL18" s="409"/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10">
        <v>1.5</v>
      </c>
      <c r="H19" s="183">
        <f t="shared" si="3"/>
        <v>481.17255</v>
      </c>
      <c r="I19" s="109">
        <f t="shared" si="8"/>
        <v>279.2183</v>
      </c>
      <c r="J19" s="86">
        <f t="shared" si="11"/>
        <v>80.195425</v>
      </c>
      <c r="K19" s="108" t="s">
        <v>420</v>
      </c>
      <c r="L19" s="108">
        <v>440.09</v>
      </c>
      <c r="M19" s="108">
        <v>600</v>
      </c>
      <c r="N19" s="107">
        <f t="shared" si="9"/>
        <v>320.7817</v>
      </c>
      <c r="O19" s="244">
        <v>1.5</v>
      </c>
      <c r="P19" s="244">
        <f t="shared" si="5"/>
        <v>481.17255</v>
      </c>
      <c r="Q19" s="203">
        <f t="shared" si="12"/>
        <v>118.82745</v>
      </c>
      <c r="R19" s="83" t="str">
        <f t="shared" si="10"/>
        <v>No</v>
      </c>
      <c r="S19" s="364"/>
      <c r="T19" s="364"/>
      <c r="U19" s="246"/>
      <c r="AA19" s="60" t="s">
        <v>91</v>
      </c>
      <c r="AB19" s="340">
        <v>0</v>
      </c>
      <c r="AC19" s="340">
        <v>0</v>
      </c>
      <c r="AD19" s="342">
        <v>0</v>
      </c>
      <c r="AE19" s="342">
        <v>0</v>
      </c>
      <c r="AF19" s="342">
        <v>0</v>
      </c>
      <c r="AG19" s="60">
        <f t="shared" si="7"/>
        <v>0</v>
      </c>
      <c r="AH19" s="364"/>
      <c r="AI19" s="346" t="s">
        <v>558</v>
      </c>
      <c r="AJ19" s="346">
        <v>300</v>
      </c>
      <c r="AK19" s="418">
        <v>17</v>
      </c>
      <c r="AL19" s="409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96">
        <v>1.5</v>
      </c>
      <c r="H20" s="183">
        <f t="shared" si="3"/>
        <v>33.525000000000006</v>
      </c>
      <c r="I20" s="95">
        <f t="shared" si="8"/>
        <v>177.65</v>
      </c>
      <c r="J20" s="86">
        <f t="shared" si="11"/>
        <v>16.762500000000003</v>
      </c>
      <c r="K20" s="94" t="s">
        <v>418</v>
      </c>
      <c r="L20" s="94">
        <v>541.49</v>
      </c>
      <c r="M20" s="291">
        <v>150</v>
      </c>
      <c r="N20" s="93">
        <f t="shared" si="9"/>
        <v>22.35</v>
      </c>
      <c r="O20" s="244">
        <v>1.5</v>
      </c>
      <c r="P20" s="244">
        <f t="shared" si="5"/>
        <v>33.525000000000006</v>
      </c>
      <c r="Q20" s="203">
        <f t="shared" si="12"/>
        <v>116.47499999999999</v>
      </c>
      <c r="R20" s="83" t="str">
        <f t="shared" si="10"/>
        <v>No</v>
      </c>
      <c r="S20" s="364"/>
      <c r="T20" s="364"/>
      <c r="U20" s="246"/>
      <c r="AA20" s="60" t="s">
        <v>92</v>
      </c>
      <c r="AB20" s="342">
        <v>0</v>
      </c>
      <c r="AC20" s="342">
        <v>0</v>
      </c>
      <c r="AD20" s="342">
        <v>0</v>
      </c>
      <c r="AE20" s="342">
        <v>0</v>
      </c>
      <c r="AF20" s="342">
        <v>0</v>
      </c>
      <c r="AG20" s="60">
        <f t="shared" si="7"/>
        <v>0</v>
      </c>
      <c r="AH20" s="364"/>
      <c r="AI20" s="409"/>
      <c r="AJ20" s="409"/>
      <c r="AL20" s="409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86">
        <v>1.5</v>
      </c>
      <c r="H21" s="183">
        <f t="shared" si="3"/>
        <v>300.16829999999999</v>
      </c>
      <c r="I21" s="85">
        <f t="shared" si="8"/>
        <v>199.8878</v>
      </c>
      <c r="J21" s="86">
        <f t="shared" si="11"/>
        <v>75.042074999999997</v>
      </c>
      <c r="K21" s="84" t="s">
        <v>416</v>
      </c>
      <c r="L21" s="84">
        <v>733.18499999999995</v>
      </c>
      <c r="M21" s="299">
        <v>300</v>
      </c>
      <c r="N21" s="83">
        <f t="shared" si="9"/>
        <v>200.1122</v>
      </c>
      <c r="O21" s="244">
        <v>1.5</v>
      </c>
      <c r="P21" s="244">
        <f t="shared" si="5"/>
        <v>300.16829999999999</v>
      </c>
      <c r="Q21" s="203">
        <f t="shared" si="12"/>
        <v>-0.1682999999999879</v>
      </c>
      <c r="R21" s="201" t="str">
        <f t="shared" si="10"/>
        <v>Yes</v>
      </c>
      <c r="S21" s="364"/>
      <c r="T21" s="364"/>
      <c r="U21" s="246"/>
      <c r="AA21" s="60" t="s">
        <v>93</v>
      </c>
      <c r="AB21" s="342">
        <v>0</v>
      </c>
      <c r="AC21" s="340">
        <v>0</v>
      </c>
      <c r="AD21" s="342">
        <v>0</v>
      </c>
      <c r="AE21" s="342">
        <v>0</v>
      </c>
      <c r="AF21" s="342">
        <v>0</v>
      </c>
      <c r="AG21" s="60">
        <f t="shared" si="7"/>
        <v>0</v>
      </c>
      <c r="AH21" s="364"/>
      <c r="AI21" s="409"/>
      <c r="AJ21" s="409"/>
      <c r="AL21" s="409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10">
        <v>1.5</v>
      </c>
      <c r="H22" s="183">
        <f t="shared" si="3"/>
        <v>624.22170000000006</v>
      </c>
      <c r="I22" s="109">
        <f t="shared" si="8"/>
        <v>333.85219999999998</v>
      </c>
      <c r="J22" s="86">
        <f t="shared" si="11"/>
        <v>83.229560000000006</v>
      </c>
      <c r="K22" s="108" t="s">
        <v>361</v>
      </c>
      <c r="L22" s="108">
        <v>692.19500000000005</v>
      </c>
      <c r="M22" s="108">
        <v>750</v>
      </c>
      <c r="N22" s="107">
        <f t="shared" si="9"/>
        <v>416.14780000000002</v>
      </c>
      <c r="O22" s="244">
        <v>1.5</v>
      </c>
      <c r="P22" s="244">
        <f t="shared" si="5"/>
        <v>624.22170000000006</v>
      </c>
      <c r="Q22" s="203">
        <f t="shared" si="12"/>
        <v>125.77829999999994</v>
      </c>
      <c r="R22" s="83" t="str">
        <f t="shared" si="10"/>
        <v>No</v>
      </c>
      <c r="S22" s="364"/>
      <c r="T22" s="364"/>
      <c r="U22" s="246"/>
      <c r="AA22" s="60" t="s">
        <v>94</v>
      </c>
      <c r="AB22" s="342">
        <v>0</v>
      </c>
      <c r="AC22" s="340">
        <v>0</v>
      </c>
      <c r="AD22" s="342">
        <v>0</v>
      </c>
      <c r="AE22" s="342">
        <v>0</v>
      </c>
      <c r="AF22" s="342">
        <v>0</v>
      </c>
      <c r="AG22" s="60">
        <f t="shared" si="7"/>
        <v>0</v>
      </c>
      <c r="AH22" s="18" t="s">
        <v>516</v>
      </c>
      <c r="AI22" s="18"/>
      <c r="AJ22" s="409"/>
      <c r="AL22" s="409"/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10">
        <v>1.5</v>
      </c>
      <c r="H23" s="183">
        <f t="shared" si="3"/>
        <v>36.154499999999999</v>
      </c>
      <c r="I23" s="109">
        <f t="shared" si="8"/>
        <v>175.89699999999999</v>
      </c>
      <c r="J23" s="86">
        <f t="shared" si="11"/>
        <v>18.077249999999999</v>
      </c>
      <c r="K23" s="108" t="s">
        <v>412</v>
      </c>
      <c r="L23" s="108">
        <v>820.63</v>
      </c>
      <c r="M23" s="298">
        <v>150</v>
      </c>
      <c r="N23" s="107">
        <f t="shared" si="9"/>
        <v>24.103000000000002</v>
      </c>
      <c r="O23" s="244">
        <v>1.5</v>
      </c>
      <c r="P23" s="244">
        <f t="shared" si="5"/>
        <v>36.154499999999999</v>
      </c>
      <c r="Q23" s="203">
        <f t="shared" si="12"/>
        <v>113.8455</v>
      </c>
      <c r="R23" s="83" t="str">
        <f t="shared" si="10"/>
        <v>No</v>
      </c>
      <c r="S23" s="364"/>
      <c r="T23" s="364"/>
      <c r="U23" s="246"/>
      <c r="V23" s="320"/>
      <c r="W23" s="58"/>
      <c r="AA23" s="347" t="s">
        <v>505</v>
      </c>
      <c r="AB23" s="348">
        <v>0</v>
      </c>
      <c r="AC23" s="348">
        <v>0</v>
      </c>
      <c r="AD23" s="348">
        <v>0</v>
      </c>
      <c r="AE23" s="348">
        <v>0</v>
      </c>
      <c r="AF23" s="348">
        <v>0</v>
      </c>
      <c r="AG23" s="347">
        <f t="shared" si="7"/>
        <v>0</v>
      </c>
      <c r="AH23" s="364"/>
      <c r="AI23" s="520" t="s">
        <v>596</v>
      </c>
      <c r="AJ23" s="521"/>
      <c r="AK23" s="521"/>
      <c r="AL23" s="521"/>
      <c r="AM23" s="521"/>
      <c r="AN23" s="522"/>
      <c r="AO23" s="164"/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96">
        <v>1.5</v>
      </c>
      <c r="H24" s="183">
        <f t="shared" si="3"/>
        <v>33.525000000000006</v>
      </c>
      <c r="I24" s="95">
        <f t="shared" si="8"/>
        <v>177.65</v>
      </c>
      <c r="J24" s="86">
        <f t="shared" si="11"/>
        <v>16.762500000000003</v>
      </c>
      <c r="K24" s="94" t="s">
        <v>410</v>
      </c>
      <c r="L24" s="94">
        <v>660.63</v>
      </c>
      <c r="M24" s="291">
        <v>150</v>
      </c>
      <c r="N24" s="93">
        <f t="shared" si="9"/>
        <v>22.35</v>
      </c>
      <c r="O24" s="244">
        <v>1.5</v>
      </c>
      <c r="P24" s="244">
        <f t="shared" si="5"/>
        <v>33.525000000000006</v>
      </c>
      <c r="Q24" s="203">
        <f t="shared" si="12"/>
        <v>116.47499999999999</v>
      </c>
      <c r="R24" s="83" t="str">
        <f t="shared" si="10"/>
        <v>No</v>
      </c>
      <c r="S24" s="364"/>
      <c r="T24" s="364"/>
      <c r="V24" s="553" t="s">
        <v>455</v>
      </c>
      <c r="W24" s="554"/>
      <c r="X24" s="365"/>
      <c r="AA24" s="312" t="s">
        <v>515</v>
      </c>
      <c r="AB24" s="349">
        <f t="shared" ref="AB24:AG24" si="13">SUM(AB12:AB23)</f>
        <v>0</v>
      </c>
      <c r="AC24" s="349">
        <f t="shared" si="13"/>
        <v>0</v>
      </c>
      <c r="AD24" s="349">
        <f t="shared" si="13"/>
        <v>0</v>
      </c>
      <c r="AE24" s="349">
        <f t="shared" si="13"/>
        <v>0</v>
      </c>
      <c r="AF24" s="349">
        <f t="shared" si="13"/>
        <v>0</v>
      </c>
      <c r="AG24" s="350">
        <f t="shared" si="13"/>
        <v>0</v>
      </c>
      <c r="AH24" s="364"/>
      <c r="AI24" s="336" t="s">
        <v>506</v>
      </c>
      <c r="AJ24" s="338" t="s">
        <v>507</v>
      </c>
      <c r="AK24" s="338" t="s">
        <v>508</v>
      </c>
      <c r="AL24" s="338" t="s">
        <v>509</v>
      </c>
      <c r="AM24" s="338" t="s">
        <v>510</v>
      </c>
      <c r="AN24" s="339" t="s">
        <v>558</v>
      </c>
      <c r="AO24" s="312" t="s">
        <v>417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86">
        <v>1.5</v>
      </c>
      <c r="H25" s="183">
        <f t="shared" si="3"/>
        <v>0</v>
      </c>
      <c r="I25" s="85"/>
      <c r="J25" s="183"/>
      <c r="K25" s="84"/>
      <c r="L25" s="84"/>
      <c r="M25" s="84"/>
      <c r="N25" s="83"/>
      <c r="O25" s="244">
        <v>1.5</v>
      </c>
      <c r="P25" s="244">
        <f t="shared" si="5"/>
        <v>0</v>
      </c>
      <c r="Q25" s="82"/>
      <c r="R25" s="83"/>
      <c r="S25" s="356" t="s">
        <v>440</v>
      </c>
      <c r="T25" s="356" t="s">
        <v>457</v>
      </c>
      <c r="V25" s="91"/>
      <c r="W25" s="320"/>
      <c r="X25" s="100"/>
      <c r="AA25" s="312" t="s">
        <v>514</v>
      </c>
      <c r="AB25" s="351">
        <f>PRODUCT(AB24*AK15)</f>
        <v>0</v>
      </c>
      <c r="AC25" s="351">
        <f>PRODUCT(AC24*AK16)</f>
        <v>0</v>
      </c>
      <c r="AD25" s="351">
        <f>PRODUCT(AD24*AK17)</f>
        <v>0</v>
      </c>
      <c r="AE25" s="351">
        <f>PRODUCT(AE24*AK18)</f>
        <v>0</v>
      </c>
      <c r="AF25" s="351">
        <f>PRODUCT(AF24*AK19)</f>
        <v>0</v>
      </c>
      <c r="AG25" s="312">
        <f>SUM(AB25:AF25)</f>
        <v>0</v>
      </c>
      <c r="AH25" s="364"/>
      <c r="AI25" s="60" t="s">
        <v>84</v>
      </c>
      <c r="AJ25" s="342">
        <f>AB12+AB32</f>
        <v>0</v>
      </c>
      <c r="AK25" s="342">
        <f t="shared" ref="AK25:AN36" si="14">AC12+AC32</f>
        <v>8</v>
      </c>
      <c r="AL25" s="342">
        <f t="shared" si="14"/>
        <v>3</v>
      </c>
      <c r="AM25" s="342">
        <f t="shared" si="14"/>
        <v>2</v>
      </c>
      <c r="AN25" s="342">
        <f t="shared" si="14"/>
        <v>0</v>
      </c>
      <c r="AO25" s="343">
        <f>SUM(AJ25:AN25)</f>
        <v>13</v>
      </c>
    </row>
    <row r="26" spans="1:41" ht="15" customHeight="1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86">
        <v>1.5</v>
      </c>
      <c r="H26" s="183">
        <f t="shared" si="3"/>
        <v>996.77129999999988</v>
      </c>
      <c r="I26" s="85">
        <f t="shared" ref="I26:I56" si="15">E26-F26</f>
        <v>535.48580000000004</v>
      </c>
      <c r="J26" s="85">
        <f>H26/E26*100</f>
        <v>83.064274999999981</v>
      </c>
      <c r="K26" s="84" t="s">
        <v>405</v>
      </c>
      <c r="L26" s="84">
        <v>799.22</v>
      </c>
      <c r="M26" s="299">
        <v>900</v>
      </c>
      <c r="N26" s="83">
        <f t="shared" ref="N26:N56" si="16">F26</f>
        <v>664.51419999999996</v>
      </c>
      <c r="O26" s="244">
        <v>1.5</v>
      </c>
      <c r="P26" s="244">
        <f t="shared" si="5"/>
        <v>996.77129999999988</v>
      </c>
      <c r="Q26" s="82">
        <f>M26-P26</f>
        <v>-96.771299999999883</v>
      </c>
      <c r="R26" s="218" t="str">
        <f t="shared" ref="R26:R56" si="17">IF(Q26&gt;=0,"No","Yes")</f>
        <v>Yes</v>
      </c>
      <c r="S26" s="557" t="s">
        <v>351</v>
      </c>
      <c r="T26" s="555" t="s">
        <v>351</v>
      </c>
      <c r="V26" s="302" t="s">
        <v>390</v>
      </c>
      <c r="W26" s="363" t="s">
        <v>389</v>
      </c>
      <c r="X26" s="303" t="s">
        <v>388</v>
      </c>
      <c r="AA26" s="312" t="s">
        <v>513</v>
      </c>
      <c r="AB26" s="351">
        <f>AB24*AJ15</f>
        <v>0</v>
      </c>
      <c r="AC26" s="351">
        <f>AC24*AJ16</f>
        <v>0</v>
      </c>
      <c r="AD26" s="351">
        <f>AD24*AJ17</f>
        <v>0</v>
      </c>
      <c r="AE26" s="351">
        <f>AE24*AJ18</f>
        <v>0</v>
      </c>
      <c r="AF26" s="351">
        <f>AF24*AJ19</f>
        <v>0</v>
      </c>
      <c r="AG26" s="312">
        <f>SUM(AB26:AF26)</f>
        <v>0</v>
      </c>
      <c r="AH26" s="364"/>
      <c r="AI26" s="60" t="s">
        <v>85</v>
      </c>
      <c r="AJ26" s="342">
        <f t="shared" ref="AJ26:AJ36" si="18">AB13+AB33</f>
        <v>0</v>
      </c>
      <c r="AK26" s="342">
        <f t="shared" si="14"/>
        <v>11</v>
      </c>
      <c r="AL26" s="342">
        <f t="shared" si="14"/>
        <v>6</v>
      </c>
      <c r="AM26" s="342">
        <f t="shared" si="14"/>
        <v>0</v>
      </c>
      <c r="AN26" s="342">
        <f t="shared" si="14"/>
        <v>4</v>
      </c>
      <c r="AO26" s="60">
        <f t="shared" ref="AO26:AO36" si="19">SUM(AJ26:AN26)</f>
        <v>21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55">
        <v>1.5</v>
      </c>
      <c r="H27" s="183">
        <f t="shared" si="3"/>
        <v>637.00244999999995</v>
      </c>
      <c r="I27" s="154">
        <f t="shared" si="15"/>
        <v>475.33170000000001</v>
      </c>
      <c r="J27" s="85">
        <f t="shared" ref="J27:J56" si="20">H27/E27*100</f>
        <v>70.778049999999993</v>
      </c>
      <c r="K27" s="153" t="s">
        <v>404</v>
      </c>
      <c r="L27" s="153">
        <v>973.76</v>
      </c>
      <c r="M27" s="153">
        <v>900</v>
      </c>
      <c r="N27" s="71">
        <f t="shared" si="16"/>
        <v>424.66829999999999</v>
      </c>
      <c r="O27" s="244">
        <v>1.5</v>
      </c>
      <c r="P27" s="244">
        <f t="shared" si="5"/>
        <v>637.00244999999995</v>
      </c>
      <c r="Q27" s="82">
        <f t="shared" ref="Q27:Q56" si="21">M27-P27</f>
        <v>262.99755000000005</v>
      </c>
      <c r="R27" s="201" t="str">
        <f t="shared" si="17"/>
        <v>No</v>
      </c>
      <c r="S27" s="558"/>
      <c r="T27" s="556"/>
      <c r="V27" s="133"/>
      <c r="W27" s="132"/>
      <c r="X27" s="100">
        <f>(W27/200)*100</f>
        <v>0</v>
      </c>
      <c r="AA27" s="409"/>
      <c r="AB27" s="409"/>
      <c r="AC27" s="409"/>
      <c r="AD27" s="409"/>
      <c r="AE27" s="409"/>
      <c r="AF27" s="409"/>
      <c r="AG27" s="409"/>
      <c r="AI27" s="60" t="s">
        <v>86</v>
      </c>
      <c r="AJ27" s="342">
        <f t="shared" si="18"/>
        <v>0</v>
      </c>
      <c r="AK27" s="342">
        <f t="shared" si="14"/>
        <v>0</v>
      </c>
      <c r="AL27" s="342">
        <f t="shared" si="14"/>
        <v>4</v>
      </c>
      <c r="AM27" s="342">
        <f t="shared" si="14"/>
        <v>0</v>
      </c>
      <c r="AN27" s="342">
        <f t="shared" si="14"/>
        <v>2</v>
      </c>
      <c r="AO27" s="60">
        <f t="shared" si="19"/>
        <v>6</v>
      </c>
    </row>
    <row r="28" spans="1:41" ht="15" customHeight="1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96">
        <v>1.5</v>
      </c>
      <c r="H28" s="183">
        <f t="shared" si="3"/>
        <v>621.76125000000002</v>
      </c>
      <c r="I28" s="95">
        <f t="shared" si="15"/>
        <v>385.49250000000001</v>
      </c>
      <c r="J28" s="85">
        <f t="shared" si="20"/>
        <v>77.720156250000002</v>
      </c>
      <c r="K28" s="94" t="s">
        <v>402</v>
      </c>
      <c r="L28" s="94">
        <v>849.47500000000002</v>
      </c>
      <c r="M28" s="291">
        <v>600</v>
      </c>
      <c r="N28" s="93">
        <f t="shared" si="16"/>
        <v>414.50749999999999</v>
      </c>
      <c r="O28" s="244">
        <v>1.5</v>
      </c>
      <c r="P28" s="244">
        <f t="shared" si="5"/>
        <v>621.76125000000002</v>
      </c>
      <c r="Q28" s="82">
        <f t="shared" si="21"/>
        <v>-21.761250000000018</v>
      </c>
      <c r="R28" s="201" t="str">
        <f t="shared" si="17"/>
        <v>Yes</v>
      </c>
      <c r="S28" s="357"/>
      <c r="T28" s="360"/>
      <c r="V28" s="133"/>
      <c r="W28" s="132"/>
      <c r="X28" s="100">
        <f>(W28/150)*100</f>
        <v>0</v>
      </c>
      <c r="AA28" s="409"/>
      <c r="AB28" s="409"/>
      <c r="AC28" s="409"/>
      <c r="AD28" s="409"/>
      <c r="AE28" s="409"/>
      <c r="AF28" s="409"/>
      <c r="AG28" s="409"/>
      <c r="AH28" s="364"/>
      <c r="AI28" s="60" t="s">
        <v>87</v>
      </c>
      <c r="AJ28" s="342">
        <f t="shared" si="18"/>
        <v>0</v>
      </c>
      <c r="AK28" s="342">
        <f t="shared" si="14"/>
        <v>20</v>
      </c>
      <c r="AL28" s="342">
        <f t="shared" si="14"/>
        <v>27</v>
      </c>
      <c r="AM28" s="342">
        <f t="shared" si="14"/>
        <v>15</v>
      </c>
      <c r="AN28" s="342">
        <f t="shared" si="14"/>
        <v>0</v>
      </c>
      <c r="AO28" s="60">
        <f t="shared" si="19"/>
        <v>62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96">
        <v>1.5</v>
      </c>
      <c r="H29" s="183">
        <f t="shared" si="3"/>
        <v>278.15129999999999</v>
      </c>
      <c r="I29" s="95">
        <f t="shared" si="15"/>
        <v>264.56579999999997</v>
      </c>
      <c r="J29" s="85">
        <f t="shared" si="20"/>
        <v>61.811399999999992</v>
      </c>
      <c r="K29" s="94" t="s">
        <v>385</v>
      </c>
      <c r="L29" s="94">
        <v>975.03499999999997</v>
      </c>
      <c r="M29" s="94">
        <v>450</v>
      </c>
      <c r="N29" s="93">
        <f t="shared" si="16"/>
        <v>185.4342</v>
      </c>
      <c r="O29" s="244">
        <v>1.5</v>
      </c>
      <c r="P29" s="244">
        <f t="shared" si="5"/>
        <v>278.15129999999999</v>
      </c>
      <c r="Q29" s="82">
        <f t="shared" si="21"/>
        <v>171.84870000000001</v>
      </c>
      <c r="R29" s="201" t="str">
        <f t="shared" si="17"/>
        <v>No</v>
      </c>
      <c r="S29" s="359"/>
      <c r="T29" s="361"/>
      <c r="V29" s="133"/>
      <c r="W29" s="132"/>
      <c r="X29" s="100"/>
      <c r="AA29" s="409"/>
      <c r="AB29" s="409"/>
      <c r="AC29" s="409"/>
      <c r="AD29" s="409"/>
      <c r="AE29" s="409"/>
      <c r="AF29" s="409"/>
      <c r="AG29" s="409"/>
      <c r="AH29" s="364"/>
      <c r="AI29" s="60" t="s">
        <v>88</v>
      </c>
      <c r="AJ29" s="342">
        <f t="shared" si="18"/>
        <v>0</v>
      </c>
      <c r="AK29" s="342">
        <f t="shared" si="14"/>
        <v>0</v>
      </c>
      <c r="AL29" s="342">
        <f t="shared" si="14"/>
        <v>13</v>
      </c>
      <c r="AM29" s="342">
        <f t="shared" si="14"/>
        <v>1</v>
      </c>
      <c r="AN29" s="342">
        <f t="shared" si="14"/>
        <v>0</v>
      </c>
      <c r="AO29" s="60">
        <f t="shared" si="19"/>
        <v>14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10">
        <v>1.5</v>
      </c>
      <c r="H30" s="183">
        <f t="shared" si="3"/>
        <v>320.77244999999999</v>
      </c>
      <c r="I30" s="109">
        <f t="shared" si="15"/>
        <v>236.15170000000001</v>
      </c>
      <c r="J30" s="85">
        <f t="shared" si="20"/>
        <v>71.28276666666666</v>
      </c>
      <c r="K30" s="108" t="s">
        <v>399</v>
      </c>
      <c r="L30" s="108">
        <v>1347.24</v>
      </c>
      <c r="M30" s="298">
        <v>300</v>
      </c>
      <c r="N30" s="107">
        <f t="shared" si="16"/>
        <v>213.84829999999999</v>
      </c>
      <c r="O30" s="244">
        <v>1.5</v>
      </c>
      <c r="P30" s="244">
        <f t="shared" si="5"/>
        <v>320.77244999999999</v>
      </c>
      <c r="Q30" s="82">
        <f t="shared" si="21"/>
        <v>-20.772449999999992</v>
      </c>
      <c r="R30" s="218" t="str">
        <f t="shared" si="17"/>
        <v>Yes</v>
      </c>
      <c r="S30" s="359" t="s">
        <v>351</v>
      </c>
      <c r="T30" s="361" t="s">
        <v>351</v>
      </c>
      <c r="V30" s="91"/>
      <c r="W30" s="320"/>
      <c r="X30" s="100"/>
      <c r="AA30" s="520" t="s">
        <v>595</v>
      </c>
      <c r="AB30" s="521"/>
      <c r="AC30" s="521"/>
      <c r="AD30" s="521"/>
      <c r="AE30" s="521"/>
      <c r="AF30" s="522"/>
      <c r="AG30" s="164"/>
      <c r="AH30" s="364"/>
      <c r="AI30" s="60" t="s">
        <v>89</v>
      </c>
      <c r="AJ30" s="342">
        <f t="shared" si="18"/>
        <v>0</v>
      </c>
      <c r="AK30" s="342">
        <f t="shared" si="14"/>
        <v>13</v>
      </c>
      <c r="AL30" s="342">
        <f t="shared" si="14"/>
        <v>1</v>
      </c>
      <c r="AM30" s="342">
        <f t="shared" si="14"/>
        <v>1</v>
      </c>
      <c r="AN30" s="342">
        <f t="shared" si="14"/>
        <v>0</v>
      </c>
      <c r="AO30" s="60">
        <f t="shared" si="19"/>
        <v>15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96">
        <v>1.5</v>
      </c>
      <c r="H31" s="183">
        <f t="shared" si="3"/>
        <v>481.17255</v>
      </c>
      <c r="I31" s="95">
        <f t="shared" si="15"/>
        <v>279.2183</v>
      </c>
      <c r="J31" s="85">
        <f t="shared" si="20"/>
        <v>80.195425</v>
      </c>
      <c r="K31" s="94" t="s">
        <v>397</v>
      </c>
      <c r="L31" s="94">
        <v>762.03</v>
      </c>
      <c r="M31" s="291">
        <v>450</v>
      </c>
      <c r="N31" s="93">
        <f t="shared" si="16"/>
        <v>320.7817</v>
      </c>
      <c r="O31" s="244">
        <v>1.5</v>
      </c>
      <c r="P31" s="244">
        <f t="shared" si="5"/>
        <v>481.17255</v>
      </c>
      <c r="Q31" s="82">
        <f t="shared" si="21"/>
        <v>-31.172550000000001</v>
      </c>
      <c r="R31" s="218" t="str">
        <f t="shared" si="17"/>
        <v>Yes</v>
      </c>
      <c r="S31" s="359"/>
      <c r="T31" s="361"/>
      <c r="V31" s="304"/>
      <c r="W31" s="234"/>
      <c r="X31" s="90"/>
      <c r="Y31" s="320"/>
      <c r="Z31" s="17"/>
      <c r="AA31" s="336" t="s">
        <v>506</v>
      </c>
      <c r="AB31" s="338" t="s">
        <v>507</v>
      </c>
      <c r="AC31" s="338" t="s">
        <v>508</v>
      </c>
      <c r="AD31" s="338" t="s">
        <v>509</v>
      </c>
      <c r="AE31" s="338" t="s">
        <v>510</v>
      </c>
      <c r="AF31" s="339" t="s">
        <v>558</v>
      </c>
      <c r="AG31" s="312" t="s">
        <v>417</v>
      </c>
      <c r="AH31" s="364"/>
      <c r="AI31" s="60" t="s">
        <v>90</v>
      </c>
      <c r="AJ31" s="342">
        <f t="shared" si="18"/>
        <v>0</v>
      </c>
      <c r="AK31" s="342">
        <f t="shared" si="14"/>
        <v>0</v>
      </c>
      <c r="AL31" s="342">
        <f t="shared" si="14"/>
        <v>1</v>
      </c>
      <c r="AM31" s="342">
        <f t="shared" si="14"/>
        <v>2</v>
      </c>
      <c r="AN31" s="342">
        <f t="shared" si="14"/>
        <v>2</v>
      </c>
      <c r="AO31" s="60">
        <f t="shared" si="19"/>
        <v>5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96">
        <v>1.5</v>
      </c>
      <c r="H32" s="183">
        <f t="shared" si="3"/>
        <v>416.36130000000003</v>
      </c>
      <c r="I32" s="95">
        <f t="shared" si="15"/>
        <v>222.42579999999998</v>
      </c>
      <c r="J32" s="85">
        <f t="shared" si="20"/>
        <v>83.272260000000003</v>
      </c>
      <c r="K32" s="94" t="s">
        <v>394</v>
      </c>
      <c r="L32" s="94">
        <v>922.03</v>
      </c>
      <c r="M32" s="291">
        <v>300</v>
      </c>
      <c r="N32" s="107">
        <f t="shared" si="16"/>
        <v>277.57420000000002</v>
      </c>
      <c r="O32" s="244">
        <v>1.5</v>
      </c>
      <c r="P32" s="244">
        <f t="shared" si="5"/>
        <v>416.36130000000003</v>
      </c>
      <c r="Q32" s="82">
        <f t="shared" si="21"/>
        <v>-116.36130000000003</v>
      </c>
      <c r="R32" s="201" t="str">
        <f t="shared" si="17"/>
        <v>Yes</v>
      </c>
      <c r="S32" s="358"/>
      <c r="T32" s="362"/>
      <c r="V32" s="163" t="s">
        <v>369</v>
      </c>
      <c r="W32" s="252">
        <f>SUM(W27:W31)</f>
        <v>0</v>
      </c>
      <c r="X32" s="320"/>
      <c r="Y32" s="320"/>
      <c r="AA32" s="60" t="s">
        <v>84</v>
      </c>
      <c r="AB32" s="342">
        <v>0</v>
      </c>
      <c r="AC32" s="342">
        <f>8</f>
        <v>8</v>
      </c>
      <c r="AD32" s="412">
        <f>2+1</f>
        <v>3</v>
      </c>
      <c r="AE32" s="412">
        <f>2</f>
        <v>2</v>
      </c>
      <c r="AF32" s="342">
        <v>0</v>
      </c>
      <c r="AG32" s="343">
        <f>SUM(AB32:AF32)</f>
        <v>13</v>
      </c>
      <c r="AH32" s="364"/>
      <c r="AI32" s="60" t="s">
        <v>91</v>
      </c>
      <c r="AJ32" s="342">
        <f t="shared" si="18"/>
        <v>0</v>
      </c>
      <c r="AK32" s="342">
        <f t="shared" si="14"/>
        <v>17</v>
      </c>
      <c r="AL32" s="342">
        <f t="shared" si="14"/>
        <v>3</v>
      </c>
      <c r="AM32" s="342">
        <f t="shared" si="14"/>
        <v>2</v>
      </c>
      <c r="AN32" s="342">
        <f t="shared" si="14"/>
        <v>0</v>
      </c>
      <c r="AO32" s="60">
        <f t="shared" si="19"/>
        <v>22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86">
        <v>1.5</v>
      </c>
      <c r="H33" s="183">
        <f t="shared" si="3"/>
        <v>890.08500000000004</v>
      </c>
      <c r="I33" s="85">
        <f t="shared" si="15"/>
        <v>606.61</v>
      </c>
      <c r="J33" s="85">
        <f t="shared" si="20"/>
        <v>74.173749999999998</v>
      </c>
      <c r="K33" s="84" t="s">
        <v>391</v>
      </c>
      <c r="L33" s="84">
        <v>778.62</v>
      </c>
      <c r="M33" s="84">
        <v>1200</v>
      </c>
      <c r="N33" s="83">
        <f t="shared" si="16"/>
        <v>593.39</v>
      </c>
      <c r="O33" s="244">
        <v>1.5</v>
      </c>
      <c r="P33" s="244">
        <f t="shared" si="5"/>
        <v>890.08500000000004</v>
      </c>
      <c r="Q33" s="82">
        <f t="shared" si="21"/>
        <v>309.91499999999996</v>
      </c>
      <c r="R33" s="201" t="str">
        <f t="shared" si="17"/>
        <v>No</v>
      </c>
      <c r="S33" s="233"/>
      <c r="T33" s="233"/>
      <c r="U33" s="246"/>
      <c r="V33" s="251" t="s">
        <v>365</v>
      </c>
      <c r="W33" s="250">
        <f>W32/E57</f>
        <v>0</v>
      </c>
      <c r="X33" s="320"/>
      <c r="AA33" s="60" t="s">
        <v>85</v>
      </c>
      <c r="AB33" s="342">
        <v>0</v>
      </c>
      <c r="AC33" s="342">
        <f>5+3+3</f>
        <v>11</v>
      </c>
      <c r="AD33" s="342">
        <f>4+2</f>
        <v>6</v>
      </c>
      <c r="AE33" s="342">
        <v>0</v>
      </c>
      <c r="AF33" s="342">
        <f>2+2</f>
        <v>4</v>
      </c>
      <c r="AG33" s="60">
        <f t="shared" ref="AG33:AG43" si="22">SUM(AB33:AF33)</f>
        <v>21</v>
      </c>
      <c r="AH33" s="364"/>
      <c r="AI33" s="60" t="s">
        <v>92</v>
      </c>
      <c r="AJ33" s="342">
        <f t="shared" si="18"/>
        <v>0</v>
      </c>
      <c r="AK33" s="342">
        <f t="shared" si="14"/>
        <v>6</v>
      </c>
      <c r="AL33" s="342">
        <f t="shared" si="14"/>
        <v>13</v>
      </c>
      <c r="AM33" s="342">
        <f t="shared" si="14"/>
        <v>0</v>
      </c>
      <c r="AN33" s="342">
        <f t="shared" si="14"/>
        <v>0</v>
      </c>
      <c r="AO33" s="60">
        <f t="shared" si="19"/>
        <v>19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10">
        <v>1.5</v>
      </c>
      <c r="H34" s="183">
        <f t="shared" si="3"/>
        <v>278.15129999999999</v>
      </c>
      <c r="I34" s="109">
        <f t="shared" si="15"/>
        <v>264.56579999999997</v>
      </c>
      <c r="J34" s="85">
        <f t="shared" si="20"/>
        <v>61.811399999999992</v>
      </c>
      <c r="K34" s="108" t="s">
        <v>385</v>
      </c>
      <c r="L34" s="108">
        <v>975.03499999999997</v>
      </c>
      <c r="M34" s="108">
        <v>450</v>
      </c>
      <c r="N34" s="107">
        <f t="shared" si="16"/>
        <v>185.4342</v>
      </c>
      <c r="O34" s="244">
        <v>1.5</v>
      </c>
      <c r="P34" s="244">
        <f t="shared" si="5"/>
        <v>278.15129999999999</v>
      </c>
      <c r="Q34" s="82">
        <f t="shared" si="21"/>
        <v>171.84870000000001</v>
      </c>
      <c r="R34" s="201" t="str">
        <f t="shared" si="17"/>
        <v>No</v>
      </c>
      <c r="S34" s="364"/>
      <c r="T34" s="364"/>
      <c r="U34" s="246"/>
      <c r="V34" s="135"/>
      <c r="W34" s="135"/>
      <c r="X34" s="135"/>
      <c r="AA34" s="60" t="s">
        <v>86</v>
      </c>
      <c r="AB34" s="342">
        <v>0</v>
      </c>
      <c r="AC34" s="342">
        <v>0</v>
      </c>
      <c r="AD34" s="340">
        <f>3+1</f>
        <v>4</v>
      </c>
      <c r="AE34" s="342">
        <v>0</v>
      </c>
      <c r="AF34" s="342">
        <f>2</f>
        <v>2</v>
      </c>
      <c r="AG34" s="60">
        <f t="shared" si="22"/>
        <v>6</v>
      </c>
      <c r="AH34" s="364"/>
      <c r="AI34" s="60" t="s">
        <v>93</v>
      </c>
      <c r="AJ34" s="342">
        <f t="shared" si="18"/>
        <v>0</v>
      </c>
      <c r="AK34" s="342">
        <f t="shared" si="14"/>
        <v>0</v>
      </c>
      <c r="AL34" s="342">
        <f t="shared" si="14"/>
        <v>3</v>
      </c>
      <c r="AM34" s="342">
        <f t="shared" si="14"/>
        <v>6</v>
      </c>
      <c r="AN34" s="342">
        <f t="shared" si="14"/>
        <v>0</v>
      </c>
      <c r="AO34" s="60">
        <f t="shared" si="19"/>
        <v>9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96">
        <v>1.5</v>
      </c>
      <c r="H35" s="183">
        <f t="shared" si="3"/>
        <v>737.21355000000005</v>
      </c>
      <c r="I35" s="95">
        <f t="shared" si="15"/>
        <v>408.52429999999998</v>
      </c>
      <c r="J35" s="85">
        <f t="shared" si="20"/>
        <v>81.912616666666665</v>
      </c>
      <c r="K35" s="94" t="s">
        <v>381</v>
      </c>
      <c r="L35" s="94">
        <v>660.12</v>
      </c>
      <c r="M35" s="94">
        <v>900</v>
      </c>
      <c r="N35" s="93">
        <f t="shared" si="16"/>
        <v>491.47570000000002</v>
      </c>
      <c r="O35" s="244">
        <v>1.5</v>
      </c>
      <c r="P35" s="244">
        <f t="shared" si="5"/>
        <v>737.21355000000005</v>
      </c>
      <c r="Q35" s="82">
        <f t="shared" si="21"/>
        <v>162.78644999999995</v>
      </c>
      <c r="R35" s="201" t="str">
        <f t="shared" si="17"/>
        <v>No</v>
      </c>
      <c r="S35" s="364"/>
      <c r="T35" s="364"/>
      <c r="U35" s="246"/>
      <c r="V35" s="249"/>
      <c r="W35" s="135"/>
      <c r="X35" s="135"/>
      <c r="Y35" s="320"/>
      <c r="AA35" s="60" t="s">
        <v>87</v>
      </c>
      <c r="AB35" s="342">
        <v>0</v>
      </c>
      <c r="AC35" s="413">
        <f>8+6+6</f>
        <v>20</v>
      </c>
      <c r="AD35" s="342">
        <f>4+3+6+11+3</f>
        <v>27</v>
      </c>
      <c r="AE35" s="342">
        <f>2+6+7</f>
        <v>15</v>
      </c>
      <c r="AF35" s="342">
        <v>0</v>
      </c>
      <c r="AG35" s="60">
        <f t="shared" si="22"/>
        <v>62</v>
      </c>
      <c r="AH35" s="364"/>
      <c r="AI35" s="60" t="s">
        <v>94</v>
      </c>
      <c r="AJ35" s="342">
        <f t="shared" si="18"/>
        <v>0</v>
      </c>
      <c r="AK35" s="342">
        <f t="shared" si="14"/>
        <v>2</v>
      </c>
      <c r="AL35" s="342">
        <f t="shared" si="14"/>
        <v>3</v>
      </c>
      <c r="AM35" s="342">
        <f t="shared" si="14"/>
        <v>7</v>
      </c>
      <c r="AN35" s="342">
        <f t="shared" si="14"/>
        <v>0</v>
      </c>
      <c r="AO35" s="60">
        <f t="shared" si="19"/>
        <v>12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86">
        <v>1.5</v>
      </c>
      <c r="H36" s="183">
        <f t="shared" si="3"/>
        <v>320.77244999999999</v>
      </c>
      <c r="I36" s="85">
        <f t="shared" si="15"/>
        <v>236.15170000000001</v>
      </c>
      <c r="J36" s="85">
        <f t="shared" si="20"/>
        <v>71.28276666666666</v>
      </c>
      <c r="K36" s="84" t="s">
        <v>377</v>
      </c>
      <c r="L36" s="84">
        <v>844.89</v>
      </c>
      <c r="M36" s="84">
        <v>450</v>
      </c>
      <c r="N36" s="83">
        <f t="shared" si="16"/>
        <v>213.84829999999999</v>
      </c>
      <c r="O36" s="244">
        <v>1.5</v>
      </c>
      <c r="P36" s="244">
        <f t="shared" si="5"/>
        <v>320.77244999999999</v>
      </c>
      <c r="Q36" s="82">
        <f t="shared" si="21"/>
        <v>129.22755000000001</v>
      </c>
      <c r="R36" s="201" t="str">
        <f t="shared" si="17"/>
        <v>No</v>
      </c>
      <c r="S36" s="364"/>
      <c r="T36" s="364"/>
      <c r="U36" s="246"/>
      <c r="AA36" s="60" t="s">
        <v>88</v>
      </c>
      <c r="AB36" s="342">
        <v>0</v>
      </c>
      <c r="AC36" s="342">
        <v>0</v>
      </c>
      <c r="AD36" s="342">
        <f>2+2+1+6+1+1</f>
        <v>13</v>
      </c>
      <c r="AE36" s="342">
        <f>1</f>
        <v>1</v>
      </c>
      <c r="AF36" s="342">
        <v>0</v>
      </c>
      <c r="AG36" s="60">
        <f t="shared" si="22"/>
        <v>14</v>
      </c>
      <c r="AH36" s="364"/>
      <c r="AI36" s="347" t="s">
        <v>505</v>
      </c>
      <c r="AJ36" s="342">
        <f t="shared" si="18"/>
        <v>0</v>
      </c>
      <c r="AK36" s="342">
        <f t="shared" si="14"/>
        <v>1</v>
      </c>
      <c r="AL36" s="342">
        <f t="shared" si="14"/>
        <v>3</v>
      </c>
      <c r="AM36" s="342">
        <f t="shared" si="14"/>
        <v>0</v>
      </c>
      <c r="AN36" s="342">
        <f t="shared" si="14"/>
        <v>0</v>
      </c>
      <c r="AO36" s="347">
        <f t="shared" si="19"/>
        <v>4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96">
        <v>1.5</v>
      </c>
      <c r="H37" s="183">
        <f t="shared" si="3"/>
        <v>1726.992</v>
      </c>
      <c r="I37" s="95">
        <f t="shared" si="15"/>
        <v>1048.672</v>
      </c>
      <c r="J37" s="85">
        <f t="shared" si="20"/>
        <v>78.499636363636355</v>
      </c>
      <c r="K37" s="94" t="s">
        <v>374</v>
      </c>
      <c r="L37" s="94">
        <v>503.42500000000001</v>
      </c>
      <c r="M37" s="94">
        <v>2200</v>
      </c>
      <c r="N37" s="93">
        <f t="shared" si="16"/>
        <v>1151.328</v>
      </c>
      <c r="O37" s="244">
        <v>1.5</v>
      </c>
      <c r="P37" s="244">
        <f t="shared" si="5"/>
        <v>1726.992</v>
      </c>
      <c r="Q37" s="82">
        <f t="shared" si="21"/>
        <v>473.00800000000004</v>
      </c>
      <c r="R37" s="201" t="str">
        <f t="shared" si="17"/>
        <v>No</v>
      </c>
      <c r="S37" s="248"/>
      <c r="T37" s="248"/>
      <c r="U37" s="246"/>
      <c r="AA37" s="60" t="s">
        <v>89</v>
      </c>
      <c r="AB37" s="342">
        <v>0</v>
      </c>
      <c r="AC37" s="342">
        <f>5+6+2</f>
        <v>13</v>
      </c>
      <c r="AD37" s="342">
        <f>1</f>
        <v>1</v>
      </c>
      <c r="AE37" s="342">
        <f>1</f>
        <v>1</v>
      </c>
      <c r="AF37" s="342">
        <v>0</v>
      </c>
      <c r="AG37" s="60">
        <f t="shared" si="22"/>
        <v>15</v>
      </c>
      <c r="AH37" s="364"/>
      <c r="AI37" s="312" t="s">
        <v>515</v>
      </c>
      <c r="AJ37" s="349">
        <f t="shared" ref="AJ37:AO37" si="23">SUM(AJ25:AJ36)</f>
        <v>0</v>
      </c>
      <c r="AK37" s="349">
        <f t="shared" si="23"/>
        <v>78</v>
      </c>
      <c r="AL37" s="349">
        <f t="shared" si="23"/>
        <v>80</v>
      </c>
      <c r="AM37" s="349">
        <f t="shared" si="23"/>
        <v>36</v>
      </c>
      <c r="AN37" s="349">
        <f t="shared" si="23"/>
        <v>8</v>
      </c>
      <c r="AO37" s="350">
        <f t="shared" si="23"/>
        <v>202</v>
      </c>
    </row>
    <row r="38" spans="1:41" ht="13.5" thickBot="1">
      <c r="A38" s="35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86">
        <v>1.5</v>
      </c>
      <c r="H38" s="183">
        <f t="shared" si="3"/>
        <v>1169.28495</v>
      </c>
      <c r="I38" s="85">
        <f t="shared" si="15"/>
        <v>720.47670000000005</v>
      </c>
      <c r="J38" s="85">
        <f t="shared" si="20"/>
        <v>77.952330000000003</v>
      </c>
      <c r="K38" s="84" t="s">
        <v>371</v>
      </c>
      <c r="L38" s="84">
        <v>539.80499999999995</v>
      </c>
      <c r="M38" s="299">
        <v>900</v>
      </c>
      <c r="N38" s="83">
        <f t="shared" si="16"/>
        <v>779.52329999999995</v>
      </c>
      <c r="O38" s="244">
        <v>1.5</v>
      </c>
      <c r="P38" s="244">
        <f t="shared" si="5"/>
        <v>1169.28495</v>
      </c>
      <c r="Q38" s="82">
        <f t="shared" si="21"/>
        <v>-269.28494999999998</v>
      </c>
      <c r="R38" s="218" t="str">
        <f t="shared" si="17"/>
        <v>Yes</v>
      </c>
      <c r="S38" s="220" t="s">
        <v>351</v>
      </c>
      <c r="T38" s="219" t="s">
        <v>351</v>
      </c>
      <c r="AA38" s="60" t="s">
        <v>90</v>
      </c>
      <c r="AB38" s="342">
        <v>0</v>
      </c>
      <c r="AC38" s="340">
        <v>0</v>
      </c>
      <c r="AD38" s="340">
        <f>1</f>
        <v>1</v>
      </c>
      <c r="AE38" s="342">
        <f>2</f>
        <v>2</v>
      </c>
      <c r="AF38" s="342">
        <f>2</f>
        <v>2</v>
      </c>
      <c r="AG38" s="60">
        <f t="shared" si="22"/>
        <v>5</v>
      </c>
      <c r="AH38" s="364"/>
      <c r="AI38" s="312" t="s">
        <v>514</v>
      </c>
      <c r="AJ38" s="351">
        <f>PRODUCT(AJ37*AK15)</f>
        <v>0</v>
      </c>
      <c r="AK38" s="414">
        <f>PRODUCT(AK37*AK16)</f>
        <v>1276.7742000000001</v>
      </c>
      <c r="AL38" s="414">
        <f>PRODUCT(AL37*AK17)</f>
        <v>1339.7360000000001</v>
      </c>
      <c r="AM38" s="414">
        <f>PRODUCT(AM37*AK18)</f>
        <v>607.91759999999999</v>
      </c>
      <c r="AN38" s="414">
        <f>PRODUCT(AN37*AK19)</f>
        <v>136</v>
      </c>
      <c r="AO38" s="415">
        <f>SUM(AJ38:AN38)</f>
        <v>3360.4278000000004</v>
      </c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86">
        <v>1.5</v>
      </c>
      <c r="H39" s="183">
        <f t="shared" si="3"/>
        <v>1329.2317499999999</v>
      </c>
      <c r="I39" s="85">
        <f t="shared" si="15"/>
        <v>863.84550000000002</v>
      </c>
      <c r="J39" s="85">
        <f t="shared" si="20"/>
        <v>75.956099999999992</v>
      </c>
      <c r="K39" s="84" t="s">
        <v>366</v>
      </c>
      <c r="L39" s="84">
        <v>585.61500000000001</v>
      </c>
      <c r="M39" s="299">
        <v>1050</v>
      </c>
      <c r="N39" s="83">
        <f t="shared" si="16"/>
        <v>886.15449999999998</v>
      </c>
      <c r="O39" s="244">
        <v>1.5</v>
      </c>
      <c r="P39" s="244">
        <f t="shared" si="5"/>
        <v>1329.2317499999999</v>
      </c>
      <c r="Q39" s="82">
        <f t="shared" si="21"/>
        <v>-279.23174999999992</v>
      </c>
      <c r="R39" s="218" t="str">
        <f t="shared" si="17"/>
        <v>Yes</v>
      </c>
      <c r="S39" s="217" t="s">
        <v>351</v>
      </c>
      <c r="T39" s="216" t="s">
        <v>351</v>
      </c>
      <c r="AA39" s="60" t="s">
        <v>91</v>
      </c>
      <c r="AB39" s="342">
        <v>0</v>
      </c>
      <c r="AC39" s="340">
        <f>3+6+2+3+2+1</f>
        <v>17</v>
      </c>
      <c r="AD39" s="342">
        <f>1+2</f>
        <v>3</v>
      </c>
      <c r="AE39" s="342">
        <f>2</f>
        <v>2</v>
      </c>
      <c r="AF39" s="342">
        <v>0</v>
      </c>
      <c r="AG39" s="60">
        <f t="shared" si="22"/>
        <v>22</v>
      </c>
      <c r="AI39" s="312" t="s">
        <v>559</v>
      </c>
      <c r="AJ39" s="351">
        <f>AJ37*AJ15</f>
        <v>0</v>
      </c>
      <c r="AK39" s="351">
        <f>AK37*AJ16</f>
        <v>11700</v>
      </c>
      <c r="AL39" s="351">
        <f>AL37*AJ17</f>
        <v>16000</v>
      </c>
      <c r="AM39" s="351">
        <f>AM37*AJ18</f>
        <v>9000</v>
      </c>
      <c r="AN39" s="351">
        <f>AN37*AJ19</f>
        <v>2400</v>
      </c>
      <c r="AO39" s="312">
        <f>SUM(AJ39:AN39)</f>
        <v>39100</v>
      </c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74">
        <v>1.5</v>
      </c>
      <c r="H40" s="183">
        <f t="shared" si="3"/>
        <v>350.71049999999997</v>
      </c>
      <c r="I40" s="73">
        <f t="shared" si="15"/>
        <v>366.19299999999998</v>
      </c>
      <c r="J40" s="85">
        <f t="shared" si="20"/>
        <v>58.45174999999999</v>
      </c>
      <c r="K40" s="72" t="s">
        <v>328</v>
      </c>
      <c r="L40" s="72">
        <v>673.16499999999996</v>
      </c>
      <c r="M40" s="300">
        <v>450</v>
      </c>
      <c r="N40" s="120">
        <f t="shared" si="16"/>
        <v>233.80699999999999</v>
      </c>
      <c r="O40" s="244">
        <v>1.5</v>
      </c>
      <c r="P40" s="244">
        <f t="shared" si="5"/>
        <v>350.71049999999997</v>
      </c>
      <c r="Q40" s="82">
        <f t="shared" si="21"/>
        <v>99.289500000000032</v>
      </c>
      <c r="R40" s="201" t="str">
        <f t="shared" si="17"/>
        <v>No</v>
      </c>
      <c r="S40" s="215"/>
      <c r="T40" s="214"/>
      <c r="AA40" s="60" t="s">
        <v>92</v>
      </c>
      <c r="AB40" s="342">
        <v>0</v>
      </c>
      <c r="AC40" s="340">
        <f>3+3</f>
        <v>6</v>
      </c>
      <c r="AD40" s="342">
        <f>11+2</f>
        <v>13</v>
      </c>
      <c r="AE40" s="342">
        <v>0</v>
      </c>
      <c r="AF40" s="342">
        <v>0</v>
      </c>
      <c r="AG40" s="60">
        <f t="shared" si="22"/>
        <v>19</v>
      </c>
      <c r="AI40"/>
      <c r="AK40" s="320"/>
      <c r="AL40" s="320"/>
    </row>
    <row r="41" spans="1:41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96">
        <v>1.5</v>
      </c>
      <c r="H41" s="183">
        <f t="shared" si="3"/>
        <v>624.22170000000006</v>
      </c>
      <c r="I41" s="95">
        <f t="shared" si="15"/>
        <v>333.85219999999998</v>
      </c>
      <c r="J41" s="85">
        <f t="shared" si="20"/>
        <v>83.229560000000006</v>
      </c>
      <c r="K41" s="94" t="s">
        <v>361</v>
      </c>
      <c r="L41" s="94">
        <v>692.19500000000005</v>
      </c>
      <c r="M41" s="94">
        <v>750</v>
      </c>
      <c r="N41" s="93">
        <f t="shared" si="16"/>
        <v>416.14780000000002</v>
      </c>
      <c r="O41" s="244">
        <v>1.5</v>
      </c>
      <c r="P41" s="244">
        <f t="shared" si="5"/>
        <v>624.22170000000006</v>
      </c>
      <c r="Q41" s="82">
        <f t="shared" si="21"/>
        <v>125.77829999999994</v>
      </c>
      <c r="R41" s="201" t="str">
        <f t="shared" si="17"/>
        <v>No</v>
      </c>
      <c r="S41" s="233"/>
      <c r="T41" s="233"/>
      <c r="AA41" s="60" t="s">
        <v>93</v>
      </c>
      <c r="AB41" s="342">
        <v>0</v>
      </c>
      <c r="AC41" s="340">
        <v>0</v>
      </c>
      <c r="AD41" s="342">
        <f>2+1</f>
        <v>3</v>
      </c>
      <c r="AE41" s="342">
        <f>6</f>
        <v>6</v>
      </c>
      <c r="AF41" s="342">
        <v>0</v>
      </c>
      <c r="AG41" s="60">
        <f t="shared" si="22"/>
        <v>9</v>
      </c>
      <c r="AI41"/>
      <c r="AK41" s="320"/>
      <c r="AL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10">
        <v>1.5</v>
      </c>
      <c r="H42" s="183">
        <f t="shared" si="3"/>
        <v>637.00244999999995</v>
      </c>
      <c r="I42" s="109">
        <f t="shared" si="15"/>
        <v>475.33170000000001</v>
      </c>
      <c r="J42" s="85">
        <f t="shared" si="20"/>
        <v>70.778049999999993</v>
      </c>
      <c r="K42" s="108" t="s">
        <v>359</v>
      </c>
      <c r="L42" s="108">
        <v>1033.6600000000001</v>
      </c>
      <c r="M42" s="108">
        <v>900</v>
      </c>
      <c r="N42" s="107">
        <f t="shared" si="16"/>
        <v>424.66829999999999</v>
      </c>
      <c r="O42" s="244">
        <v>1.5</v>
      </c>
      <c r="P42" s="244">
        <f t="shared" si="5"/>
        <v>637.00244999999995</v>
      </c>
      <c r="Q42" s="82">
        <f t="shared" si="21"/>
        <v>262.99755000000005</v>
      </c>
      <c r="R42" s="201" t="str">
        <f t="shared" si="17"/>
        <v>No</v>
      </c>
      <c r="S42" s="364"/>
      <c r="T42" s="364"/>
      <c r="U42" s="246"/>
      <c r="AA42" s="60" t="s">
        <v>94</v>
      </c>
      <c r="AB42" s="342">
        <v>0</v>
      </c>
      <c r="AC42" s="413">
        <f>2</f>
        <v>2</v>
      </c>
      <c r="AD42" s="342">
        <f>2+1</f>
        <v>3</v>
      </c>
      <c r="AE42" s="342">
        <f>7</f>
        <v>7</v>
      </c>
      <c r="AF42" s="342">
        <v>0</v>
      </c>
      <c r="AG42" s="60">
        <f t="shared" si="22"/>
        <v>12</v>
      </c>
      <c r="AI42">
        <f>AG44+AG24</f>
        <v>202</v>
      </c>
      <c r="AK42" s="320"/>
      <c r="AL42" s="320"/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96">
        <v>1.5</v>
      </c>
      <c r="H43" s="183">
        <f t="shared" si="3"/>
        <v>120.505005</v>
      </c>
      <c r="I43" s="95">
        <f t="shared" si="15"/>
        <v>169.66333</v>
      </c>
      <c r="J43" s="85">
        <f t="shared" si="20"/>
        <v>48.202002</v>
      </c>
      <c r="K43" s="94" t="s">
        <v>357</v>
      </c>
      <c r="L43" s="94">
        <v>811.21</v>
      </c>
      <c r="M43" s="291">
        <v>150</v>
      </c>
      <c r="N43" s="107">
        <f t="shared" si="16"/>
        <v>80.336669999999998</v>
      </c>
      <c r="O43" s="244">
        <v>1.5</v>
      </c>
      <c r="P43" s="244">
        <f t="shared" si="5"/>
        <v>120.505005</v>
      </c>
      <c r="Q43" s="82">
        <f t="shared" si="21"/>
        <v>29.494995000000003</v>
      </c>
      <c r="R43" s="201" t="str">
        <f t="shared" si="17"/>
        <v>No</v>
      </c>
      <c r="S43" s="364"/>
      <c r="T43" s="364"/>
      <c r="U43" s="246"/>
      <c r="AA43" s="347" t="s">
        <v>505</v>
      </c>
      <c r="AB43" s="342">
        <v>0</v>
      </c>
      <c r="AC43" s="348">
        <f>1</f>
        <v>1</v>
      </c>
      <c r="AD43" s="348">
        <f>3</f>
        <v>3</v>
      </c>
      <c r="AE43" s="348">
        <v>0</v>
      </c>
      <c r="AF43" s="342">
        <v>0</v>
      </c>
      <c r="AG43" s="347">
        <f t="shared" si="22"/>
        <v>4</v>
      </c>
      <c r="AI43" s="422">
        <f>AG45+AG25</f>
        <v>3360.4278000000004</v>
      </c>
      <c r="AK43" s="320"/>
      <c r="AL43" s="320"/>
    </row>
    <row r="44" spans="1:41" ht="13.5" thickBot="1">
      <c r="A44" s="35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86">
        <v>1.5</v>
      </c>
      <c r="H44" s="183">
        <f t="shared" si="3"/>
        <v>100.86274499999999</v>
      </c>
      <c r="I44" s="85">
        <f t="shared" si="15"/>
        <v>132.75817000000001</v>
      </c>
      <c r="J44" s="85">
        <f t="shared" si="20"/>
        <v>50.431372499999995</v>
      </c>
      <c r="K44" s="84" t="s">
        <v>354</v>
      </c>
      <c r="L44" s="84">
        <v>607.995</v>
      </c>
      <c r="M44" s="299">
        <v>150</v>
      </c>
      <c r="N44" s="83">
        <f t="shared" si="16"/>
        <v>67.241829999999993</v>
      </c>
      <c r="O44" s="244">
        <v>1.5</v>
      </c>
      <c r="P44" s="244">
        <f t="shared" si="5"/>
        <v>100.86274499999999</v>
      </c>
      <c r="Q44" s="82">
        <f t="shared" si="21"/>
        <v>49.13725500000001</v>
      </c>
      <c r="R44" s="201" t="str">
        <f t="shared" si="17"/>
        <v>No</v>
      </c>
      <c r="S44" s="364"/>
      <c r="T44" s="364"/>
      <c r="U44" s="246"/>
      <c r="AA44" s="312" t="s">
        <v>515</v>
      </c>
      <c r="AB44" s="349">
        <f t="shared" ref="AB44:AG44" si="24">SUM(AB32:AB43)</f>
        <v>0</v>
      </c>
      <c r="AC44" s="349">
        <f t="shared" si="24"/>
        <v>78</v>
      </c>
      <c r="AD44" s="349">
        <f t="shared" si="24"/>
        <v>80</v>
      </c>
      <c r="AE44" s="349">
        <f t="shared" si="24"/>
        <v>36</v>
      </c>
      <c r="AF44" s="349">
        <f t="shared" si="24"/>
        <v>8</v>
      </c>
      <c r="AG44" s="350">
        <f t="shared" si="24"/>
        <v>202</v>
      </c>
      <c r="AI44" s="342">
        <f>AG46+AG26</f>
        <v>39100</v>
      </c>
      <c r="AK44" s="320"/>
      <c r="AL44" s="320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86">
        <v>1.5</v>
      </c>
      <c r="H45" s="183">
        <f t="shared" si="3"/>
        <v>263.87879999999996</v>
      </c>
      <c r="I45" s="85">
        <f t="shared" si="15"/>
        <v>274.08080000000001</v>
      </c>
      <c r="J45" s="85">
        <f t="shared" si="20"/>
        <v>58.639733333333325</v>
      </c>
      <c r="K45" s="84" t="s">
        <v>352</v>
      </c>
      <c r="L45" s="84">
        <v>1051.23</v>
      </c>
      <c r="M45" s="84">
        <v>450</v>
      </c>
      <c r="N45" s="83">
        <f t="shared" si="16"/>
        <v>175.91919999999999</v>
      </c>
      <c r="O45" s="244">
        <v>1.5</v>
      </c>
      <c r="P45" s="244">
        <f t="shared" si="5"/>
        <v>263.87879999999996</v>
      </c>
      <c r="Q45" s="82">
        <f t="shared" si="21"/>
        <v>186.12120000000004</v>
      </c>
      <c r="R45" s="201" t="str">
        <f t="shared" si="17"/>
        <v>No</v>
      </c>
      <c r="S45" s="364"/>
      <c r="T45" s="364"/>
      <c r="U45" s="246"/>
      <c r="AA45" s="312" t="s">
        <v>514</v>
      </c>
      <c r="AB45" s="414">
        <f>PRODUCT(AB44*AK15)</f>
        <v>0</v>
      </c>
      <c r="AC45" s="414">
        <f>PRODUCT(AC44*AK16)</f>
        <v>1276.7742000000001</v>
      </c>
      <c r="AD45" s="414">
        <f>PRODUCT(AD44*AK17)</f>
        <v>1339.7360000000001</v>
      </c>
      <c r="AE45" s="414">
        <f>PRODUCT(AE44*AK18)</f>
        <v>607.91759999999999</v>
      </c>
      <c r="AF45" s="414">
        <f>PRODUCT(AF44*AK19)</f>
        <v>136</v>
      </c>
      <c r="AG45" s="415">
        <f>SUM(AB45:AF45)</f>
        <v>3360.4278000000004</v>
      </c>
      <c r="AK45" s="320"/>
      <c r="AL45" s="320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10">
        <v>1.5</v>
      </c>
      <c r="H46" s="183">
        <f t="shared" si="3"/>
        <v>172.67144999999999</v>
      </c>
      <c r="I46" s="109">
        <f t="shared" si="15"/>
        <v>284.88569999999999</v>
      </c>
      <c r="J46" s="85">
        <f t="shared" si="20"/>
        <v>43.167862499999998</v>
      </c>
      <c r="K46" s="108" t="s">
        <v>348</v>
      </c>
      <c r="L46" s="108">
        <v>838.745</v>
      </c>
      <c r="M46" s="298">
        <v>300</v>
      </c>
      <c r="N46" s="107">
        <f t="shared" si="16"/>
        <v>115.1143</v>
      </c>
      <c r="O46" s="244">
        <v>1.5</v>
      </c>
      <c r="P46" s="244">
        <f t="shared" si="5"/>
        <v>172.67144999999999</v>
      </c>
      <c r="Q46" s="82">
        <f t="shared" si="21"/>
        <v>127.32855000000001</v>
      </c>
      <c r="R46" s="201" t="str">
        <f t="shared" si="17"/>
        <v>No</v>
      </c>
      <c r="S46" s="364"/>
      <c r="T46" s="364"/>
      <c r="U46" s="246"/>
      <c r="AA46" s="312" t="s">
        <v>559</v>
      </c>
      <c r="AB46" s="351">
        <f>AB44*AJ15</f>
        <v>0</v>
      </c>
      <c r="AC46" s="351">
        <f>AC44*AJ16</f>
        <v>11700</v>
      </c>
      <c r="AD46" s="351">
        <f>AD44*AJ17</f>
        <v>16000</v>
      </c>
      <c r="AE46" s="351">
        <f>AE44*AJ18</f>
        <v>9000</v>
      </c>
      <c r="AF46" s="351">
        <f>AF44*AJ19</f>
        <v>2400</v>
      </c>
      <c r="AG46" s="312">
        <f>SUM(AB46:AF46)</f>
        <v>39100</v>
      </c>
      <c r="AK46" s="320"/>
      <c r="AL46" s="320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10">
        <v>1.5</v>
      </c>
      <c r="H47" s="183">
        <f t="shared" si="3"/>
        <v>131.35275000000001</v>
      </c>
      <c r="I47" s="109">
        <f t="shared" si="15"/>
        <v>212.4315</v>
      </c>
      <c r="J47" s="85">
        <f t="shared" si="20"/>
        <v>43.78425</v>
      </c>
      <c r="K47" s="108" t="s">
        <v>346</v>
      </c>
      <c r="L47" s="108">
        <v>792.93499999999995</v>
      </c>
      <c r="M47" s="108">
        <v>300</v>
      </c>
      <c r="N47" s="107">
        <f t="shared" si="16"/>
        <v>87.5685</v>
      </c>
      <c r="O47" s="244">
        <v>1.5</v>
      </c>
      <c r="P47" s="244">
        <f t="shared" si="5"/>
        <v>131.35275000000001</v>
      </c>
      <c r="Q47" s="82">
        <f t="shared" si="21"/>
        <v>168.64724999999999</v>
      </c>
      <c r="R47" s="201" t="str">
        <f t="shared" si="17"/>
        <v>No</v>
      </c>
      <c r="S47" s="364"/>
      <c r="T47" s="364"/>
      <c r="U47" s="246"/>
      <c r="AA47" s="268"/>
      <c r="AB47" s="405"/>
      <c r="AC47" s="405"/>
      <c r="AD47" s="405"/>
      <c r="AE47" s="405"/>
      <c r="AF47" s="405"/>
      <c r="AG47" s="405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96">
        <v>1.5</v>
      </c>
      <c r="H48" s="183">
        <f t="shared" si="3"/>
        <v>69.246000000000009</v>
      </c>
      <c r="I48" s="95">
        <f t="shared" si="15"/>
        <v>103.836</v>
      </c>
      <c r="J48" s="85">
        <f t="shared" si="20"/>
        <v>46.164000000000001</v>
      </c>
      <c r="K48" s="94" t="s">
        <v>345</v>
      </c>
      <c r="L48" s="94">
        <v>934.80499999999995</v>
      </c>
      <c r="M48" s="94">
        <v>150</v>
      </c>
      <c r="N48" s="93">
        <f t="shared" si="16"/>
        <v>46.164000000000001</v>
      </c>
      <c r="O48" s="244">
        <v>1.5</v>
      </c>
      <c r="P48" s="244">
        <f t="shared" si="5"/>
        <v>69.246000000000009</v>
      </c>
      <c r="Q48" s="82">
        <f t="shared" si="21"/>
        <v>80.753999999999991</v>
      </c>
      <c r="R48" s="201" t="str">
        <f t="shared" si="17"/>
        <v>No</v>
      </c>
      <c r="S48" s="364"/>
      <c r="T48" s="364"/>
      <c r="U48" s="246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86">
        <v>1.5</v>
      </c>
      <c r="H49" s="183">
        <f t="shared" si="3"/>
        <v>263.87879999999996</v>
      </c>
      <c r="I49" s="85">
        <f t="shared" si="15"/>
        <v>274.08080000000001</v>
      </c>
      <c r="J49" s="85">
        <f t="shared" si="20"/>
        <v>58.639733333333325</v>
      </c>
      <c r="K49" s="84" t="s">
        <v>341</v>
      </c>
      <c r="L49" s="84">
        <v>992.44500000000005</v>
      </c>
      <c r="M49" s="84">
        <v>450</v>
      </c>
      <c r="N49" s="83">
        <f t="shared" si="16"/>
        <v>175.91919999999999</v>
      </c>
      <c r="O49" s="244">
        <v>1.5</v>
      </c>
      <c r="P49" s="244">
        <f t="shared" si="5"/>
        <v>263.87879999999996</v>
      </c>
      <c r="Q49" s="82">
        <f t="shared" si="21"/>
        <v>186.12120000000004</v>
      </c>
      <c r="R49" s="201" t="str">
        <f t="shared" si="17"/>
        <v>No</v>
      </c>
      <c r="S49" s="364"/>
      <c r="T49" s="364"/>
      <c r="U49" s="246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96">
        <v>1.5</v>
      </c>
      <c r="H50" s="183">
        <f t="shared" si="3"/>
        <v>69.246000000000009</v>
      </c>
      <c r="I50" s="95">
        <f t="shared" si="15"/>
        <v>103.836</v>
      </c>
      <c r="J50" s="85">
        <f t="shared" si="20"/>
        <v>46.164000000000001</v>
      </c>
      <c r="K50" s="94" t="s">
        <v>337</v>
      </c>
      <c r="L50" s="94">
        <v>817.04499999999996</v>
      </c>
      <c r="M50" s="94">
        <v>150</v>
      </c>
      <c r="N50" s="93">
        <f t="shared" si="16"/>
        <v>46.164000000000001</v>
      </c>
      <c r="O50" s="244">
        <v>1.5</v>
      </c>
      <c r="P50" s="244">
        <f t="shared" si="5"/>
        <v>69.246000000000009</v>
      </c>
      <c r="Q50" s="82">
        <f t="shared" si="21"/>
        <v>80.753999999999991</v>
      </c>
      <c r="R50" s="201" t="str">
        <f t="shared" si="17"/>
        <v>No</v>
      </c>
      <c r="S50" s="364"/>
      <c r="T50" s="364"/>
      <c r="U50" s="246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86">
        <v>1.5</v>
      </c>
      <c r="H51" s="183">
        <f t="shared" si="3"/>
        <v>69.246000000000009</v>
      </c>
      <c r="I51" s="85">
        <f t="shared" si="15"/>
        <v>103.836</v>
      </c>
      <c r="J51" s="85">
        <f t="shared" si="20"/>
        <v>46.164000000000001</v>
      </c>
      <c r="K51" s="84" t="s">
        <v>337</v>
      </c>
      <c r="L51" s="84">
        <v>817.04499999999996</v>
      </c>
      <c r="M51" s="84">
        <v>150</v>
      </c>
      <c r="N51" s="83">
        <f t="shared" si="16"/>
        <v>46.164000000000001</v>
      </c>
      <c r="O51" s="244">
        <v>1.5</v>
      </c>
      <c r="P51" s="244">
        <f t="shared" si="5"/>
        <v>69.246000000000009</v>
      </c>
      <c r="Q51" s="82">
        <f t="shared" si="21"/>
        <v>80.753999999999991</v>
      </c>
      <c r="R51" s="201" t="str">
        <f t="shared" si="17"/>
        <v>No</v>
      </c>
      <c r="S51" s="364"/>
      <c r="T51" s="364"/>
      <c r="U51" s="246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96">
        <v>1.5</v>
      </c>
      <c r="H52" s="183">
        <f t="shared" si="3"/>
        <v>205.31295</v>
      </c>
      <c r="I52" s="95">
        <f t="shared" si="15"/>
        <v>263.12469999999996</v>
      </c>
      <c r="J52" s="85">
        <f t="shared" si="20"/>
        <v>51.328237499999993</v>
      </c>
      <c r="K52" s="94" t="s">
        <v>325</v>
      </c>
      <c r="L52" s="94">
        <v>518.48</v>
      </c>
      <c r="M52" s="94">
        <v>400</v>
      </c>
      <c r="N52" s="93">
        <f t="shared" si="16"/>
        <v>136.87530000000001</v>
      </c>
      <c r="O52" s="244">
        <v>1.5</v>
      </c>
      <c r="P52" s="244">
        <f t="shared" si="5"/>
        <v>205.31295</v>
      </c>
      <c r="Q52" s="82">
        <f t="shared" si="21"/>
        <v>194.68705</v>
      </c>
      <c r="R52" s="201" t="str">
        <f t="shared" si="17"/>
        <v>No</v>
      </c>
      <c r="S52" s="364"/>
      <c r="T52" s="364"/>
      <c r="U52" s="246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86">
        <v>1.5</v>
      </c>
      <c r="H53" s="183">
        <f t="shared" si="3"/>
        <v>131.35275000000001</v>
      </c>
      <c r="I53" s="85">
        <f t="shared" si="15"/>
        <v>212.4315</v>
      </c>
      <c r="J53" s="85">
        <f t="shared" si="20"/>
        <v>43.78425</v>
      </c>
      <c r="K53" s="84" t="s">
        <v>334</v>
      </c>
      <c r="L53" s="84">
        <v>792.93499999999995</v>
      </c>
      <c r="M53" s="84">
        <v>300</v>
      </c>
      <c r="N53" s="83">
        <f t="shared" si="16"/>
        <v>87.5685</v>
      </c>
      <c r="O53" s="244">
        <v>1.5</v>
      </c>
      <c r="P53" s="244">
        <f t="shared" si="5"/>
        <v>131.35275000000001</v>
      </c>
      <c r="Q53" s="82">
        <f t="shared" si="21"/>
        <v>168.64724999999999</v>
      </c>
      <c r="R53" s="201" t="str">
        <f t="shared" si="17"/>
        <v>No</v>
      </c>
      <c r="S53" s="364"/>
      <c r="T53" s="364"/>
      <c r="U53" s="246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96">
        <v>1.5</v>
      </c>
      <c r="H54" s="183">
        <f t="shared" si="3"/>
        <v>49.947495000000004</v>
      </c>
      <c r="I54" s="95">
        <f t="shared" si="15"/>
        <v>166.70167000000001</v>
      </c>
      <c r="J54" s="85">
        <f t="shared" si="20"/>
        <v>24.973747500000002</v>
      </c>
      <c r="K54" s="94" t="s">
        <v>331</v>
      </c>
      <c r="L54" s="94">
        <v>524.75</v>
      </c>
      <c r="M54" s="94">
        <v>200</v>
      </c>
      <c r="N54" s="93">
        <f t="shared" si="16"/>
        <v>33.29833</v>
      </c>
      <c r="O54" s="244">
        <v>1.5</v>
      </c>
      <c r="P54" s="244">
        <f t="shared" si="5"/>
        <v>49.947495000000004</v>
      </c>
      <c r="Q54" s="82">
        <f t="shared" si="21"/>
        <v>150.052505</v>
      </c>
      <c r="R54" s="201" t="str">
        <f t="shared" si="17"/>
        <v>No</v>
      </c>
      <c r="S54" s="364"/>
      <c r="T54" s="364"/>
      <c r="U54" s="246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86">
        <v>1.5</v>
      </c>
      <c r="H55" s="183">
        <f t="shared" si="3"/>
        <v>350.71049999999997</v>
      </c>
      <c r="I55" s="85">
        <f t="shared" si="15"/>
        <v>366.19299999999998</v>
      </c>
      <c r="J55" s="85">
        <f t="shared" si="20"/>
        <v>58.45174999999999</v>
      </c>
      <c r="K55" s="84" t="s">
        <v>328</v>
      </c>
      <c r="L55" s="84">
        <v>673.16499999999996</v>
      </c>
      <c r="M55" s="299">
        <v>450</v>
      </c>
      <c r="N55" s="83">
        <f t="shared" si="16"/>
        <v>233.80699999999999</v>
      </c>
      <c r="O55" s="244">
        <v>1.5</v>
      </c>
      <c r="P55" s="244">
        <f t="shared" si="5"/>
        <v>350.71049999999997</v>
      </c>
      <c r="Q55" s="82">
        <f t="shared" si="21"/>
        <v>99.289500000000032</v>
      </c>
      <c r="R55" s="201" t="str">
        <f t="shared" si="17"/>
        <v>No</v>
      </c>
      <c r="S55" s="364"/>
      <c r="T55" s="364"/>
      <c r="U55" s="246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74">
        <v>1.5</v>
      </c>
      <c r="H56" s="183">
        <f t="shared" si="3"/>
        <v>205.31295</v>
      </c>
      <c r="I56" s="73">
        <f t="shared" si="15"/>
        <v>263.12469999999996</v>
      </c>
      <c r="J56" s="85">
        <f t="shared" si="20"/>
        <v>51.328237499999993</v>
      </c>
      <c r="K56" s="72" t="s">
        <v>325</v>
      </c>
      <c r="L56" s="72">
        <v>518.48</v>
      </c>
      <c r="M56" s="72">
        <v>400</v>
      </c>
      <c r="N56" s="71">
        <f t="shared" si="16"/>
        <v>136.87530000000001</v>
      </c>
      <c r="O56" s="244">
        <v>1.5</v>
      </c>
      <c r="P56" s="244">
        <f t="shared" si="5"/>
        <v>205.31295</v>
      </c>
      <c r="Q56" s="82">
        <f t="shared" si="21"/>
        <v>194.68705</v>
      </c>
      <c r="R56" s="247" t="str">
        <f t="shared" si="17"/>
        <v>No</v>
      </c>
      <c r="S56" s="364"/>
      <c r="T56" s="364"/>
      <c r="U56" s="246"/>
      <c r="AC56" s="363"/>
      <c r="AD56" s="320"/>
      <c r="AE56" s="320"/>
    </row>
    <row r="57" spans="1:31">
      <c r="A57" s="320"/>
      <c r="B57" s="64"/>
      <c r="C57" s="320"/>
      <c r="D57" s="320" t="s">
        <v>369</v>
      </c>
      <c r="E57" s="320">
        <f>SUM(E3:E56)</f>
        <v>30100</v>
      </c>
      <c r="F57" s="64"/>
      <c r="G57" s="64"/>
      <c r="H57" s="64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64"/>
      <c r="T57" s="364"/>
      <c r="AC57" s="320"/>
      <c r="AD57" s="320"/>
      <c r="AE57" s="320"/>
    </row>
    <row r="58" spans="1:3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64"/>
      <c r="T58" s="364"/>
    </row>
    <row r="59" spans="1:31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64"/>
      <c r="T59" s="320"/>
    </row>
    <row r="60" spans="1:31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64"/>
      <c r="T60" s="320"/>
    </row>
    <row r="61" spans="1:31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64"/>
      <c r="T61" s="320"/>
    </row>
    <row r="62" spans="1:31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64"/>
      <c r="T62" s="320"/>
    </row>
    <row r="63" spans="1:31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64"/>
      <c r="T63" s="320"/>
    </row>
    <row r="64" spans="1:31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64"/>
      <c r="T64" s="320"/>
    </row>
    <row r="65" spans="1:23">
      <c r="A65" s="320"/>
      <c r="B65" s="64"/>
      <c r="C65" s="320"/>
      <c r="D65" s="320"/>
      <c r="M65" s="320"/>
      <c r="N65" s="320"/>
      <c r="O65" s="320"/>
      <c r="P65" s="320"/>
      <c r="R65" s="320"/>
      <c r="S65" s="364"/>
      <c r="T65" s="320"/>
    </row>
    <row r="66" spans="1:23">
      <c r="A66" s="320"/>
      <c r="B66" s="64"/>
      <c r="C66" s="320"/>
      <c r="D66" s="320"/>
      <c r="M66" s="320"/>
      <c r="N66" s="320"/>
      <c r="O66" s="320"/>
      <c r="P66" s="320"/>
      <c r="R66" s="320"/>
      <c r="S66" s="364"/>
      <c r="T66" s="320"/>
    </row>
    <row r="67" spans="1:23">
      <c r="A67" s="320"/>
      <c r="B67" s="64"/>
      <c r="C67" s="320"/>
      <c r="D67" s="320"/>
      <c r="M67" s="320"/>
      <c r="N67" s="320"/>
      <c r="O67" s="320"/>
      <c r="P67" s="320"/>
      <c r="R67" s="320"/>
      <c r="S67" s="364"/>
      <c r="T67" s="320"/>
    </row>
    <row r="68" spans="1:23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364"/>
      <c r="T68" s="320"/>
    </row>
    <row r="69" spans="1:23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64"/>
      <c r="T69" s="320"/>
      <c r="V69" s="58"/>
      <c r="W69" s="58"/>
    </row>
    <row r="70" spans="1:23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64"/>
      <c r="T70" s="320"/>
      <c r="V70" s="58"/>
      <c r="W70" s="58"/>
    </row>
    <row r="71" spans="1:23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64"/>
      <c r="T71" s="320"/>
      <c r="V71" s="58"/>
      <c r="W71" s="58"/>
    </row>
    <row r="72" spans="1:23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O72" s="320"/>
      <c r="P72" s="320"/>
      <c r="Q72" s="320"/>
      <c r="R72" s="320"/>
      <c r="S72" s="364"/>
      <c r="T72" s="320"/>
      <c r="V72" s="58"/>
      <c r="W72" s="58"/>
    </row>
    <row r="73" spans="1:23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64"/>
      <c r="T73" s="320"/>
      <c r="V73" s="58"/>
    </row>
    <row r="74" spans="1:23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O74" s="320"/>
      <c r="P74" s="320"/>
      <c r="Q74" s="320"/>
      <c r="R74" s="320"/>
      <c r="S74" s="364"/>
      <c r="T74" s="320"/>
      <c r="V74" s="58"/>
    </row>
    <row r="75" spans="1:23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64"/>
      <c r="T75" s="320"/>
    </row>
    <row r="76" spans="1:23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64"/>
      <c r="T76" s="320"/>
    </row>
    <row r="77" spans="1:23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64"/>
      <c r="T77" s="320"/>
    </row>
    <row r="78" spans="1:23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64"/>
      <c r="T78" s="320"/>
    </row>
    <row r="79" spans="1:23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64"/>
      <c r="T79" s="320"/>
    </row>
    <row r="80" spans="1:23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64"/>
      <c r="T80" s="320"/>
    </row>
    <row r="81" spans="2:20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64"/>
      <c r="T81" s="320"/>
    </row>
    <row r="82" spans="2:20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64"/>
      <c r="T82" s="320"/>
    </row>
    <row r="83" spans="2:20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64"/>
      <c r="T83" s="320"/>
    </row>
    <row r="84" spans="2:20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O84" s="320"/>
      <c r="P84" s="320"/>
      <c r="Q84" s="320"/>
      <c r="R84" s="320"/>
      <c r="S84" s="364"/>
      <c r="T84" s="320"/>
    </row>
    <row r="85" spans="2:20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64"/>
      <c r="T85" s="320"/>
    </row>
    <row r="86" spans="2:20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64"/>
      <c r="T86" s="320"/>
    </row>
    <row r="87" spans="2:20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64"/>
      <c r="T87" s="320"/>
    </row>
    <row r="88" spans="2:20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64"/>
      <c r="T88" s="320"/>
    </row>
    <row r="89" spans="2:20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64"/>
      <c r="T89" s="320"/>
    </row>
    <row r="90" spans="2:20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64"/>
      <c r="T90" s="320"/>
    </row>
    <row r="91" spans="2:20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64"/>
      <c r="T91" s="320"/>
    </row>
    <row r="92" spans="2:20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64"/>
      <c r="T92" s="320"/>
    </row>
    <row r="93" spans="2:20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64"/>
      <c r="T93" s="320"/>
    </row>
    <row r="94" spans="2:20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64"/>
      <c r="T94" s="320"/>
    </row>
    <row r="95" spans="2:20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64"/>
      <c r="T95" s="320"/>
    </row>
    <row r="96" spans="2:20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64"/>
      <c r="T96" s="320"/>
    </row>
    <row r="97" spans="2:20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64"/>
      <c r="T97" s="320"/>
    </row>
    <row r="98" spans="2:20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64"/>
      <c r="T98" s="320"/>
    </row>
    <row r="99" spans="2:20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64"/>
      <c r="T99" s="320"/>
    </row>
    <row r="100" spans="2:20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64"/>
      <c r="T100" s="320"/>
    </row>
    <row r="101" spans="2:20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O101" s="320"/>
      <c r="P101" s="320"/>
      <c r="Q101" s="320"/>
      <c r="R101" s="320"/>
      <c r="S101" s="364"/>
      <c r="T101" s="320"/>
    </row>
    <row r="102" spans="2:20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64"/>
      <c r="T102" s="320"/>
    </row>
    <row r="103" spans="2:20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64"/>
      <c r="T103" s="320"/>
    </row>
    <row r="104" spans="2:20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64"/>
      <c r="T104" s="320"/>
    </row>
    <row r="105" spans="2:20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64"/>
      <c r="T105" s="320"/>
    </row>
    <row r="106" spans="2:20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64"/>
      <c r="T106" s="320"/>
    </row>
    <row r="107" spans="2:20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64"/>
      <c r="T107" s="320"/>
    </row>
    <row r="108" spans="2:20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64"/>
      <c r="T108" s="320"/>
    </row>
    <row r="109" spans="2:20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64"/>
      <c r="T109" s="320"/>
    </row>
    <row r="110" spans="2:20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64"/>
      <c r="T110" s="320"/>
    </row>
    <row r="111" spans="2:20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  <c r="S111" s="364"/>
      <c r="T111" s="320"/>
    </row>
    <row r="112" spans="2:20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64"/>
      <c r="T112" s="320"/>
    </row>
    <row r="113" spans="1:20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O113" s="320"/>
      <c r="P113" s="320"/>
      <c r="Q113" s="320"/>
      <c r="R113" s="320"/>
      <c r="S113" s="364"/>
      <c r="T113" s="320"/>
    </row>
    <row r="114" spans="1:20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64"/>
      <c r="T114" s="320"/>
    </row>
    <row r="115" spans="1:20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64"/>
      <c r="T115" s="320"/>
    </row>
    <row r="116" spans="1:20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64"/>
      <c r="T116" s="320"/>
    </row>
    <row r="117" spans="1:20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64"/>
      <c r="T117" s="320"/>
    </row>
    <row r="118" spans="1:20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O118" s="320"/>
      <c r="P118" s="320"/>
      <c r="Q118" s="320"/>
      <c r="R118" s="320"/>
      <c r="S118" s="364"/>
      <c r="T118" s="320"/>
    </row>
    <row r="119" spans="1:20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64"/>
      <c r="T119" s="320"/>
    </row>
    <row r="120" spans="1:20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64"/>
      <c r="T120" s="320"/>
    </row>
    <row r="121" spans="1:20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64"/>
      <c r="T121" s="320"/>
    </row>
    <row r="122" spans="1:20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O122" s="320"/>
      <c r="P122" s="320"/>
      <c r="Q122" s="320"/>
      <c r="R122" s="320"/>
      <c r="S122" s="364"/>
      <c r="T122" s="320"/>
    </row>
    <row r="123" spans="1:20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64"/>
      <c r="T123" s="320"/>
    </row>
    <row r="124" spans="1:20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64"/>
      <c r="T124" s="320"/>
    </row>
    <row r="125" spans="1:20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64"/>
      <c r="T125" s="320"/>
    </row>
    <row r="126" spans="1:20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64"/>
      <c r="T126" s="320"/>
    </row>
    <row r="127" spans="1:20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64"/>
      <c r="T127" s="320"/>
    </row>
    <row r="128" spans="1:20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64"/>
      <c r="T128" s="320"/>
    </row>
    <row r="129" spans="1:20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64"/>
      <c r="T129" s="320"/>
    </row>
    <row r="130" spans="1:20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64"/>
      <c r="T130" s="320"/>
    </row>
    <row r="131" spans="1:20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O131" s="320"/>
      <c r="P131" s="320"/>
      <c r="Q131" s="320"/>
      <c r="R131" s="320"/>
      <c r="S131" s="364"/>
      <c r="T131" s="320"/>
    </row>
    <row r="132" spans="1:20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64"/>
      <c r="T132" s="320"/>
    </row>
    <row r="133" spans="1:20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64"/>
      <c r="T133" s="320"/>
    </row>
    <row r="134" spans="1:20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64"/>
      <c r="T134" s="320"/>
    </row>
    <row r="135" spans="1:20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64"/>
      <c r="T135" s="320"/>
    </row>
    <row r="136" spans="1:20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64"/>
      <c r="T136" s="320"/>
    </row>
    <row r="137" spans="1:20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O137" s="320"/>
      <c r="P137" s="320"/>
      <c r="Q137" s="320"/>
      <c r="R137" s="320"/>
      <c r="S137" s="364"/>
      <c r="T137" s="320"/>
    </row>
    <row r="138" spans="1:20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O138" s="320"/>
      <c r="P138" s="320"/>
      <c r="Q138" s="320"/>
      <c r="R138" s="320"/>
      <c r="S138" s="364"/>
      <c r="T138" s="320"/>
    </row>
    <row r="139" spans="1:20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64"/>
      <c r="T139" s="320"/>
    </row>
    <row r="140" spans="1:20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64"/>
      <c r="T140" s="320"/>
    </row>
    <row r="141" spans="1:20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64"/>
      <c r="T141" s="320"/>
    </row>
    <row r="142" spans="1:20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64"/>
      <c r="T142" s="320"/>
    </row>
    <row r="143" spans="1:20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O143" s="320"/>
      <c r="P143" s="320"/>
      <c r="Q143" s="320"/>
      <c r="R143" s="320"/>
      <c r="S143" s="364"/>
      <c r="T143" s="320"/>
    </row>
    <row r="144" spans="1:20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O144" s="320"/>
      <c r="P144" s="320"/>
      <c r="Q144" s="320"/>
      <c r="R144" s="320"/>
      <c r="S144" s="364"/>
      <c r="T144" s="320"/>
    </row>
    <row r="145" spans="1:20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O145" s="320"/>
      <c r="P145" s="320"/>
      <c r="Q145" s="320"/>
      <c r="R145" s="320"/>
      <c r="S145" s="364"/>
      <c r="T145" s="320"/>
    </row>
    <row r="146" spans="1:20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O146" s="320"/>
      <c r="P146" s="320"/>
      <c r="Q146" s="320"/>
      <c r="R146" s="320"/>
      <c r="S146" s="364"/>
      <c r="T146" s="320"/>
    </row>
    <row r="147" spans="1:20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64"/>
      <c r="T147" s="320"/>
    </row>
    <row r="148" spans="1:20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64"/>
      <c r="T148" s="320"/>
    </row>
    <row r="149" spans="1:20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O149" s="320"/>
      <c r="P149" s="320"/>
      <c r="Q149" s="320"/>
      <c r="R149" s="320"/>
      <c r="S149" s="364"/>
      <c r="T149" s="320"/>
    </row>
    <row r="150" spans="1:20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64"/>
      <c r="T150" s="320"/>
    </row>
    <row r="151" spans="1:20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64"/>
      <c r="T151" s="320"/>
    </row>
    <row r="152" spans="1:20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64"/>
      <c r="T152" s="320"/>
    </row>
    <row r="153" spans="1:20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64"/>
      <c r="T153" s="320"/>
    </row>
    <row r="154" spans="1:20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64"/>
      <c r="T154" s="320"/>
    </row>
    <row r="155" spans="1:20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O155" s="320"/>
      <c r="P155" s="320"/>
      <c r="Q155" s="320"/>
      <c r="R155" s="320"/>
      <c r="S155" s="364"/>
      <c r="T155" s="320"/>
    </row>
    <row r="156" spans="1:20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64"/>
      <c r="T156" s="320"/>
    </row>
    <row r="157" spans="1:20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64"/>
      <c r="T157" s="320"/>
    </row>
    <row r="158" spans="1:20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64"/>
      <c r="T158" s="320"/>
    </row>
    <row r="159" spans="1:20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64"/>
      <c r="T159" s="320"/>
    </row>
    <row r="160" spans="1:20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O160" s="320"/>
      <c r="P160" s="320"/>
      <c r="Q160" s="320"/>
      <c r="R160" s="320"/>
      <c r="S160" s="364"/>
      <c r="T160" s="320"/>
    </row>
    <row r="161" spans="1:20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64"/>
      <c r="T161" s="320"/>
    </row>
    <row r="162" spans="1:20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64"/>
      <c r="T162" s="320"/>
    </row>
    <row r="163" spans="1:20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O163" s="320"/>
      <c r="P163" s="320"/>
      <c r="Q163" s="320"/>
      <c r="R163" s="320"/>
      <c r="S163" s="364"/>
      <c r="T163" s="320"/>
    </row>
    <row r="164" spans="1:20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64"/>
      <c r="T164" s="320"/>
    </row>
    <row r="165" spans="1:20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64"/>
      <c r="T165" s="320"/>
    </row>
    <row r="166" spans="1:20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64"/>
      <c r="T166" s="320"/>
    </row>
    <row r="167" spans="1:20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O167" s="320"/>
      <c r="P167" s="320"/>
      <c r="Q167" s="320"/>
      <c r="R167" s="320"/>
      <c r="S167" s="364"/>
      <c r="T167" s="320"/>
    </row>
    <row r="168" spans="1:20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O168" s="320"/>
      <c r="P168" s="320"/>
      <c r="Q168" s="320"/>
      <c r="R168" s="320"/>
      <c r="S168" s="364"/>
      <c r="T168" s="320"/>
    </row>
    <row r="169" spans="1:20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64"/>
      <c r="T169" s="320"/>
    </row>
    <row r="170" spans="1:20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O170" s="320"/>
      <c r="P170" s="320"/>
      <c r="Q170" s="320"/>
      <c r="R170" s="320"/>
      <c r="S170" s="364"/>
      <c r="T170" s="320"/>
    </row>
    <row r="171" spans="1:20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64"/>
      <c r="T171" s="320"/>
    </row>
    <row r="172" spans="1:20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O172" s="320"/>
      <c r="P172" s="320"/>
      <c r="Q172" s="320"/>
      <c r="R172" s="320"/>
      <c r="S172" s="364"/>
      <c r="T172" s="320"/>
    </row>
    <row r="173" spans="1:20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O173" s="320"/>
      <c r="P173" s="320"/>
      <c r="Q173" s="320"/>
      <c r="R173" s="320"/>
      <c r="S173" s="364"/>
      <c r="T173" s="320"/>
    </row>
    <row r="174" spans="1:20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O174" s="320"/>
      <c r="P174" s="320"/>
      <c r="Q174" s="320"/>
      <c r="R174" s="320"/>
      <c r="S174" s="364"/>
      <c r="T174" s="320"/>
    </row>
    <row r="175" spans="1:20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O175" s="320"/>
      <c r="P175" s="320"/>
      <c r="Q175" s="320"/>
      <c r="R175" s="320"/>
      <c r="S175" s="364"/>
      <c r="T175" s="320"/>
    </row>
    <row r="176" spans="1:20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64"/>
      <c r="T176" s="320"/>
    </row>
    <row r="177" spans="1:20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O177" s="320"/>
      <c r="P177" s="320"/>
      <c r="Q177" s="320"/>
      <c r="R177" s="320"/>
      <c r="S177" s="364"/>
      <c r="T177" s="320"/>
    </row>
    <row r="178" spans="1:20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64"/>
      <c r="T178" s="320"/>
    </row>
    <row r="179" spans="1:20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O179" s="320"/>
      <c r="P179" s="320"/>
      <c r="Q179" s="320"/>
      <c r="R179" s="320"/>
      <c r="S179" s="364"/>
      <c r="T179" s="320"/>
    </row>
  </sheetData>
  <dataConsolidate link="1"/>
  <mergeCells count="24">
    <mergeCell ref="AI23:AN23"/>
    <mergeCell ref="AA30:AF30"/>
    <mergeCell ref="AA10:AF10"/>
    <mergeCell ref="C1:I1"/>
    <mergeCell ref="K1:R1"/>
    <mergeCell ref="V24:W24"/>
    <mergeCell ref="A4:A5"/>
    <mergeCell ref="A6:A8"/>
    <mergeCell ref="A9:A13"/>
    <mergeCell ref="A15:A20"/>
    <mergeCell ref="A21:A24"/>
    <mergeCell ref="A26:A27"/>
    <mergeCell ref="S26:S27"/>
    <mergeCell ref="T26:T27"/>
    <mergeCell ref="A33:A35"/>
    <mergeCell ref="A53:A54"/>
    <mergeCell ref="A36:A37"/>
    <mergeCell ref="A28:A32"/>
    <mergeCell ref="A55:A56"/>
    <mergeCell ref="A39:A40"/>
    <mergeCell ref="A41:A43"/>
    <mergeCell ref="A45:A48"/>
    <mergeCell ref="A49:A50"/>
    <mergeCell ref="A51:A52"/>
  </mergeCells>
  <conditionalFormatting sqref="M3:M56">
    <cfRule type="expression" dxfId="27" priority="9">
      <formula>(M3&lt;F3)</formula>
    </cfRule>
  </conditionalFormatting>
  <conditionalFormatting sqref="M3">
    <cfRule type="cellIs" dxfId="26" priority="8" operator="lessThan">
      <formula>$E$3</formula>
    </cfRule>
  </conditionalFormatting>
  <conditionalFormatting sqref="Q3:Q56">
    <cfRule type="cellIs" dxfId="25" priority="7" operator="lessThan">
      <formula>0</formula>
    </cfRule>
  </conditionalFormatting>
  <conditionalFormatting sqref="R3:R56">
    <cfRule type="containsText" dxfId="24" priority="6" operator="containsText" text="Yes">
      <formula>NOT(ISERROR(SEARCH("Yes",R3)))</formula>
    </cfRule>
  </conditionalFormatting>
  <conditionalFormatting sqref="AB12:AG23">
    <cfRule type="cellIs" dxfId="23" priority="5" operator="greaterThan">
      <formula>0</formula>
    </cfRule>
  </conditionalFormatting>
  <conditionalFormatting sqref="AJ25:AO36">
    <cfRule type="cellIs" dxfId="22" priority="4" operator="greaterThan">
      <formula>0</formula>
    </cfRule>
  </conditionalFormatting>
  <conditionalFormatting sqref="AG32:AG43">
    <cfRule type="cellIs" dxfId="21" priority="3" operator="greaterThan">
      <formula>0</formula>
    </cfRule>
  </conditionalFormatting>
  <conditionalFormatting sqref="AC32:AF43">
    <cfRule type="cellIs" dxfId="20" priority="2" operator="greaterThan">
      <formula>0</formula>
    </cfRule>
  </conditionalFormatting>
  <conditionalFormatting sqref="AB32:AB43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80" zoomScaleNormal="80" workbookViewId="0">
      <selection activeCell="G46" sqref="G46"/>
    </sheetView>
  </sheetViews>
  <sheetFormatPr defaultRowHeight="15"/>
  <cols>
    <col min="1" max="1" width="16.7109375" customWidth="1"/>
    <col min="2" max="2" width="40.140625" style="328" customWidth="1"/>
    <col min="3" max="3" width="51.140625" style="328" customWidth="1"/>
    <col min="4" max="4" width="34.42578125" style="328" customWidth="1"/>
    <col min="7" max="7" width="19.5703125" customWidth="1"/>
    <col min="8" max="8" width="21.42578125" customWidth="1"/>
    <col min="9" max="9" width="19.28515625" customWidth="1"/>
  </cols>
  <sheetData>
    <row r="1" spans="1:18" ht="15" customHeight="1">
      <c r="A1" s="564" t="s">
        <v>597</v>
      </c>
      <c r="B1" s="565"/>
      <c r="C1" s="565"/>
      <c r="D1" s="566"/>
    </row>
    <row r="2" spans="1:18" ht="15" customHeight="1" thickBot="1">
      <c r="A2" s="567"/>
      <c r="B2" s="568"/>
      <c r="C2" s="568"/>
      <c r="D2" s="569"/>
    </row>
    <row r="3" spans="1:18" ht="30">
      <c r="A3" s="423" t="s">
        <v>390</v>
      </c>
      <c r="B3" s="424" t="s">
        <v>554</v>
      </c>
      <c r="C3" s="423" t="s">
        <v>556</v>
      </c>
      <c r="D3" s="425" t="s">
        <v>555</v>
      </c>
      <c r="G3" s="570" t="s">
        <v>597</v>
      </c>
      <c r="H3" s="571"/>
      <c r="I3" s="572"/>
      <c r="L3" s="573" t="s">
        <v>561</v>
      </c>
      <c r="M3" s="574"/>
      <c r="N3" s="574"/>
      <c r="O3" s="574"/>
      <c r="P3" s="574"/>
      <c r="Q3" s="574"/>
      <c r="R3" s="575"/>
    </row>
    <row r="4" spans="1:18">
      <c r="A4" s="426" t="s">
        <v>0</v>
      </c>
      <c r="B4" s="427">
        <v>1007.3647125</v>
      </c>
      <c r="C4" s="428">
        <f t="shared" ref="C4:C34" si="0">D4-B4</f>
        <v>0</v>
      </c>
      <c r="D4" s="427">
        <v>1007.3647125</v>
      </c>
      <c r="G4" s="302" t="s">
        <v>390</v>
      </c>
      <c r="H4" s="408" t="s">
        <v>389</v>
      </c>
      <c r="I4" s="303" t="s">
        <v>388</v>
      </c>
      <c r="L4" s="336" t="s">
        <v>506</v>
      </c>
      <c r="M4" s="338" t="s">
        <v>507</v>
      </c>
      <c r="N4" s="338" t="s">
        <v>508</v>
      </c>
      <c r="O4" s="338" t="s">
        <v>509</v>
      </c>
      <c r="P4" s="338" t="s">
        <v>510</v>
      </c>
      <c r="Q4" s="339" t="s">
        <v>558</v>
      </c>
      <c r="R4" s="312" t="s">
        <v>417</v>
      </c>
    </row>
    <row r="5" spans="1:18">
      <c r="A5" s="426" t="s">
        <v>2</v>
      </c>
      <c r="B5" s="427">
        <v>204.02025</v>
      </c>
      <c r="C5" s="428">
        <f t="shared" si="0"/>
        <v>0</v>
      </c>
      <c r="D5" s="427">
        <v>204.02025</v>
      </c>
      <c r="G5" s="133"/>
      <c r="H5" s="132"/>
      <c r="I5" s="100">
        <f>(H5/200)*100</f>
        <v>0</v>
      </c>
      <c r="L5" s="60" t="s">
        <v>84</v>
      </c>
      <c r="M5" s="340">
        <v>0</v>
      </c>
      <c r="N5" s="340">
        <v>0</v>
      </c>
      <c r="O5" s="341">
        <v>0</v>
      </c>
      <c r="P5" s="341">
        <v>0</v>
      </c>
      <c r="Q5" s="342">
        <v>0</v>
      </c>
      <c r="R5" s="343">
        <f>SUM(M5:Q5)</f>
        <v>0</v>
      </c>
    </row>
    <row r="6" spans="1:18">
      <c r="A6" s="426" t="s">
        <v>3</v>
      </c>
      <c r="B6" s="427">
        <v>103.30200000000001</v>
      </c>
      <c r="C6" s="428">
        <f t="shared" si="0"/>
        <v>0</v>
      </c>
      <c r="D6" s="427">
        <v>103.30200000000001</v>
      </c>
      <c r="G6" s="133"/>
      <c r="H6" s="132"/>
      <c r="I6" s="224">
        <f>(H6/150)*100</f>
        <v>0</v>
      </c>
      <c r="L6" s="60" t="s">
        <v>85</v>
      </c>
      <c r="M6" s="340">
        <v>0</v>
      </c>
      <c r="N6" s="340">
        <v>0</v>
      </c>
      <c r="O6" s="340">
        <v>0</v>
      </c>
      <c r="P6" s="340">
        <v>0</v>
      </c>
      <c r="Q6" s="342">
        <v>0</v>
      </c>
      <c r="R6" s="60">
        <f t="shared" ref="R6:R16" si="1">SUM(M6:Q6)</f>
        <v>0</v>
      </c>
    </row>
    <row r="7" spans="1:18" ht="15.75" thickBot="1">
      <c r="A7" s="426" t="s">
        <v>4</v>
      </c>
      <c r="B7" s="427">
        <v>258.97725000000003</v>
      </c>
      <c r="C7" s="428">
        <f t="shared" si="0"/>
        <v>0</v>
      </c>
      <c r="D7" s="427">
        <v>258.97725000000003</v>
      </c>
      <c r="G7" s="394"/>
      <c r="H7" s="395"/>
      <c r="I7" s="90"/>
      <c r="L7" s="60" t="s">
        <v>86</v>
      </c>
      <c r="M7" s="340">
        <v>0</v>
      </c>
      <c r="N7" s="340">
        <v>0</v>
      </c>
      <c r="O7" s="340">
        <v>0</v>
      </c>
      <c r="P7" s="340">
        <v>0</v>
      </c>
      <c r="Q7" s="342">
        <v>0</v>
      </c>
      <c r="R7" s="60">
        <f t="shared" si="1"/>
        <v>0</v>
      </c>
    </row>
    <row r="8" spans="1:18">
      <c r="A8" s="426" t="s">
        <v>5</v>
      </c>
      <c r="B8" s="427">
        <v>557.64179999999999</v>
      </c>
      <c r="C8" s="428">
        <f t="shared" si="0"/>
        <v>0</v>
      </c>
      <c r="D8" s="427">
        <v>557.64179999999999</v>
      </c>
      <c r="G8" s="163" t="s">
        <v>369</v>
      </c>
      <c r="H8" s="252">
        <f>SUM(H5:H7)</f>
        <v>0</v>
      </c>
      <c r="I8" s="320"/>
      <c r="L8" s="60" t="s">
        <v>87</v>
      </c>
      <c r="M8" s="340">
        <v>0</v>
      </c>
      <c r="N8" s="340">
        <v>0</v>
      </c>
      <c r="O8" s="340">
        <v>0</v>
      </c>
      <c r="P8" s="340">
        <v>0</v>
      </c>
      <c r="Q8" s="342">
        <v>0</v>
      </c>
      <c r="R8" s="60">
        <f t="shared" si="1"/>
        <v>0</v>
      </c>
    </row>
    <row r="9" spans="1:18">
      <c r="A9" s="426" t="s">
        <v>6</v>
      </c>
      <c r="B9" s="427">
        <v>743.74800000000005</v>
      </c>
      <c r="C9" s="428">
        <f t="shared" si="0"/>
        <v>0</v>
      </c>
      <c r="D9" s="427">
        <v>743.74800000000005</v>
      </c>
      <c r="G9" s="251" t="s">
        <v>365</v>
      </c>
      <c r="H9" s="250">
        <f>H8/9100.11497</f>
        <v>0</v>
      </c>
      <c r="I9" s="320"/>
      <c r="L9" s="60" t="s">
        <v>88</v>
      </c>
      <c r="M9" s="340">
        <v>0</v>
      </c>
      <c r="N9" s="340">
        <v>0</v>
      </c>
      <c r="O9" s="340">
        <v>0</v>
      </c>
      <c r="P9" s="340">
        <v>0</v>
      </c>
      <c r="Q9" s="342">
        <v>0</v>
      </c>
      <c r="R9" s="60">
        <f t="shared" si="1"/>
        <v>0</v>
      </c>
    </row>
    <row r="10" spans="1:18">
      <c r="A10" s="426" t="s">
        <v>7</v>
      </c>
      <c r="B10" s="427">
        <v>427.91799999999989</v>
      </c>
      <c r="C10" s="428">
        <f t="shared" si="0"/>
        <v>0</v>
      </c>
      <c r="D10" s="427">
        <v>427.91799999999989</v>
      </c>
      <c r="L10" s="60" t="s">
        <v>89</v>
      </c>
      <c r="M10" s="340">
        <v>0</v>
      </c>
      <c r="N10" s="340">
        <v>0</v>
      </c>
      <c r="O10" s="340">
        <v>0</v>
      </c>
      <c r="P10" s="340">
        <v>0</v>
      </c>
      <c r="Q10" s="342">
        <v>0</v>
      </c>
      <c r="R10" s="60">
        <f t="shared" si="1"/>
        <v>0</v>
      </c>
    </row>
    <row r="11" spans="1:18">
      <c r="A11" s="426" t="s">
        <v>8</v>
      </c>
      <c r="B11" s="427">
        <v>474.95678571428562</v>
      </c>
      <c r="C11" s="428">
        <f t="shared" si="0"/>
        <v>0</v>
      </c>
      <c r="D11" s="427">
        <v>474.95678571428562</v>
      </c>
      <c r="L11" s="60" t="s">
        <v>90</v>
      </c>
      <c r="M11" s="340">
        <v>0</v>
      </c>
      <c r="N11" s="340">
        <v>0</v>
      </c>
      <c r="O11" s="340">
        <v>0</v>
      </c>
      <c r="P11" s="340">
        <v>0</v>
      </c>
      <c r="Q11" s="342">
        <v>0</v>
      </c>
      <c r="R11" s="60">
        <f t="shared" si="1"/>
        <v>0</v>
      </c>
    </row>
    <row r="12" spans="1:18">
      <c r="A12" s="426" t="s">
        <v>9</v>
      </c>
      <c r="B12" s="427">
        <v>404.334</v>
      </c>
      <c r="C12" s="428">
        <f t="shared" si="0"/>
        <v>0</v>
      </c>
      <c r="D12" s="427">
        <v>404.334</v>
      </c>
      <c r="L12" s="60" t="s">
        <v>91</v>
      </c>
      <c r="M12" s="340">
        <v>0</v>
      </c>
      <c r="N12" s="340">
        <v>0</v>
      </c>
      <c r="O12" s="342">
        <v>0</v>
      </c>
      <c r="P12" s="342">
        <v>0</v>
      </c>
      <c r="Q12" s="342">
        <v>0</v>
      </c>
      <c r="R12" s="60">
        <f t="shared" si="1"/>
        <v>0</v>
      </c>
    </row>
    <row r="13" spans="1:18">
      <c r="A13" s="426" t="s">
        <v>10</v>
      </c>
      <c r="B13" s="427">
        <v>369.79829999999998</v>
      </c>
      <c r="C13" s="428">
        <f t="shared" si="0"/>
        <v>0</v>
      </c>
      <c r="D13" s="427">
        <v>369.79829999999998</v>
      </c>
      <c r="L13" s="60" t="s">
        <v>92</v>
      </c>
      <c r="M13" s="342">
        <v>0</v>
      </c>
      <c r="N13" s="342">
        <v>0</v>
      </c>
      <c r="O13" s="342">
        <v>0</v>
      </c>
      <c r="P13" s="342">
        <v>0</v>
      </c>
      <c r="Q13" s="342">
        <v>0</v>
      </c>
      <c r="R13" s="60">
        <f t="shared" si="1"/>
        <v>0</v>
      </c>
    </row>
    <row r="14" spans="1:18">
      <c r="A14" s="426" t="s">
        <v>11</v>
      </c>
      <c r="B14" s="427">
        <v>334.92857142857139</v>
      </c>
      <c r="C14" s="428">
        <f t="shared" si="0"/>
        <v>0</v>
      </c>
      <c r="D14" s="427">
        <v>334.92857142857139</v>
      </c>
      <c r="L14" s="60" t="s">
        <v>93</v>
      </c>
      <c r="M14" s="342">
        <v>0</v>
      </c>
      <c r="N14" s="340">
        <v>0</v>
      </c>
      <c r="O14" s="342">
        <v>0</v>
      </c>
      <c r="P14" s="342">
        <v>0</v>
      </c>
      <c r="Q14" s="342">
        <v>0</v>
      </c>
      <c r="R14" s="60">
        <f t="shared" si="1"/>
        <v>0</v>
      </c>
    </row>
    <row r="15" spans="1:18">
      <c r="A15" s="426" t="s">
        <v>12</v>
      </c>
      <c r="B15" s="427">
        <v>573.07999999999993</v>
      </c>
      <c r="C15" s="428">
        <f t="shared" si="0"/>
        <v>0</v>
      </c>
      <c r="D15" s="427">
        <v>573.07999999999993</v>
      </c>
      <c r="L15" s="60" t="s">
        <v>94</v>
      </c>
      <c r="M15" s="342">
        <v>0</v>
      </c>
      <c r="N15" s="340">
        <v>0</v>
      </c>
      <c r="O15" s="342">
        <v>0</v>
      </c>
      <c r="P15" s="342">
        <v>0</v>
      </c>
      <c r="Q15" s="342">
        <v>0</v>
      </c>
      <c r="R15" s="60">
        <f t="shared" si="1"/>
        <v>0</v>
      </c>
    </row>
    <row r="16" spans="1:18">
      <c r="A16" s="426" t="s">
        <v>13</v>
      </c>
      <c r="B16" s="427">
        <v>44.643450000000023</v>
      </c>
      <c r="C16" s="428">
        <f t="shared" si="0"/>
        <v>0</v>
      </c>
      <c r="D16" s="427">
        <v>44.643450000000023</v>
      </c>
      <c r="L16" s="347" t="s">
        <v>505</v>
      </c>
      <c r="M16" s="348">
        <v>0</v>
      </c>
      <c r="N16" s="348">
        <v>0</v>
      </c>
      <c r="O16" s="348">
        <v>0</v>
      </c>
      <c r="P16" s="348">
        <v>0</v>
      </c>
      <c r="Q16" s="348">
        <v>0</v>
      </c>
      <c r="R16" s="347">
        <f t="shared" si="1"/>
        <v>0</v>
      </c>
    </row>
    <row r="17" spans="1:18">
      <c r="A17" s="426" t="s">
        <v>14</v>
      </c>
      <c r="B17" s="427">
        <v>1244.31</v>
      </c>
      <c r="C17" s="428">
        <f t="shared" si="0"/>
        <v>0</v>
      </c>
      <c r="D17" s="427">
        <v>1244.31</v>
      </c>
      <c r="L17" s="312" t="s">
        <v>515</v>
      </c>
      <c r="M17" s="349">
        <f t="shared" ref="M17:R17" si="2">SUM(M5:M16)</f>
        <v>0</v>
      </c>
      <c r="N17" s="349">
        <f t="shared" si="2"/>
        <v>0</v>
      </c>
      <c r="O17" s="349">
        <f t="shared" si="2"/>
        <v>0</v>
      </c>
      <c r="P17" s="349">
        <f t="shared" si="2"/>
        <v>0</v>
      </c>
      <c r="Q17" s="349">
        <f t="shared" si="2"/>
        <v>0</v>
      </c>
      <c r="R17" s="350">
        <f t="shared" si="2"/>
        <v>0</v>
      </c>
    </row>
    <row r="18" spans="1:18">
      <c r="A18" s="426" t="s">
        <v>15</v>
      </c>
      <c r="B18" s="427">
        <v>634.41171428571431</v>
      </c>
      <c r="C18" s="428">
        <f t="shared" si="0"/>
        <v>0</v>
      </c>
      <c r="D18" s="427">
        <v>634.41171428571431</v>
      </c>
      <c r="L18" s="312" t="s">
        <v>514</v>
      </c>
      <c r="M18" s="351">
        <f>PRODUCT(M17*V20)</f>
        <v>0</v>
      </c>
      <c r="N18" s="351">
        <f>PRODUCT(N17*V21)</f>
        <v>0</v>
      </c>
      <c r="O18" s="351">
        <f>PRODUCT(O17*V22)</f>
        <v>0</v>
      </c>
      <c r="P18" s="351">
        <f>PRODUCT(P17*V23)</f>
        <v>0</v>
      </c>
      <c r="Q18" s="351">
        <f>PRODUCT(Q17*V24)</f>
        <v>0</v>
      </c>
      <c r="R18" s="312">
        <f>SUM(M18:Q18)</f>
        <v>0</v>
      </c>
    </row>
    <row r="19" spans="1:18">
      <c r="A19" s="426" t="s">
        <v>16</v>
      </c>
      <c r="B19" s="427">
        <v>616.55964285714299</v>
      </c>
      <c r="C19" s="428">
        <f t="shared" si="0"/>
        <v>0</v>
      </c>
      <c r="D19" s="427">
        <v>616.55964285714299</v>
      </c>
      <c r="L19" s="312" t="s">
        <v>559</v>
      </c>
      <c r="M19" s="351">
        <f>M17*U20</f>
        <v>0</v>
      </c>
      <c r="N19" s="351">
        <f>N17*U21</f>
        <v>0</v>
      </c>
      <c r="O19" s="351">
        <f>O17*U22</f>
        <v>0</v>
      </c>
      <c r="P19" s="351">
        <f>P17*U23</f>
        <v>0</v>
      </c>
      <c r="Q19" s="351">
        <f>Q17*U24</f>
        <v>0</v>
      </c>
      <c r="R19" s="312">
        <f>SUM(M19:Q19)</f>
        <v>0</v>
      </c>
    </row>
    <row r="20" spans="1:18">
      <c r="A20" s="426" t="s">
        <v>17</v>
      </c>
      <c r="B20" s="427">
        <v>733.18005000000005</v>
      </c>
      <c r="C20" s="428">
        <f t="shared" si="0"/>
        <v>0</v>
      </c>
      <c r="D20" s="427">
        <v>733.18005000000005</v>
      </c>
    </row>
    <row r="21" spans="1:18">
      <c r="A21" s="426" t="s">
        <v>18</v>
      </c>
      <c r="B21" s="427">
        <v>1829.38375</v>
      </c>
      <c r="C21" s="428">
        <f t="shared" si="0"/>
        <v>0</v>
      </c>
      <c r="D21" s="427">
        <v>1829.38375</v>
      </c>
      <c r="L21" s="5"/>
      <c r="M21" s="5"/>
      <c r="N21" s="5"/>
      <c r="O21" s="5"/>
      <c r="P21" s="5"/>
      <c r="Q21" s="5"/>
      <c r="R21" s="5"/>
    </row>
    <row r="22" spans="1:18">
      <c r="A22" s="426" t="s">
        <v>19</v>
      </c>
      <c r="B22" s="427">
        <v>1732.5050000000001</v>
      </c>
      <c r="C22" s="428">
        <f t="shared" si="0"/>
        <v>0</v>
      </c>
      <c r="D22" s="427">
        <v>1732.5050000000001</v>
      </c>
      <c r="L22" s="5"/>
      <c r="M22" s="5"/>
      <c r="N22" s="5"/>
      <c r="O22" s="5"/>
      <c r="P22" s="5"/>
      <c r="Q22" s="5"/>
      <c r="R22" s="5"/>
    </row>
    <row r="23" spans="1:18">
      <c r="A23" s="426" t="s">
        <v>20</v>
      </c>
      <c r="B23" s="427">
        <v>2069.71</v>
      </c>
      <c r="C23" s="428">
        <f t="shared" si="0"/>
        <v>0</v>
      </c>
      <c r="D23" s="427">
        <v>2069.71</v>
      </c>
      <c r="L23" s="5"/>
      <c r="M23" s="5"/>
      <c r="N23" s="5"/>
      <c r="O23" s="5"/>
      <c r="P23" s="5"/>
      <c r="Q23" s="5"/>
      <c r="R23" s="5"/>
    </row>
    <row r="24" spans="1:18">
      <c r="A24" s="426" t="s">
        <v>21</v>
      </c>
      <c r="B24" s="427">
        <v>405.31200000000001</v>
      </c>
      <c r="C24" s="428">
        <f t="shared" si="0"/>
        <v>0</v>
      </c>
      <c r="D24" s="427">
        <v>405.31200000000001</v>
      </c>
      <c r="L24" s="5"/>
      <c r="M24" s="5"/>
      <c r="N24" s="5"/>
      <c r="O24" s="5"/>
      <c r="P24" s="5"/>
      <c r="Q24" s="5"/>
      <c r="R24" s="5"/>
    </row>
    <row r="25" spans="1:18">
      <c r="A25" s="426" t="s">
        <v>22</v>
      </c>
      <c r="B25" s="427">
        <v>179.80250000000001</v>
      </c>
      <c r="C25" s="428">
        <f t="shared" si="0"/>
        <v>0</v>
      </c>
      <c r="D25" s="427">
        <v>179.80250000000001</v>
      </c>
      <c r="L25" s="5"/>
      <c r="M25" s="5"/>
      <c r="N25" s="5"/>
      <c r="O25" s="5"/>
      <c r="P25" s="5"/>
      <c r="Q25" s="5"/>
      <c r="R25" s="5"/>
    </row>
    <row r="26" spans="1:18">
      <c r="A26" s="426" t="s">
        <v>23</v>
      </c>
      <c r="B26" s="427">
        <v>49.207714285714289</v>
      </c>
      <c r="C26" s="428">
        <f t="shared" si="0"/>
        <v>0</v>
      </c>
      <c r="D26" s="427">
        <v>49.207714285714289</v>
      </c>
      <c r="L26" s="5"/>
      <c r="M26" s="5"/>
      <c r="N26" s="5"/>
      <c r="O26" s="5"/>
      <c r="P26" s="5"/>
      <c r="Q26" s="5"/>
      <c r="R26" s="5"/>
    </row>
    <row r="27" spans="1:18">
      <c r="A27" s="426" t="s">
        <v>24</v>
      </c>
      <c r="B27" s="427">
        <v>145.1027</v>
      </c>
      <c r="C27" s="428">
        <f t="shared" si="0"/>
        <v>0</v>
      </c>
      <c r="D27" s="427">
        <v>145.1027</v>
      </c>
      <c r="L27" s="5"/>
      <c r="M27" s="5"/>
      <c r="N27" s="5"/>
      <c r="O27" s="5"/>
      <c r="P27" s="5"/>
      <c r="Q27" s="5"/>
      <c r="R27" s="5"/>
    </row>
    <row r="28" spans="1:18">
      <c r="A28" s="426" t="s">
        <v>25</v>
      </c>
      <c r="B28" s="427">
        <v>203.76</v>
      </c>
      <c r="C28" s="428">
        <f t="shared" si="0"/>
        <v>0</v>
      </c>
      <c r="D28" s="427">
        <v>203.76</v>
      </c>
      <c r="L28" s="5"/>
      <c r="M28" s="5"/>
      <c r="N28" s="5"/>
      <c r="O28" s="5"/>
      <c r="P28" s="5"/>
      <c r="Q28" s="5"/>
      <c r="R28" s="5"/>
    </row>
    <row r="29" spans="1:18">
      <c r="A29" s="426" t="s">
        <v>26</v>
      </c>
      <c r="B29" s="427">
        <v>230.56774999999999</v>
      </c>
      <c r="C29" s="428">
        <f t="shared" si="0"/>
        <v>0</v>
      </c>
      <c r="D29" s="427">
        <v>230.56774999999999</v>
      </c>
      <c r="L29" s="5"/>
      <c r="M29" s="5"/>
      <c r="N29" s="5"/>
      <c r="O29" s="5"/>
      <c r="P29" s="5"/>
      <c r="Q29" s="5"/>
      <c r="R29" s="5"/>
    </row>
    <row r="30" spans="1:18">
      <c r="A30" s="426" t="s">
        <v>27</v>
      </c>
      <c r="B30" s="427">
        <v>253.2105</v>
      </c>
      <c r="C30" s="428">
        <f t="shared" si="0"/>
        <v>0</v>
      </c>
      <c r="D30" s="427">
        <v>253.2105</v>
      </c>
      <c r="L30" s="5"/>
      <c r="M30" s="5"/>
      <c r="N30" s="5"/>
      <c r="O30" s="5"/>
      <c r="P30" s="5"/>
      <c r="Q30" s="5"/>
      <c r="R30" s="5"/>
    </row>
    <row r="31" spans="1:18">
      <c r="A31" s="426" t="s">
        <v>28</v>
      </c>
      <c r="B31" s="427">
        <v>251.48699999999999</v>
      </c>
      <c r="C31" s="428">
        <f t="shared" si="0"/>
        <v>0</v>
      </c>
      <c r="D31" s="427">
        <v>251.48699999999999</v>
      </c>
      <c r="L31" s="5"/>
      <c r="M31" s="5"/>
      <c r="N31" s="5"/>
      <c r="O31" s="5"/>
      <c r="P31" s="5"/>
      <c r="Q31" s="5"/>
      <c r="R31" s="5"/>
    </row>
    <row r="32" spans="1:18">
      <c r="A32" s="426" t="s">
        <v>29</v>
      </c>
      <c r="B32" s="427">
        <v>115.9725</v>
      </c>
      <c r="C32" s="428">
        <f t="shared" si="0"/>
        <v>0</v>
      </c>
      <c r="D32" s="427">
        <v>115.9725</v>
      </c>
    </row>
    <row r="33" spans="1:4">
      <c r="A33" s="426" t="s">
        <v>30</v>
      </c>
      <c r="B33" s="427">
        <v>221.82749999999999</v>
      </c>
      <c r="C33" s="428">
        <f t="shared" si="0"/>
        <v>0</v>
      </c>
      <c r="D33" s="427">
        <v>221.82749999999999</v>
      </c>
    </row>
    <row r="34" spans="1:4" ht="15.75" thickBot="1">
      <c r="A34" s="429" t="s">
        <v>31</v>
      </c>
      <c r="B34" s="430">
        <v>99.1905</v>
      </c>
      <c r="C34" s="431">
        <f t="shared" si="0"/>
        <v>0</v>
      </c>
      <c r="D34" s="430">
        <v>99.1905</v>
      </c>
    </row>
    <row r="35" spans="1:4" ht="15.75" thickBot="1">
      <c r="A35" s="432" t="s">
        <v>598</v>
      </c>
      <c r="B35" s="433">
        <f>SUM(B4:B34)</f>
        <v>16520.213941071426</v>
      </c>
      <c r="C35" s="433">
        <f>SUBTOTAL(109,C4:C34)</f>
        <v>0</v>
      </c>
      <c r="D35" s="434">
        <f>SUM(D4:D34)</f>
        <v>16520.213941071426</v>
      </c>
    </row>
  </sheetData>
  <mergeCells count="3">
    <mergeCell ref="A1:D2"/>
    <mergeCell ref="G3:I3"/>
    <mergeCell ref="L3:R3"/>
  </mergeCells>
  <conditionalFormatting sqref="M5:R16">
    <cfRule type="cellIs" dxfId="18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E1" zoomScaleNormal="100" workbookViewId="0">
      <selection activeCell="K42" sqref="K42"/>
    </sheetView>
  </sheetViews>
  <sheetFormatPr defaultRowHeight="15"/>
  <cols>
    <col min="1" max="1" width="16.7109375" customWidth="1"/>
    <col min="2" max="2" width="40.140625" style="328" customWidth="1"/>
    <col min="3" max="3" width="51.140625" style="328" customWidth="1"/>
    <col min="4" max="4" width="34.42578125" style="328" customWidth="1"/>
    <col min="6" max="6" width="16.7109375" customWidth="1"/>
    <col min="7" max="7" width="35.140625" customWidth="1"/>
    <col min="8" max="8" width="29.7109375" customWidth="1"/>
    <col min="9" max="9" width="18.140625" customWidth="1"/>
    <col min="10" max="10" width="22.140625" customWidth="1"/>
    <col min="11" max="11" width="15.42578125" customWidth="1"/>
    <col min="14" max="14" width="13.7109375" style="5" customWidth="1"/>
    <col min="15" max="15" width="10.42578125" style="5" customWidth="1"/>
    <col min="16" max="18" width="8.7109375" style="5"/>
    <col min="19" max="19" width="12.5703125" style="5" customWidth="1"/>
    <col min="20" max="20" width="16.5703125" style="5" customWidth="1"/>
  </cols>
  <sheetData>
    <row r="1" spans="1:21">
      <c r="A1" s="564" t="s">
        <v>563</v>
      </c>
      <c r="B1" s="565"/>
      <c r="C1" s="565"/>
      <c r="D1" s="566"/>
      <c r="K1" s="5"/>
      <c r="L1" s="5"/>
      <c r="M1" s="5"/>
      <c r="R1"/>
      <c r="S1"/>
      <c r="T1"/>
    </row>
    <row r="2" spans="1:21" ht="15.75" thickBot="1">
      <c r="A2" s="576"/>
      <c r="B2" s="577"/>
      <c r="C2" s="577"/>
      <c r="D2" s="578"/>
      <c r="K2" s="5"/>
      <c r="L2" s="5"/>
      <c r="M2" s="5"/>
      <c r="R2"/>
      <c r="S2"/>
      <c r="T2"/>
    </row>
    <row r="3" spans="1:21" ht="30.75" thickBot="1">
      <c r="A3" s="435" t="s">
        <v>390</v>
      </c>
      <c r="B3" s="436" t="s">
        <v>554</v>
      </c>
      <c r="C3" s="437" t="s">
        <v>556</v>
      </c>
      <c r="D3" s="438" t="s">
        <v>555</v>
      </c>
      <c r="F3" s="570" t="s">
        <v>557</v>
      </c>
      <c r="G3" s="571"/>
      <c r="H3" s="572"/>
      <c r="J3" s="579" t="s">
        <v>599</v>
      </c>
      <c r="K3" s="580"/>
      <c r="L3" s="580"/>
      <c r="M3" s="580"/>
      <c r="N3" s="580"/>
      <c r="O3" s="580"/>
      <c r="P3" s="581"/>
      <c r="R3" s="198" t="s">
        <v>512</v>
      </c>
      <c r="S3" s="198" t="s">
        <v>513</v>
      </c>
      <c r="T3" s="198" t="s">
        <v>514</v>
      </c>
    </row>
    <row r="4" spans="1:21">
      <c r="A4" s="439" t="s">
        <v>0</v>
      </c>
      <c r="B4" s="440">
        <v>900</v>
      </c>
      <c r="C4" s="441">
        <f t="shared" ref="C4:C34" si="0">D4-B4</f>
        <v>0</v>
      </c>
      <c r="D4" s="440">
        <v>900</v>
      </c>
      <c r="F4" s="442"/>
      <c r="G4" s="443"/>
      <c r="H4" s="444"/>
      <c r="J4" s="445" t="s">
        <v>506</v>
      </c>
      <c r="K4" s="338" t="s">
        <v>507</v>
      </c>
      <c r="L4" s="338" t="s">
        <v>508</v>
      </c>
      <c r="M4" s="338" t="s">
        <v>509</v>
      </c>
      <c r="N4" s="338" t="s">
        <v>510</v>
      </c>
      <c r="O4" s="339" t="s">
        <v>558</v>
      </c>
      <c r="P4" s="446" t="s">
        <v>417</v>
      </c>
      <c r="R4" s="447" t="s">
        <v>507</v>
      </c>
      <c r="S4" s="447">
        <v>100</v>
      </c>
      <c r="T4" s="448">
        <v>15</v>
      </c>
    </row>
    <row r="5" spans="1:21">
      <c r="A5" s="449" t="s">
        <v>2</v>
      </c>
      <c r="B5" s="440">
        <v>250</v>
      </c>
      <c r="C5" s="441">
        <f t="shared" si="0"/>
        <v>0</v>
      </c>
      <c r="D5" s="440">
        <v>250</v>
      </c>
      <c r="F5" s="138" t="s">
        <v>390</v>
      </c>
      <c r="G5" s="137" t="s">
        <v>389</v>
      </c>
      <c r="H5" s="136" t="s">
        <v>388</v>
      </c>
      <c r="J5" s="450" t="s">
        <v>84</v>
      </c>
      <c r="K5" s="340">
        <v>0</v>
      </c>
      <c r="L5" s="340">
        <f>1</f>
        <v>1</v>
      </c>
      <c r="M5" s="341">
        <v>0</v>
      </c>
      <c r="N5" s="341">
        <f>1</f>
        <v>1</v>
      </c>
      <c r="O5" s="342">
        <f>3+1</f>
        <v>4</v>
      </c>
      <c r="P5" s="451">
        <f>SUM(K5:O5)</f>
        <v>6</v>
      </c>
      <c r="R5" s="452" t="s">
        <v>508</v>
      </c>
      <c r="S5" s="452">
        <v>150</v>
      </c>
      <c r="T5" s="453">
        <v>16.3689</v>
      </c>
    </row>
    <row r="6" spans="1:21">
      <c r="A6" s="449" t="s">
        <v>3</v>
      </c>
      <c r="B6" s="440">
        <v>150</v>
      </c>
      <c r="C6" s="441">
        <f t="shared" si="0"/>
        <v>0</v>
      </c>
      <c r="D6" s="440">
        <v>150</v>
      </c>
      <c r="F6" s="133"/>
      <c r="G6" s="132"/>
      <c r="H6" s="100">
        <f>(G6/200)*100</f>
        <v>0</v>
      </c>
      <c r="J6" s="450" t="s">
        <v>85</v>
      </c>
      <c r="K6" s="340">
        <f>1</f>
        <v>1</v>
      </c>
      <c r="L6" s="340">
        <f>1</f>
        <v>1</v>
      </c>
      <c r="M6" s="340">
        <f>1</f>
        <v>1</v>
      </c>
      <c r="N6" s="340">
        <f>1</f>
        <v>1</v>
      </c>
      <c r="O6" s="342">
        <f>2+2+1+1+1+1+1</f>
        <v>9</v>
      </c>
      <c r="P6" s="99">
        <f t="shared" ref="P6:P16" si="1">SUM(K6:O6)</f>
        <v>13</v>
      </c>
      <c r="R6" s="452" t="s">
        <v>509</v>
      </c>
      <c r="S6" s="452">
        <v>200</v>
      </c>
      <c r="T6" s="453">
        <v>16.746700000000001</v>
      </c>
    </row>
    <row r="7" spans="1:21">
      <c r="A7" s="449" t="s">
        <v>4</v>
      </c>
      <c r="B7" s="440">
        <v>300</v>
      </c>
      <c r="C7" s="441">
        <f t="shared" si="0"/>
        <v>0</v>
      </c>
      <c r="D7" s="440">
        <v>300</v>
      </c>
      <c r="F7" s="133"/>
      <c r="G7" s="132"/>
      <c r="H7" s="224">
        <f>(G7/150)*100</f>
        <v>0</v>
      </c>
      <c r="J7" s="450" t="s">
        <v>86</v>
      </c>
      <c r="K7" s="340">
        <f>1</f>
        <v>1</v>
      </c>
      <c r="L7" s="340">
        <v>0</v>
      </c>
      <c r="M7" s="340">
        <v>0</v>
      </c>
      <c r="N7" s="340">
        <f>1</f>
        <v>1</v>
      </c>
      <c r="O7" s="340">
        <f>2+1</f>
        <v>3</v>
      </c>
      <c r="P7" s="99">
        <f t="shared" si="1"/>
        <v>5</v>
      </c>
      <c r="R7" s="452" t="s">
        <v>510</v>
      </c>
      <c r="S7" s="452">
        <v>250</v>
      </c>
      <c r="T7" s="453">
        <v>16.886600000000001</v>
      </c>
    </row>
    <row r="8" spans="1:21" ht="15.75" thickBot="1">
      <c r="A8" s="449" t="s">
        <v>5</v>
      </c>
      <c r="B8" s="440">
        <v>600</v>
      </c>
      <c r="C8" s="441">
        <f t="shared" si="0"/>
        <v>0</v>
      </c>
      <c r="D8" s="440">
        <v>600</v>
      </c>
      <c r="F8" s="394"/>
      <c r="G8" s="395"/>
      <c r="H8" s="90"/>
      <c r="J8" s="450" t="s">
        <v>87</v>
      </c>
      <c r="K8" s="340">
        <f>1+1</f>
        <v>2</v>
      </c>
      <c r="L8" s="340">
        <f>1+1</f>
        <v>2</v>
      </c>
      <c r="M8" s="340">
        <v>0</v>
      </c>
      <c r="N8" s="340">
        <f>1+1+1</f>
        <v>3</v>
      </c>
      <c r="O8" s="342">
        <f>3+2+1+4+2+2+2+6+5+7+1</f>
        <v>35</v>
      </c>
      <c r="P8" s="99">
        <f t="shared" si="1"/>
        <v>42</v>
      </c>
      <c r="R8" s="452" t="s">
        <v>558</v>
      </c>
      <c r="S8" s="452">
        <v>300</v>
      </c>
      <c r="T8" s="453">
        <v>17</v>
      </c>
      <c r="U8" s="408"/>
    </row>
    <row r="9" spans="1:21">
      <c r="A9" s="449" t="s">
        <v>6</v>
      </c>
      <c r="B9" s="440">
        <v>850</v>
      </c>
      <c r="C9" s="441">
        <f t="shared" si="0"/>
        <v>0</v>
      </c>
      <c r="D9" s="440">
        <v>850</v>
      </c>
      <c r="F9" s="163" t="s">
        <v>369</v>
      </c>
      <c r="G9" s="252">
        <f>SUM(G6:G8)</f>
        <v>0</v>
      </c>
      <c r="H9" s="320"/>
      <c r="J9" s="450" t="s">
        <v>88</v>
      </c>
      <c r="K9" s="340">
        <f>1+1+1+1</f>
        <v>4</v>
      </c>
      <c r="L9" s="340">
        <f>1</f>
        <v>1</v>
      </c>
      <c r="M9" s="340">
        <f>1</f>
        <v>1</v>
      </c>
      <c r="N9" s="340">
        <f>1</f>
        <v>1</v>
      </c>
      <c r="O9" s="340">
        <f>1+4</f>
        <v>5</v>
      </c>
      <c r="P9" s="99">
        <f t="shared" si="1"/>
        <v>12</v>
      </c>
      <c r="R9"/>
      <c r="U9" s="454"/>
    </row>
    <row r="10" spans="1:21">
      <c r="A10" s="449" t="s">
        <v>7</v>
      </c>
      <c r="B10" s="440">
        <v>450</v>
      </c>
      <c r="C10" s="441">
        <f t="shared" si="0"/>
        <v>0</v>
      </c>
      <c r="D10" s="440">
        <v>450</v>
      </c>
      <c r="F10" s="251" t="s">
        <v>365</v>
      </c>
      <c r="G10" s="250">
        <f>G9/9100.11497</f>
        <v>0</v>
      </c>
      <c r="H10" s="320"/>
      <c r="J10" s="450" t="s">
        <v>89</v>
      </c>
      <c r="K10" s="340">
        <v>0</v>
      </c>
      <c r="L10" s="340">
        <f>1</f>
        <v>1</v>
      </c>
      <c r="M10" s="340">
        <f>1+1</f>
        <v>2</v>
      </c>
      <c r="N10" s="340">
        <f>1</f>
        <v>1</v>
      </c>
      <c r="O10" s="340">
        <f>1+2</f>
        <v>3</v>
      </c>
      <c r="P10" s="99">
        <f t="shared" si="1"/>
        <v>7</v>
      </c>
      <c r="R10"/>
      <c r="U10" s="419"/>
    </row>
    <row r="11" spans="1:21">
      <c r="A11" s="449" t="s">
        <v>8</v>
      </c>
      <c r="B11" s="440">
        <v>500</v>
      </c>
      <c r="C11" s="441">
        <f t="shared" si="0"/>
        <v>0</v>
      </c>
      <c r="D11" s="440">
        <v>500</v>
      </c>
      <c r="J11" s="450" t="s">
        <v>90</v>
      </c>
      <c r="K11" s="340">
        <f>1+1+1</f>
        <v>3</v>
      </c>
      <c r="L11" s="340">
        <v>0</v>
      </c>
      <c r="M11" s="340">
        <v>0</v>
      </c>
      <c r="N11" s="340">
        <v>0</v>
      </c>
      <c r="O11" s="340">
        <f>1+2</f>
        <v>3</v>
      </c>
      <c r="P11" s="99">
        <f t="shared" si="1"/>
        <v>6</v>
      </c>
      <c r="R11"/>
      <c r="S11"/>
      <c r="T11"/>
      <c r="U11" s="419"/>
    </row>
    <row r="12" spans="1:21">
      <c r="A12" s="449" t="s">
        <v>9</v>
      </c>
      <c r="B12" s="440">
        <v>400</v>
      </c>
      <c r="C12" s="441">
        <f t="shared" si="0"/>
        <v>0</v>
      </c>
      <c r="D12" s="440">
        <v>400</v>
      </c>
      <c r="J12" s="450" t="s">
        <v>91</v>
      </c>
      <c r="K12" s="340">
        <f>1+1</f>
        <v>2</v>
      </c>
      <c r="L12" s="340">
        <f>1</f>
        <v>1</v>
      </c>
      <c r="M12" s="340">
        <f>1</f>
        <v>1</v>
      </c>
      <c r="N12" s="340">
        <f>1+1+1</f>
        <v>3</v>
      </c>
      <c r="O12" s="342">
        <f>1+1+2</f>
        <v>4</v>
      </c>
      <c r="P12" s="99">
        <f t="shared" si="1"/>
        <v>11</v>
      </c>
      <c r="R12"/>
      <c r="S12"/>
      <c r="T12"/>
      <c r="U12" s="419"/>
    </row>
    <row r="13" spans="1:21">
      <c r="A13" s="449" t="s">
        <v>10</v>
      </c>
      <c r="B13" s="440">
        <v>300</v>
      </c>
      <c r="C13" s="441">
        <f t="shared" si="0"/>
        <v>0</v>
      </c>
      <c r="D13" s="440">
        <v>300</v>
      </c>
      <c r="J13" s="450" t="s">
        <v>92</v>
      </c>
      <c r="K13" s="340">
        <v>0</v>
      </c>
      <c r="L13" s="342">
        <v>0</v>
      </c>
      <c r="M13" s="340">
        <v>0</v>
      </c>
      <c r="N13" s="340">
        <f>1+1</f>
        <v>2</v>
      </c>
      <c r="O13" s="342">
        <f>1+6</f>
        <v>7</v>
      </c>
      <c r="P13" s="99">
        <f t="shared" si="1"/>
        <v>9</v>
      </c>
      <c r="R13"/>
      <c r="S13"/>
      <c r="T13"/>
      <c r="U13" s="419"/>
    </row>
    <row r="14" spans="1:21">
      <c r="A14" s="449" t="s">
        <v>11</v>
      </c>
      <c r="B14" s="440">
        <v>300</v>
      </c>
      <c r="C14" s="441">
        <f t="shared" si="0"/>
        <v>0</v>
      </c>
      <c r="D14" s="440">
        <v>300</v>
      </c>
      <c r="J14" s="450" t="s">
        <v>93</v>
      </c>
      <c r="K14" s="340">
        <f>1</f>
        <v>1</v>
      </c>
      <c r="L14" s="340">
        <v>0</v>
      </c>
      <c r="M14" s="340">
        <v>0</v>
      </c>
      <c r="N14" s="342">
        <f>1+1</f>
        <v>2</v>
      </c>
      <c r="O14" s="342">
        <f>5</f>
        <v>5</v>
      </c>
      <c r="P14" s="99">
        <f t="shared" si="1"/>
        <v>8</v>
      </c>
      <c r="R14"/>
      <c r="S14"/>
      <c r="T14"/>
    </row>
    <row r="15" spans="1:21">
      <c r="A15" s="449" t="s">
        <v>12</v>
      </c>
      <c r="B15" s="440">
        <v>550</v>
      </c>
      <c r="C15" s="441">
        <f t="shared" si="0"/>
        <v>0</v>
      </c>
      <c r="D15" s="440">
        <v>550</v>
      </c>
      <c r="J15" s="450" t="s">
        <v>94</v>
      </c>
      <c r="K15" s="340">
        <f>1</f>
        <v>1</v>
      </c>
      <c r="L15" s="340">
        <v>0</v>
      </c>
      <c r="M15" s="342">
        <f>1</f>
        <v>1</v>
      </c>
      <c r="N15" s="342">
        <f>1</f>
        <v>1</v>
      </c>
      <c r="O15" s="342">
        <f>7</f>
        <v>7</v>
      </c>
      <c r="P15" s="99">
        <f t="shared" si="1"/>
        <v>10</v>
      </c>
      <c r="R15"/>
      <c r="S15"/>
      <c r="T15"/>
    </row>
    <row r="16" spans="1:21">
      <c r="A16" s="449" t="s">
        <v>13</v>
      </c>
      <c r="B16" s="440">
        <v>100</v>
      </c>
      <c r="C16" s="441">
        <f t="shared" si="0"/>
        <v>0</v>
      </c>
      <c r="D16" s="440">
        <v>100</v>
      </c>
      <c r="J16" s="455" t="s">
        <v>505</v>
      </c>
      <c r="K16" s="340">
        <f>1</f>
        <v>1</v>
      </c>
      <c r="L16" s="348">
        <f>1</f>
        <v>1</v>
      </c>
      <c r="M16" s="348">
        <v>0</v>
      </c>
      <c r="N16" s="348">
        <v>0</v>
      </c>
      <c r="O16" s="348">
        <f>1</f>
        <v>1</v>
      </c>
      <c r="P16" s="456">
        <f t="shared" si="1"/>
        <v>3</v>
      </c>
      <c r="R16"/>
      <c r="S16"/>
      <c r="T16"/>
    </row>
    <row r="17" spans="1:20">
      <c r="A17" s="449" t="s">
        <v>14</v>
      </c>
      <c r="B17" s="440">
        <v>1300</v>
      </c>
      <c r="C17" s="441">
        <f t="shared" si="0"/>
        <v>0</v>
      </c>
      <c r="D17" s="440">
        <v>1300</v>
      </c>
      <c r="J17" s="457" t="s">
        <v>515</v>
      </c>
      <c r="K17" s="349">
        <f t="shared" ref="K17:P17" si="2">SUM(K5:K16)</f>
        <v>16</v>
      </c>
      <c r="L17" s="349">
        <f t="shared" si="2"/>
        <v>8</v>
      </c>
      <c r="M17" s="349">
        <f t="shared" si="2"/>
        <v>6</v>
      </c>
      <c r="N17" s="349">
        <f t="shared" si="2"/>
        <v>16</v>
      </c>
      <c r="O17" s="349">
        <f t="shared" si="2"/>
        <v>86</v>
      </c>
      <c r="P17" s="458">
        <f t="shared" si="2"/>
        <v>132</v>
      </c>
      <c r="R17"/>
      <c r="S17"/>
      <c r="T17"/>
    </row>
    <row r="18" spans="1:20">
      <c r="A18" s="449" t="s">
        <v>15</v>
      </c>
      <c r="B18" s="440">
        <v>600</v>
      </c>
      <c r="C18" s="441">
        <f t="shared" si="0"/>
        <v>0</v>
      </c>
      <c r="D18" s="440">
        <v>600</v>
      </c>
      <c r="J18" s="457" t="s">
        <v>514</v>
      </c>
      <c r="K18" s="351">
        <f>PRODUCT(K17*T4)</f>
        <v>240</v>
      </c>
      <c r="L18" s="414">
        <f>PRODUCT(L17*T5)</f>
        <v>130.9512</v>
      </c>
      <c r="M18" s="414">
        <f>PRODUCT(M17*T6)</f>
        <v>100.4802</v>
      </c>
      <c r="N18" s="414">
        <f>PRODUCT(N17*T7)</f>
        <v>270.18560000000002</v>
      </c>
      <c r="O18" s="414">
        <f>PRODUCT(O17*T8)</f>
        <v>1462</v>
      </c>
      <c r="P18" s="459">
        <f>SUM(K18:O18)</f>
        <v>2203.6170000000002</v>
      </c>
      <c r="R18"/>
      <c r="S18"/>
      <c r="T18"/>
    </row>
    <row r="19" spans="1:20" ht="15.75" thickBot="1">
      <c r="A19" s="449" t="s">
        <v>16</v>
      </c>
      <c r="B19" s="440">
        <v>700</v>
      </c>
      <c r="C19" s="441">
        <f t="shared" si="0"/>
        <v>0</v>
      </c>
      <c r="D19" s="440">
        <v>700</v>
      </c>
      <c r="J19" s="460" t="s">
        <v>559</v>
      </c>
      <c r="K19" s="461">
        <f>K17*S4</f>
        <v>1600</v>
      </c>
      <c r="L19" s="461">
        <f>L17*S5</f>
        <v>1200</v>
      </c>
      <c r="M19" s="461">
        <f>M17*S6</f>
        <v>1200</v>
      </c>
      <c r="N19" s="461">
        <f>N17*S7</f>
        <v>4000</v>
      </c>
      <c r="O19" s="461">
        <f>O17*S8</f>
        <v>25800</v>
      </c>
      <c r="P19" s="462">
        <f>SUM(K19:O19)</f>
        <v>33800</v>
      </c>
      <c r="R19"/>
      <c r="S19"/>
      <c r="T19"/>
    </row>
    <row r="20" spans="1:20">
      <c r="A20" s="449" t="s">
        <v>17</v>
      </c>
      <c r="B20" s="440">
        <v>750</v>
      </c>
      <c r="C20" s="441">
        <f t="shared" si="0"/>
        <v>0</v>
      </c>
      <c r="D20" s="440">
        <v>750</v>
      </c>
      <c r="K20" s="405"/>
      <c r="L20" s="342"/>
      <c r="M20" s="342"/>
      <c r="N20" s="342"/>
      <c r="O20" s="342"/>
      <c r="P20" s="342"/>
      <c r="Q20" s="407"/>
      <c r="R20"/>
      <c r="S20"/>
      <c r="T20"/>
    </row>
    <row r="21" spans="1:20">
      <c r="A21" s="449" t="s">
        <v>18</v>
      </c>
      <c r="B21" s="440">
        <v>1800</v>
      </c>
      <c r="C21" s="441">
        <f t="shared" si="0"/>
        <v>0</v>
      </c>
      <c r="D21" s="440">
        <v>1800</v>
      </c>
      <c r="K21" s="405"/>
      <c r="L21" s="409"/>
      <c r="M21" s="409"/>
      <c r="N21" s="409"/>
      <c r="O21" s="409"/>
      <c r="P21" s="409"/>
      <c r="Q21" s="405"/>
      <c r="R21"/>
      <c r="S21"/>
      <c r="T21"/>
    </row>
    <row r="22" spans="1:20">
      <c r="A22" s="449" t="s">
        <v>19</v>
      </c>
      <c r="B22" s="440">
        <v>1750</v>
      </c>
      <c r="C22" s="441">
        <f t="shared" si="0"/>
        <v>0</v>
      </c>
      <c r="D22" s="440">
        <v>1750</v>
      </c>
      <c r="K22" s="405"/>
      <c r="L22" s="409"/>
      <c r="M22" s="409"/>
      <c r="N22" s="409"/>
      <c r="O22" s="409"/>
      <c r="P22" s="409"/>
      <c r="Q22" s="405"/>
      <c r="R22"/>
      <c r="S22"/>
      <c r="T22"/>
    </row>
    <row r="23" spans="1:20">
      <c r="A23" s="449" t="s">
        <v>20</v>
      </c>
      <c r="B23" s="440">
        <v>2100</v>
      </c>
      <c r="C23" s="441">
        <f t="shared" si="0"/>
        <v>0</v>
      </c>
      <c r="D23" s="440">
        <v>2100</v>
      </c>
      <c r="K23" s="5"/>
      <c r="L23" s="5"/>
      <c r="M23" s="5"/>
      <c r="R23"/>
      <c r="S23"/>
      <c r="T23"/>
    </row>
    <row r="24" spans="1:20">
      <c r="A24" s="449" t="s">
        <v>21</v>
      </c>
      <c r="B24" s="440">
        <v>450</v>
      </c>
      <c r="C24" s="441">
        <f t="shared" si="0"/>
        <v>0</v>
      </c>
      <c r="D24" s="440">
        <v>450</v>
      </c>
      <c r="K24" s="5"/>
      <c r="L24" s="5"/>
      <c r="M24" s="5"/>
      <c r="R24"/>
      <c r="S24"/>
      <c r="T24"/>
    </row>
    <row r="25" spans="1:20">
      <c r="A25" s="449" t="s">
        <v>22</v>
      </c>
      <c r="B25" s="440">
        <v>200</v>
      </c>
      <c r="C25" s="441">
        <f t="shared" si="0"/>
        <v>0</v>
      </c>
      <c r="D25" s="440">
        <v>200</v>
      </c>
      <c r="K25" s="5"/>
      <c r="L25" s="5"/>
      <c r="M25" s="5"/>
      <c r="R25"/>
      <c r="S25"/>
      <c r="T25"/>
    </row>
    <row r="26" spans="1:20">
      <c r="A26" s="449" t="s">
        <v>23</v>
      </c>
      <c r="B26" s="440">
        <v>100</v>
      </c>
      <c r="C26" s="441">
        <f t="shared" si="0"/>
        <v>0</v>
      </c>
      <c r="D26" s="440">
        <v>100</v>
      </c>
      <c r="K26" s="320"/>
      <c r="L26" s="320"/>
      <c r="M26" s="320"/>
      <c r="N26" s="320"/>
      <c r="O26" s="320"/>
      <c r="P26" s="320"/>
      <c r="Q26" s="320"/>
      <c r="R26"/>
      <c r="S26"/>
      <c r="T26"/>
    </row>
    <row r="27" spans="1:20">
      <c r="A27" s="463" t="s">
        <v>24</v>
      </c>
      <c r="B27" s="440">
        <v>100</v>
      </c>
      <c r="C27" s="441">
        <f t="shared" si="0"/>
        <v>0</v>
      </c>
      <c r="D27" s="440">
        <v>100</v>
      </c>
      <c r="K27" s="464"/>
      <c r="L27" s="464"/>
      <c r="M27" s="464"/>
      <c r="N27" s="464"/>
      <c r="O27" s="464"/>
      <c r="P27" s="464"/>
      <c r="Q27" s="464"/>
      <c r="R27"/>
      <c r="S27"/>
      <c r="T27"/>
    </row>
    <row r="28" spans="1:20">
      <c r="A28" s="449" t="s">
        <v>25</v>
      </c>
      <c r="B28" s="440">
        <v>250</v>
      </c>
      <c r="C28" s="441">
        <f t="shared" si="0"/>
        <v>0</v>
      </c>
      <c r="D28" s="440">
        <v>250</v>
      </c>
      <c r="K28" s="306"/>
      <c r="L28" s="408"/>
      <c r="M28" s="408"/>
      <c r="N28" s="408"/>
      <c r="O28" s="408"/>
      <c r="P28" s="408"/>
      <c r="Q28" s="408"/>
      <c r="R28"/>
      <c r="S28"/>
      <c r="T28"/>
    </row>
    <row r="29" spans="1:20">
      <c r="A29" s="449" t="s">
        <v>26</v>
      </c>
      <c r="B29" s="440">
        <v>250</v>
      </c>
      <c r="C29" s="441">
        <f t="shared" si="0"/>
        <v>0</v>
      </c>
      <c r="D29" s="440">
        <v>250</v>
      </c>
      <c r="K29" s="367"/>
      <c r="L29" s="368"/>
      <c r="M29" s="368"/>
      <c r="N29" s="368"/>
      <c r="O29" s="405"/>
      <c r="P29" s="405"/>
      <c r="Q29" s="405"/>
      <c r="R29"/>
      <c r="S29"/>
      <c r="T29"/>
    </row>
    <row r="30" spans="1:20">
      <c r="A30" s="449" t="s">
        <v>27</v>
      </c>
      <c r="B30" s="440">
        <v>250</v>
      </c>
      <c r="C30" s="441">
        <f t="shared" si="0"/>
        <v>0</v>
      </c>
      <c r="D30" s="440">
        <v>250</v>
      </c>
      <c r="K30" s="409"/>
      <c r="L30" s="340"/>
      <c r="M30" s="340"/>
      <c r="N30" s="340"/>
      <c r="O30" s="340"/>
      <c r="P30" s="342"/>
      <c r="Q30" s="409"/>
      <c r="R30"/>
      <c r="S30"/>
      <c r="T30"/>
    </row>
    <row r="31" spans="1:20">
      <c r="A31" s="449" t="s">
        <v>28</v>
      </c>
      <c r="B31" s="440">
        <v>200</v>
      </c>
      <c r="C31" s="441">
        <f t="shared" si="0"/>
        <v>0</v>
      </c>
      <c r="D31" s="440">
        <v>200</v>
      </c>
      <c r="K31" s="409"/>
      <c r="L31" s="340"/>
      <c r="M31" s="340"/>
      <c r="N31" s="340"/>
      <c r="O31" s="340"/>
      <c r="P31" s="342"/>
      <c r="Q31" s="409"/>
      <c r="R31"/>
      <c r="S31"/>
      <c r="T31"/>
    </row>
    <row r="32" spans="1:20">
      <c r="A32" s="449" t="s">
        <v>29</v>
      </c>
      <c r="B32" s="440">
        <v>100</v>
      </c>
      <c r="C32" s="441">
        <f t="shared" si="0"/>
        <v>0</v>
      </c>
      <c r="D32" s="440">
        <v>100</v>
      </c>
      <c r="K32" s="409"/>
      <c r="L32" s="340"/>
      <c r="M32" s="340"/>
      <c r="N32" s="340"/>
      <c r="O32" s="340"/>
      <c r="P32" s="340"/>
      <c r="Q32" s="409"/>
      <c r="R32"/>
      <c r="S32"/>
      <c r="T32"/>
    </row>
    <row r="33" spans="1:21">
      <c r="A33" s="449" t="s">
        <v>30</v>
      </c>
      <c r="B33" s="440">
        <v>250</v>
      </c>
      <c r="C33" s="441">
        <f t="shared" si="0"/>
        <v>0</v>
      </c>
      <c r="D33" s="440">
        <v>250</v>
      </c>
      <c r="K33" s="409"/>
      <c r="L33" s="340"/>
      <c r="M33" s="340"/>
      <c r="N33" s="340"/>
      <c r="O33" s="340"/>
      <c r="P33" s="342"/>
      <c r="Q33" s="409"/>
      <c r="R33"/>
      <c r="S33"/>
      <c r="T33"/>
    </row>
    <row r="34" spans="1:21" ht="15.75" thickBot="1">
      <c r="A34" s="463" t="s">
        <v>31</v>
      </c>
      <c r="B34" s="465">
        <v>100</v>
      </c>
      <c r="C34" s="466">
        <f t="shared" si="0"/>
        <v>0</v>
      </c>
      <c r="D34" s="465">
        <v>100</v>
      </c>
      <c r="K34" s="409"/>
      <c r="L34" s="340"/>
      <c r="M34" s="340"/>
      <c r="N34" s="340"/>
      <c r="O34" s="340"/>
      <c r="P34" s="340"/>
      <c r="Q34" s="409"/>
      <c r="R34"/>
      <c r="S34"/>
      <c r="T34"/>
    </row>
    <row r="35" spans="1:21" ht="15.75" thickBot="1">
      <c r="A35" s="467" t="s">
        <v>598</v>
      </c>
      <c r="B35" s="468">
        <f>SUM(B4:B34)</f>
        <v>16900</v>
      </c>
      <c r="C35" s="468">
        <f>SUM(C4:C34)</f>
        <v>0</v>
      </c>
      <c r="D35" s="469">
        <f>SUM(D4:D34)</f>
        <v>16900</v>
      </c>
      <c r="E35" s="328"/>
      <c r="K35" s="409"/>
      <c r="L35" s="340"/>
      <c r="M35" s="340"/>
      <c r="N35" s="340"/>
      <c r="O35" s="340"/>
      <c r="P35" s="340"/>
      <c r="Q35" s="409"/>
      <c r="U35" s="5"/>
    </row>
    <row r="36" spans="1:21">
      <c r="B36"/>
      <c r="E36" s="328"/>
      <c r="K36" s="409"/>
      <c r="L36" s="340"/>
      <c r="M36" s="340"/>
      <c r="N36" s="340"/>
      <c r="O36" s="340"/>
      <c r="P36" s="340"/>
      <c r="Q36" s="409"/>
      <c r="U36" s="5"/>
    </row>
    <row r="37" spans="1:21">
      <c r="B37"/>
      <c r="E37" s="328"/>
      <c r="K37" s="409"/>
      <c r="L37" s="340"/>
      <c r="M37" s="340"/>
      <c r="N37" s="340"/>
      <c r="O37" s="340"/>
      <c r="P37" s="342"/>
      <c r="Q37" s="409"/>
      <c r="U37" s="5"/>
    </row>
    <row r="38" spans="1:21">
      <c r="B38"/>
      <c r="E38" s="328"/>
      <c r="K38" s="409"/>
      <c r="L38" s="340"/>
      <c r="M38" s="342"/>
      <c r="N38" s="340"/>
      <c r="O38" s="340"/>
      <c r="P38" s="342"/>
      <c r="Q38" s="409"/>
      <c r="U38" s="5"/>
    </row>
  </sheetData>
  <mergeCells count="3">
    <mergeCell ref="A1:D2"/>
    <mergeCell ref="F3:H3"/>
    <mergeCell ref="J3:P3"/>
  </mergeCells>
  <conditionalFormatting sqref="K8">
    <cfRule type="cellIs" dxfId="11" priority="1" operator="greaterThan">
      <formula>0</formula>
    </cfRule>
  </conditionalFormatting>
  <conditionalFormatting sqref="P5:P16">
    <cfRule type="cellIs" dxfId="10" priority="6" operator="greaterThan">
      <formula>0</formula>
    </cfRule>
  </conditionalFormatting>
  <conditionalFormatting sqref="L30:Q38">
    <cfRule type="cellIs" dxfId="9" priority="7" operator="greaterThan">
      <formula>0</formula>
    </cfRule>
  </conditionalFormatting>
  <conditionalFormatting sqref="K5:O5 K10:O16 L6:O9">
    <cfRule type="cellIs" dxfId="8" priority="4" operator="greaterThan">
      <formula>0</formula>
    </cfRule>
  </conditionalFormatting>
  <conditionalFormatting sqref="K6:K7">
    <cfRule type="cellIs" dxfId="7" priority="3" operator="greaterThan">
      <formula>0</formula>
    </cfRule>
  </conditionalFormatting>
  <conditionalFormatting sqref="K9">
    <cfRule type="cellIs" dxfId="6" priority="2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D1" zoomScale="110" zoomScaleNormal="110" workbookViewId="0">
      <selection activeCell="N36" sqref="N36"/>
    </sheetView>
  </sheetViews>
  <sheetFormatPr defaultRowHeight="15"/>
  <cols>
    <col min="1" max="1" width="17.140625" customWidth="1"/>
    <col min="2" max="2" width="28.7109375" customWidth="1"/>
    <col min="3" max="3" width="22" customWidth="1"/>
    <col min="4" max="4" width="29.5703125" customWidth="1"/>
    <col min="7" max="7" width="21.28515625" customWidth="1"/>
    <col min="8" max="8" width="20.28515625" customWidth="1"/>
  </cols>
  <sheetData>
    <row r="1" spans="1:22">
      <c r="A1" s="564" t="s">
        <v>600</v>
      </c>
      <c r="B1" s="565"/>
      <c r="C1" s="565"/>
      <c r="D1" s="566"/>
    </row>
    <row r="2" spans="1:22" ht="15.75" thickBot="1">
      <c r="A2" s="567"/>
      <c r="B2" s="568"/>
      <c r="C2" s="568"/>
      <c r="D2" s="569"/>
    </row>
    <row r="3" spans="1:22" ht="30.75" thickBot="1">
      <c r="A3" s="470" t="s">
        <v>390</v>
      </c>
      <c r="B3" s="471" t="s">
        <v>554</v>
      </c>
      <c r="C3" s="472" t="s">
        <v>556</v>
      </c>
      <c r="D3" s="473" t="s">
        <v>555</v>
      </c>
      <c r="F3" s="524" t="s">
        <v>560</v>
      </c>
      <c r="G3" s="525"/>
      <c r="H3" s="365"/>
      <c r="L3" s="573" t="s">
        <v>560</v>
      </c>
      <c r="M3" s="574"/>
      <c r="N3" s="574"/>
      <c r="O3" s="574"/>
      <c r="P3" s="574"/>
      <c r="Q3" s="574"/>
      <c r="R3" s="575"/>
      <c r="S3" s="5"/>
      <c r="T3" s="5"/>
      <c r="U3" s="5"/>
      <c r="V3" s="5"/>
    </row>
    <row r="4" spans="1:22">
      <c r="A4" s="449" t="s">
        <v>0</v>
      </c>
      <c r="B4" s="427">
        <v>1007.3647125</v>
      </c>
      <c r="C4" s="474">
        <f>D4-B4</f>
        <v>0</v>
      </c>
      <c r="D4" s="427">
        <v>1007.3647125</v>
      </c>
      <c r="F4" s="91"/>
      <c r="G4" s="320"/>
      <c r="H4" s="100"/>
      <c r="L4" s="336" t="s">
        <v>506</v>
      </c>
      <c r="M4" s="338" t="s">
        <v>507</v>
      </c>
      <c r="N4" s="338" t="s">
        <v>508</v>
      </c>
      <c r="O4" s="338" t="s">
        <v>509</v>
      </c>
      <c r="P4" s="338" t="s">
        <v>510</v>
      </c>
      <c r="Q4" s="339" t="s">
        <v>558</v>
      </c>
      <c r="R4" s="312" t="s">
        <v>417</v>
      </c>
      <c r="S4" s="5"/>
      <c r="T4" s="5"/>
      <c r="U4" s="5"/>
      <c r="V4" s="5"/>
    </row>
    <row r="5" spans="1:22">
      <c r="A5" s="449" t="s">
        <v>2</v>
      </c>
      <c r="B5" s="427">
        <v>204.02025</v>
      </c>
      <c r="C5" s="474">
        <f>D5-B5</f>
        <v>0</v>
      </c>
      <c r="D5" s="427">
        <v>204.02025</v>
      </c>
      <c r="F5" s="138" t="s">
        <v>390</v>
      </c>
      <c r="G5" s="137" t="s">
        <v>389</v>
      </c>
      <c r="H5" s="136" t="s">
        <v>388</v>
      </c>
      <c r="L5" s="60" t="s">
        <v>84</v>
      </c>
      <c r="M5" s="342">
        <v>0</v>
      </c>
      <c r="N5" s="342">
        <v>0</v>
      </c>
      <c r="O5" s="342">
        <v>0</v>
      </c>
      <c r="P5" s="341">
        <v>0</v>
      </c>
      <c r="Q5" s="342">
        <v>0</v>
      </c>
      <c r="R5" s="343">
        <f>SUM(M5:Q5)</f>
        <v>0</v>
      </c>
      <c r="S5" s="5"/>
      <c r="T5" s="5"/>
      <c r="U5" s="5"/>
      <c r="V5" s="5"/>
    </row>
    <row r="6" spans="1:22">
      <c r="A6" s="449" t="s">
        <v>3</v>
      </c>
      <c r="B6" s="427">
        <v>103.30200000000001</v>
      </c>
      <c r="C6" s="474">
        <f t="shared" ref="C6:C34" si="0">D6-B6</f>
        <v>0</v>
      </c>
      <c r="D6" s="427">
        <v>103.30200000000001</v>
      </c>
      <c r="F6" s="396" t="s">
        <v>5</v>
      </c>
      <c r="G6" s="482">
        <v>68</v>
      </c>
      <c r="H6" s="481">
        <f>(G6/490)*100</f>
        <v>13.877551020408163</v>
      </c>
      <c r="L6" s="60" t="s">
        <v>85</v>
      </c>
      <c r="M6" s="342">
        <v>0</v>
      </c>
      <c r="N6" s="342">
        <v>0</v>
      </c>
      <c r="O6" s="342">
        <v>0</v>
      </c>
      <c r="P6" s="340">
        <v>0</v>
      </c>
      <c r="Q6" s="342">
        <v>0</v>
      </c>
      <c r="R6" s="60">
        <f t="shared" ref="R6:R16" si="1">SUM(M6:Q6)</f>
        <v>0</v>
      </c>
      <c r="S6" s="5"/>
      <c r="T6" s="5"/>
      <c r="U6" s="5"/>
      <c r="V6" s="5"/>
    </row>
    <row r="7" spans="1:22">
      <c r="A7" s="449" t="s">
        <v>4</v>
      </c>
      <c r="B7" s="427">
        <v>258.97725000000003</v>
      </c>
      <c r="C7" s="474">
        <f t="shared" si="0"/>
        <v>0</v>
      </c>
      <c r="D7" s="427">
        <v>258.97725000000003</v>
      </c>
      <c r="F7" s="397" t="s">
        <v>6</v>
      </c>
      <c r="G7" s="482">
        <v>54</v>
      </c>
      <c r="H7" s="481">
        <f>(G7/690)*100</f>
        <v>7.8260869565217401</v>
      </c>
      <c r="L7" s="60" t="s">
        <v>86</v>
      </c>
      <c r="M7" s="342">
        <v>0</v>
      </c>
      <c r="N7" s="342">
        <v>0</v>
      </c>
      <c r="O7" s="342">
        <v>0</v>
      </c>
      <c r="P7" s="340">
        <v>0</v>
      </c>
      <c r="Q7" s="342">
        <v>0</v>
      </c>
      <c r="R7" s="60">
        <f t="shared" si="1"/>
        <v>0</v>
      </c>
      <c r="S7" s="5"/>
      <c r="T7" s="406" t="s">
        <v>512</v>
      </c>
      <c r="U7" s="406" t="s">
        <v>513</v>
      </c>
      <c r="V7" s="344" t="s">
        <v>514</v>
      </c>
    </row>
    <row r="8" spans="1:22">
      <c r="A8" s="449" t="s">
        <v>5</v>
      </c>
      <c r="B8" s="427">
        <v>489.91799999999989</v>
      </c>
      <c r="C8" s="474">
        <f t="shared" si="0"/>
        <v>67.723800000000097</v>
      </c>
      <c r="D8" s="427">
        <v>557.64179999999999</v>
      </c>
      <c r="F8" s="396" t="s">
        <v>11</v>
      </c>
      <c r="G8" s="482">
        <v>10</v>
      </c>
      <c r="H8" s="481">
        <f>(G8/329)*100</f>
        <v>3.0395136778115504</v>
      </c>
      <c r="L8" s="60" t="s">
        <v>87</v>
      </c>
      <c r="M8" s="342">
        <v>0</v>
      </c>
      <c r="N8" s="342">
        <v>0</v>
      </c>
      <c r="O8" s="342">
        <v>0</v>
      </c>
      <c r="P8" s="340">
        <v>0</v>
      </c>
      <c r="Q8" s="342">
        <v>0</v>
      </c>
      <c r="R8" s="60">
        <f t="shared" si="1"/>
        <v>0</v>
      </c>
      <c r="S8" s="5"/>
      <c r="T8" s="61" t="s">
        <v>507</v>
      </c>
      <c r="U8" s="61">
        <v>100</v>
      </c>
      <c r="V8" s="62">
        <v>15</v>
      </c>
    </row>
    <row r="9" spans="1:22">
      <c r="A9" s="449" t="s">
        <v>6</v>
      </c>
      <c r="B9" s="427">
        <v>689.92425000000003</v>
      </c>
      <c r="C9" s="474">
        <f t="shared" si="0"/>
        <v>53.823750000000018</v>
      </c>
      <c r="D9" s="427">
        <v>743.74800000000005</v>
      </c>
      <c r="F9" s="396" t="s">
        <v>12</v>
      </c>
      <c r="G9" s="482">
        <v>119</v>
      </c>
      <c r="H9" s="481">
        <f>(G9/454)*100</f>
        <v>26.21145374449339</v>
      </c>
      <c r="L9" s="60" t="s">
        <v>88</v>
      </c>
      <c r="M9" s="342">
        <v>0</v>
      </c>
      <c r="N9" s="342">
        <v>0</v>
      </c>
      <c r="O9" s="342">
        <v>0</v>
      </c>
      <c r="P9" s="340">
        <v>0</v>
      </c>
      <c r="Q9" s="342">
        <v>0</v>
      </c>
      <c r="R9" s="60">
        <f t="shared" si="1"/>
        <v>0</v>
      </c>
      <c r="S9" s="409"/>
      <c r="T9" s="345" t="s">
        <v>508</v>
      </c>
      <c r="U9" s="345">
        <v>150</v>
      </c>
      <c r="V9" s="60">
        <v>16.3689</v>
      </c>
    </row>
    <row r="10" spans="1:22">
      <c r="A10" s="449" t="s">
        <v>7</v>
      </c>
      <c r="B10" s="427">
        <v>453.65025000000003</v>
      </c>
      <c r="C10" s="474">
        <f t="shared" si="0"/>
        <v>0</v>
      </c>
      <c r="D10" s="427">
        <v>453.65025000000003</v>
      </c>
      <c r="F10" s="396" t="s">
        <v>14</v>
      </c>
      <c r="G10" s="482">
        <v>184</v>
      </c>
      <c r="H10" s="481">
        <f>(G10/1060)*100</f>
        <v>17.358490566037734</v>
      </c>
      <c r="L10" s="60" t="s">
        <v>89</v>
      </c>
      <c r="M10" s="342">
        <v>0</v>
      </c>
      <c r="N10" s="342">
        <v>0</v>
      </c>
      <c r="O10" s="342">
        <v>0</v>
      </c>
      <c r="P10" s="340">
        <v>0</v>
      </c>
      <c r="Q10" s="342">
        <v>0</v>
      </c>
      <c r="R10" s="60">
        <f t="shared" si="1"/>
        <v>0</v>
      </c>
      <c r="S10" s="405"/>
      <c r="T10" s="345" t="s">
        <v>509</v>
      </c>
      <c r="U10" s="345">
        <v>200</v>
      </c>
      <c r="V10" s="60">
        <v>16.746700000000001</v>
      </c>
    </row>
    <row r="11" spans="1:22">
      <c r="A11" s="449" t="s">
        <v>8</v>
      </c>
      <c r="B11" s="427">
        <v>474.95678571428567</v>
      </c>
      <c r="C11" s="474">
        <f t="shared" si="0"/>
        <v>0</v>
      </c>
      <c r="D11" s="427">
        <v>474.95678571428562</v>
      </c>
      <c r="F11" s="396" t="s">
        <v>16</v>
      </c>
      <c r="G11" s="482">
        <v>165</v>
      </c>
      <c r="H11" s="481">
        <f>(G11/447)*100</f>
        <v>36.912751677852349</v>
      </c>
      <c r="L11" s="60" t="s">
        <v>90</v>
      </c>
      <c r="M11" s="342">
        <v>0</v>
      </c>
      <c r="N11" s="342">
        <v>0</v>
      </c>
      <c r="O11" s="342">
        <v>0</v>
      </c>
      <c r="P11" s="340">
        <v>0</v>
      </c>
      <c r="Q11" s="342">
        <v>0</v>
      </c>
      <c r="R11" s="60">
        <f t="shared" si="1"/>
        <v>0</v>
      </c>
      <c r="S11" s="405"/>
      <c r="T11" s="345" t="s">
        <v>510</v>
      </c>
      <c r="U11" s="345">
        <v>250</v>
      </c>
      <c r="V11" s="60">
        <v>16.886600000000001</v>
      </c>
    </row>
    <row r="12" spans="1:22">
      <c r="A12" s="449" t="s">
        <v>9</v>
      </c>
      <c r="B12" s="427">
        <v>407.0877857142857</v>
      </c>
      <c r="C12" s="474">
        <f t="shared" si="0"/>
        <v>0</v>
      </c>
      <c r="D12" s="427">
        <v>407.0877857142857</v>
      </c>
      <c r="F12" s="396" t="s">
        <v>19</v>
      </c>
      <c r="G12" s="482">
        <v>621</v>
      </c>
      <c r="H12" s="481">
        <f>(G12/1112)*100</f>
        <v>55.845323741007192</v>
      </c>
      <c r="L12" s="60" t="s">
        <v>91</v>
      </c>
      <c r="M12" s="342">
        <v>0</v>
      </c>
      <c r="N12" s="342">
        <v>0</v>
      </c>
      <c r="O12" s="342">
        <v>0</v>
      </c>
      <c r="P12" s="342">
        <v>0</v>
      </c>
      <c r="Q12" s="342">
        <v>0</v>
      </c>
      <c r="R12" s="60">
        <f t="shared" si="1"/>
        <v>0</v>
      </c>
      <c r="S12" s="409"/>
      <c r="T12" s="346" t="s">
        <v>558</v>
      </c>
      <c r="U12" s="346">
        <v>300</v>
      </c>
      <c r="V12" s="347">
        <v>17</v>
      </c>
    </row>
    <row r="13" spans="1:22">
      <c r="A13" s="449" t="s">
        <v>10</v>
      </c>
      <c r="B13" s="427">
        <v>364.67624999999998</v>
      </c>
      <c r="C13" s="474">
        <f t="shared" si="0"/>
        <v>0</v>
      </c>
      <c r="D13" s="427">
        <v>364.67624999999998</v>
      </c>
      <c r="F13" s="396" t="s">
        <v>20</v>
      </c>
      <c r="G13" s="482">
        <v>714</v>
      </c>
      <c r="H13" s="481">
        <f>(G13/1356)*100</f>
        <v>52.654867256637175</v>
      </c>
      <c r="L13" s="60" t="s">
        <v>92</v>
      </c>
      <c r="M13" s="342">
        <v>0</v>
      </c>
      <c r="N13" s="342">
        <v>0</v>
      </c>
      <c r="O13" s="342">
        <v>0</v>
      </c>
      <c r="P13" s="342">
        <v>0</v>
      </c>
      <c r="Q13" s="342">
        <v>0</v>
      </c>
      <c r="R13" s="60">
        <f t="shared" si="1"/>
        <v>0</v>
      </c>
      <c r="S13" s="409"/>
      <c r="T13" s="409"/>
      <c r="U13" s="409"/>
      <c r="V13" s="5"/>
    </row>
    <row r="14" spans="1:22">
      <c r="A14" s="449" t="s">
        <v>11</v>
      </c>
      <c r="B14" s="427">
        <v>329.24250000000001</v>
      </c>
      <c r="C14" s="474">
        <f t="shared" si="0"/>
        <v>9.8167500000000132</v>
      </c>
      <c r="D14" s="427">
        <v>339.05925000000002</v>
      </c>
      <c r="F14" s="396" t="s">
        <v>21</v>
      </c>
      <c r="G14" s="482">
        <v>94</v>
      </c>
      <c r="H14" s="481">
        <f>(G14/311)*100</f>
        <v>30.225080385852088</v>
      </c>
      <c r="L14" s="60" t="s">
        <v>93</v>
      </c>
      <c r="M14" s="342">
        <v>0</v>
      </c>
      <c r="N14" s="342">
        <v>0</v>
      </c>
      <c r="O14" s="342">
        <v>0</v>
      </c>
      <c r="P14" s="342">
        <v>0</v>
      </c>
      <c r="Q14" s="342">
        <v>0</v>
      </c>
      <c r="R14" s="60">
        <f t="shared" si="1"/>
        <v>0</v>
      </c>
      <c r="S14" s="409"/>
      <c r="T14" s="409"/>
      <c r="U14" s="409"/>
      <c r="V14" s="5"/>
    </row>
    <row r="15" spans="1:22" ht="15.75" thickBot="1">
      <c r="A15" s="449" t="s">
        <v>12</v>
      </c>
      <c r="B15" s="427">
        <v>453.67481249999997</v>
      </c>
      <c r="C15" s="474">
        <f t="shared" si="0"/>
        <v>119.40518749999995</v>
      </c>
      <c r="D15" s="427">
        <v>573.07999999999993</v>
      </c>
      <c r="F15" s="396" t="s">
        <v>22</v>
      </c>
      <c r="G15" s="482">
        <v>51</v>
      </c>
      <c r="H15" s="481">
        <f>(G15/129)*100</f>
        <v>39.534883720930232</v>
      </c>
      <c r="L15" s="60" t="s">
        <v>94</v>
      </c>
      <c r="M15" s="342">
        <v>0</v>
      </c>
      <c r="N15" s="342">
        <v>0</v>
      </c>
      <c r="O15" s="342">
        <v>0</v>
      </c>
      <c r="P15" s="342">
        <v>0</v>
      </c>
      <c r="Q15" s="342">
        <v>0</v>
      </c>
      <c r="R15" s="60">
        <f t="shared" si="1"/>
        <v>0</v>
      </c>
      <c r="S15" s="18"/>
      <c r="T15" s="18"/>
      <c r="U15" s="409"/>
      <c r="V15" s="5"/>
    </row>
    <row r="16" spans="1:22">
      <c r="A16" s="449" t="s">
        <v>13</v>
      </c>
      <c r="B16" s="427">
        <v>49.76550000000001</v>
      </c>
      <c r="C16" s="474">
        <f t="shared" si="0"/>
        <v>0</v>
      </c>
      <c r="D16" s="427">
        <v>49.765500000000003</v>
      </c>
      <c r="F16" s="398" t="s">
        <v>417</v>
      </c>
      <c r="G16" s="399">
        <f>SUM(G6:G15)</f>
        <v>2080</v>
      </c>
      <c r="H16" s="400"/>
      <c r="L16" s="347" t="s">
        <v>505</v>
      </c>
      <c r="M16" s="348">
        <v>0</v>
      </c>
      <c r="N16" s="348">
        <v>0</v>
      </c>
      <c r="O16" s="348">
        <v>0</v>
      </c>
      <c r="P16" s="348">
        <v>0</v>
      </c>
      <c r="Q16" s="348">
        <v>0</v>
      </c>
      <c r="R16" s="347">
        <f t="shared" si="1"/>
        <v>0</v>
      </c>
      <c r="S16" s="409"/>
      <c r="U16" s="409"/>
      <c r="V16" s="5"/>
    </row>
    <row r="17" spans="1:22" ht="15.75" thickBot="1">
      <c r="A17" s="449" t="s">
        <v>14</v>
      </c>
      <c r="B17" s="427">
        <v>1060.1681249999999</v>
      </c>
      <c r="C17" s="474">
        <f t="shared" si="0"/>
        <v>184.14187500000003</v>
      </c>
      <c r="D17" s="427">
        <v>1244.31</v>
      </c>
      <c r="F17" s="479" t="s">
        <v>365</v>
      </c>
      <c r="G17" s="480">
        <f>G16/14441</f>
        <v>0.14403434665189391</v>
      </c>
      <c r="H17" s="401"/>
      <c r="I17" s="306"/>
      <c r="L17" s="312" t="s">
        <v>515</v>
      </c>
      <c r="M17" s="349">
        <f t="shared" ref="M17:R17" si="2">SUM(M5:M16)</f>
        <v>0</v>
      </c>
      <c r="N17" s="349">
        <f t="shared" si="2"/>
        <v>0</v>
      </c>
      <c r="O17" s="349">
        <f t="shared" si="2"/>
        <v>0</v>
      </c>
      <c r="P17" s="349">
        <f t="shared" si="2"/>
        <v>0</v>
      </c>
      <c r="Q17" s="349">
        <f t="shared" si="2"/>
        <v>0</v>
      </c>
      <c r="R17" s="350">
        <f t="shared" si="2"/>
        <v>0</v>
      </c>
      <c r="S17" s="409"/>
      <c r="U17" s="409"/>
      <c r="V17" s="5"/>
    </row>
    <row r="18" spans="1:22">
      <c r="A18" s="449" t="s">
        <v>15</v>
      </c>
      <c r="B18" s="427">
        <v>681.69321428571436</v>
      </c>
      <c r="C18" s="474">
        <f t="shared" si="0"/>
        <v>0</v>
      </c>
      <c r="D18" s="427">
        <v>681.69321428571436</v>
      </c>
      <c r="H18" s="306"/>
      <c r="I18" s="306"/>
      <c r="L18" s="312" t="s">
        <v>514</v>
      </c>
      <c r="M18" s="351">
        <f>PRODUCT(M17*V8)</f>
        <v>0</v>
      </c>
      <c r="N18" s="351">
        <f>PRODUCT(N17*V9)</f>
        <v>0</v>
      </c>
      <c r="O18" s="351">
        <f>PRODUCT(O17*V10)</f>
        <v>0</v>
      </c>
      <c r="P18" s="351">
        <f>PRODUCT(P17*V11)</f>
        <v>0</v>
      </c>
      <c r="Q18" s="351">
        <f>PRODUCT(Q17*V12)</f>
        <v>0</v>
      </c>
      <c r="R18" s="312">
        <f>SUM(M18:Q18)</f>
        <v>0</v>
      </c>
      <c r="S18" s="409"/>
      <c r="U18" s="409"/>
      <c r="V18" s="5"/>
    </row>
    <row r="19" spans="1:22">
      <c r="A19" s="449" t="s">
        <v>16</v>
      </c>
      <c r="B19" s="427">
        <v>447.33189285714292</v>
      </c>
      <c r="C19" s="474">
        <f t="shared" si="0"/>
        <v>164.63810714285722</v>
      </c>
      <c r="D19" s="427">
        <v>611.97000000000014</v>
      </c>
      <c r="H19" s="306"/>
      <c r="I19" s="306"/>
      <c r="L19" s="312" t="s">
        <v>513</v>
      </c>
      <c r="M19" s="351">
        <f>M17*U8</f>
        <v>0</v>
      </c>
      <c r="N19" s="351">
        <f>N17*U9</f>
        <v>0</v>
      </c>
      <c r="O19" s="351">
        <f>O17*U10</f>
        <v>0</v>
      </c>
      <c r="P19" s="351">
        <f>P17*U11</f>
        <v>0</v>
      </c>
      <c r="Q19" s="351">
        <f>Q17*U12</f>
        <v>0</v>
      </c>
      <c r="R19" s="312">
        <f>SUM(M19:Q19)</f>
        <v>0</v>
      </c>
      <c r="S19" s="409"/>
      <c r="U19" s="409"/>
      <c r="V19" s="5"/>
    </row>
    <row r="20" spans="1:22">
      <c r="A20" s="449" t="s">
        <v>17</v>
      </c>
      <c r="B20" s="427">
        <v>728.05800000000011</v>
      </c>
      <c r="C20" s="474">
        <f t="shared" si="0"/>
        <v>0</v>
      </c>
      <c r="D20" s="427">
        <v>728.05800000000011</v>
      </c>
      <c r="H20" s="306"/>
      <c r="I20" s="306"/>
    </row>
    <row r="21" spans="1:22">
      <c r="A21" s="449" t="s">
        <v>18</v>
      </c>
      <c r="B21" s="427">
        <v>1900.1026785714289</v>
      </c>
      <c r="C21" s="474">
        <f t="shared" si="0"/>
        <v>0</v>
      </c>
      <c r="D21" s="427">
        <v>1900.1026785714289</v>
      </c>
      <c r="H21" s="306"/>
      <c r="I21" s="306"/>
      <c r="K21" s="306"/>
    </row>
    <row r="22" spans="1:22">
      <c r="A22" s="449" t="s">
        <v>19</v>
      </c>
      <c r="B22" s="427">
        <v>1111.6186499999999</v>
      </c>
      <c r="C22" s="474">
        <f t="shared" si="0"/>
        <v>620.88635000000022</v>
      </c>
      <c r="D22" s="427">
        <v>1732.5050000000001</v>
      </c>
      <c r="H22" s="306"/>
      <c r="I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</row>
    <row r="23" spans="1:22">
      <c r="A23" s="449" t="s">
        <v>20</v>
      </c>
      <c r="B23" s="427">
        <v>1355.9021250000001</v>
      </c>
      <c r="C23" s="474">
        <f t="shared" si="0"/>
        <v>713.80787499999997</v>
      </c>
      <c r="D23" s="427">
        <v>2069.71</v>
      </c>
      <c r="H23" s="306"/>
      <c r="I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</row>
    <row r="24" spans="1:22">
      <c r="A24" s="449" t="s">
        <v>21</v>
      </c>
      <c r="B24" s="427">
        <v>310.82100000000003</v>
      </c>
      <c r="C24" s="474">
        <f t="shared" si="0"/>
        <v>94.490999999999985</v>
      </c>
      <c r="D24" s="427">
        <v>405.31200000000001</v>
      </c>
      <c r="H24" s="306"/>
      <c r="I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</row>
    <row r="25" spans="1:22">
      <c r="A25" s="449" t="s">
        <v>22</v>
      </c>
      <c r="B25" s="427">
        <v>128.93421428571429</v>
      </c>
      <c r="C25" s="474">
        <f t="shared" si="0"/>
        <v>50.868285714285719</v>
      </c>
      <c r="D25" s="427">
        <v>179.80250000000001</v>
      </c>
      <c r="H25" s="306"/>
      <c r="I25" s="306"/>
      <c r="K25" s="523"/>
      <c r="L25" s="523"/>
      <c r="M25" s="523"/>
      <c r="N25" s="523"/>
      <c r="O25" s="523"/>
      <c r="P25" s="523"/>
      <c r="Q25" s="523"/>
      <c r="R25" s="320"/>
      <c r="S25" s="320"/>
      <c r="T25" s="320"/>
      <c r="U25" s="320"/>
      <c r="V25" s="306"/>
    </row>
    <row r="26" spans="1:22">
      <c r="A26" s="449" t="s">
        <v>23</v>
      </c>
      <c r="B26" s="427">
        <v>49.207714285714282</v>
      </c>
      <c r="C26" s="474">
        <f t="shared" si="0"/>
        <v>0</v>
      </c>
      <c r="D26" s="427">
        <v>49.207714285714289</v>
      </c>
      <c r="H26" s="306"/>
      <c r="I26" s="306"/>
      <c r="K26" s="367"/>
      <c r="L26" s="368"/>
      <c r="M26" s="368"/>
      <c r="N26" s="368"/>
      <c r="O26" s="405"/>
      <c r="P26" s="405"/>
      <c r="Q26" s="405"/>
      <c r="R26" s="320"/>
      <c r="S26" s="320"/>
      <c r="T26" s="320"/>
      <c r="U26" s="320"/>
      <c r="V26" s="306"/>
    </row>
    <row r="27" spans="1:22">
      <c r="A27" s="449" t="s">
        <v>24</v>
      </c>
      <c r="B27" s="427">
        <v>124.49250000000001</v>
      </c>
      <c r="C27" s="474">
        <f t="shared" si="0"/>
        <v>0</v>
      </c>
      <c r="D27" s="427">
        <v>124.49250000000001</v>
      </c>
      <c r="H27" s="306"/>
      <c r="I27" s="306"/>
      <c r="K27" s="409"/>
      <c r="L27" s="340"/>
      <c r="M27" s="340"/>
      <c r="N27" s="340"/>
      <c r="O27" s="340"/>
      <c r="P27" s="342"/>
      <c r="Q27" s="409"/>
      <c r="R27" s="320"/>
      <c r="S27" s="320"/>
      <c r="T27" s="320"/>
      <c r="U27" s="320"/>
      <c r="V27" s="306"/>
    </row>
    <row r="28" spans="1:22">
      <c r="A28" s="449" t="s">
        <v>25</v>
      </c>
      <c r="B28" s="427">
        <v>156.4785</v>
      </c>
      <c r="C28" s="474">
        <f t="shared" si="0"/>
        <v>0</v>
      </c>
      <c r="D28" s="427">
        <v>156.4785</v>
      </c>
      <c r="H28" s="306"/>
      <c r="I28" s="306"/>
      <c r="K28" s="409"/>
      <c r="L28" s="340"/>
      <c r="M28" s="340"/>
      <c r="N28" s="340"/>
      <c r="O28" s="340"/>
      <c r="P28" s="342"/>
      <c r="Q28" s="409"/>
      <c r="R28" s="320"/>
      <c r="S28" s="320"/>
      <c r="T28" s="320"/>
      <c r="U28" s="320"/>
      <c r="V28" s="306"/>
    </row>
    <row r="29" spans="1:22">
      <c r="A29" s="449" t="s">
        <v>26</v>
      </c>
      <c r="B29" s="427">
        <v>157.554</v>
      </c>
      <c r="C29" s="474">
        <f t="shared" si="0"/>
        <v>0</v>
      </c>
      <c r="D29" s="427">
        <v>157.554</v>
      </c>
      <c r="H29" s="306"/>
      <c r="I29" s="306"/>
      <c r="K29" s="409"/>
      <c r="L29" s="340"/>
      <c r="M29" s="340"/>
      <c r="N29" s="340"/>
      <c r="O29" s="340"/>
      <c r="P29" s="342"/>
      <c r="Q29" s="409"/>
      <c r="R29" s="320"/>
      <c r="S29" s="408"/>
      <c r="T29" s="408"/>
      <c r="U29" s="408"/>
      <c r="V29" s="306"/>
    </row>
    <row r="30" spans="1:22">
      <c r="A30" s="449" t="s">
        <v>27</v>
      </c>
      <c r="B30" s="427">
        <v>253.2105</v>
      </c>
      <c r="C30" s="474">
        <f t="shared" si="0"/>
        <v>0</v>
      </c>
      <c r="D30" s="427">
        <v>253.2105</v>
      </c>
      <c r="K30" s="409"/>
      <c r="L30" s="340"/>
      <c r="M30" s="340"/>
      <c r="N30" s="340"/>
      <c r="O30" s="340"/>
      <c r="P30" s="342"/>
      <c r="Q30" s="409"/>
      <c r="R30" s="320"/>
      <c r="S30" s="64"/>
      <c r="T30" s="64"/>
      <c r="U30" s="320"/>
      <c r="V30" s="306"/>
    </row>
    <row r="31" spans="1:22">
      <c r="A31" s="449" t="s">
        <v>28</v>
      </c>
      <c r="B31" s="427">
        <v>251.48699999999999</v>
      </c>
      <c r="C31" s="474">
        <f t="shared" si="0"/>
        <v>0</v>
      </c>
      <c r="D31" s="427">
        <v>251.48699999999999</v>
      </c>
      <c r="H31" s="306"/>
      <c r="K31" s="409"/>
      <c r="L31" s="340"/>
      <c r="M31" s="340"/>
      <c r="N31" s="340"/>
      <c r="O31" s="340"/>
      <c r="P31" s="342"/>
      <c r="Q31" s="409"/>
      <c r="R31" s="409"/>
      <c r="S31" s="342"/>
      <c r="T31" s="342"/>
      <c r="U31" s="409"/>
      <c r="V31" s="306"/>
    </row>
    <row r="32" spans="1:22">
      <c r="A32" s="449" t="s">
        <v>29</v>
      </c>
      <c r="B32" s="427">
        <v>115.9725</v>
      </c>
      <c r="C32" s="474">
        <f t="shared" si="0"/>
        <v>0</v>
      </c>
      <c r="D32" s="427">
        <v>115.9725</v>
      </c>
      <c r="H32" s="306"/>
      <c r="K32" s="409"/>
      <c r="L32" s="340"/>
      <c r="M32" s="340"/>
      <c r="N32" s="340"/>
      <c r="O32" s="340"/>
      <c r="P32" s="342"/>
      <c r="Q32" s="409"/>
      <c r="R32" s="405"/>
      <c r="S32" s="342"/>
      <c r="T32" s="342"/>
      <c r="U32" s="409"/>
      <c r="V32" s="306"/>
    </row>
    <row r="33" spans="1:22">
      <c r="A33" s="449" t="s">
        <v>30</v>
      </c>
      <c r="B33" s="427">
        <v>221.82749999999999</v>
      </c>
      <c r="C33" s="474">
        <f t="shared" si="0"/>
        <v>0</v>
      </c>
      <c r="D33" s="427">
        <v>221.82749999999999</v>
      </c>
      <c r="F33" s="306"/>
      <c r="G33" s="306"/>
      <c r="H33" s="306"/>
      <c r="I33" s="306"/>
      <c r="K33" s="409"/>
      <c r="L33" s="340"/>
      <c r="M33" s="340"/>
      <c r="N33" s="340"/>
      <c r="O33" s="340"/>
      <c r="P33" s="342"/>
      <c r="Q33" s="409"/>
      <c r="R33" s="405"/>
      <c r="S33" s="342"/>
      <c r="T33" s="342"/>
      <c r="U33" s="409"/>
      <c r="V33" s="306"/>
    </row>
    <row r="34" spans="1:22" ht="15.75" thickBot="1">
      <c r="A34" s="463" t="s">
        <v>31</v>
      </c>
      <c r="B34" s="430">
        <v>99.190499999999986</v>
      </c>
      <c r="C34" s="475">
        <f t="shared" si="0"/>
        <v>0</v>
      </c>
      <c r="D34" s="430">
        <v>99.1905</v>
      </c>
      <c r="K34" s="409"/>
      <c r="L34" s="340"/>
      <c r="M34" s="340"/>
      <c r="N34" s="342"/>
      <c r="O34" s="342"/>
      <c r="P34" s="342"/>
      <c r="Q34" s="409"/>
      <c r="R34" s="409"/>
      <c r="S34" s="342"/>
      <c r="T34" s="342"/>
      <c r="U34" s="409"/>
      <c r="V34" s="306"/>
    </row>
    <row r="35" spans="1:22" ht="15.75" thickBot="1">
      <c r="A35" s="467" t="s">
        <v>598</v>
      </c>
      <c r="B35" s="468">
        <f>SUM(B4:B34)</f>
        <v>14440.610960714286</v>
      </c>
      <c r="C35" s="468">
        <f>SUM(C4:C34)</f>
        <v>2079.6029803571432</v>
      </c>
      <c r="D35" s="469">
        <f>SUM(D4:D34)</f>
        <v>16520.213941071426</v>
      </c>
      <c r="K35" s="409"/>
      <c r="L35" s="342"/>
      <c r="M35" s="342"/>
      <c r="N35" s="342"/>
      <c r="O35" s="342"/>
      <c r="P35" s="342"/>
      <c r="Q35" s="409"/>
      <c r="R35" s="409"/>
      <c r="S35" s="409"/>
      <c r="T35" s="409"/>
      <c r="U35" s="320"/>
      <c r="V35" s="306"/>
    </row>
    <row r="36" spans="1:22">
      <c r="K36" s="409"/>
      <c r="L36" s="342"/>
      <c r="M36" s="340"/>
      <c r="N36" s="342"/>
      <c r="O36" s="342"/>
      <c r="P36" s="342"/>
      <c r="Q36" s="409"/>
      <c r="R36" s="409"/>
      <c r="S36" s="409"/>
      <c r="T36" s="409"/>
      <c r="U36" s="320"/>
      <c r="V36" s="306"/>
    </row>
    <row r="37" spans="1:22">
      <c r="K37" s="409"/>
      <c r="L37" s="342"/>
      <c r="M37" s="340"/>
      <c r="N37" s="342"/>
      <c r="O37" s="342"/>
      <c r="P37" s="342"/>
      <c r="Q37" s="409"/>
      <c r="R37" s="18"/>
      <c r="S37" s="18"/>
      <c r="T37" s="409"/>
      <c r="U37" s="320"/>
      <c r="V37" s="306"/>
    </row>
    <row r="38" spans="1:22">
      <c r="K38" s="409"/>
      <c r="L38" s="342"/>
      <c r="M38" s="342"/>
      <c r="N38" s="342"/>
      <c r="O38" s="342"/>
      <c r="P38" s="342"/>
      <c r="Q38" s="409"/>
      <c r="R38" s="409"/>
      <c r="S38" s="306"/>
      <c r="T38" s="409"/>
      <c r="U38" s="320"/>
      <c r="V38" s="306"/>
    </row>
    <row r="39" spans="1:22">
      <c r="K39" s="405"/>
      <c r="L39" s="342"/>
      <c r="M39" s="342"/>
      <c r="N39" s="342"/>
      <c r="O39" s="342"/>
      <c r="P39" s="342"/>
      <c r="Q39" s="407"/>
      <c r="R39" s="409"/>
      <c r="S39" s="306"/>
      <c r="T39" s="409"/>
      <c r="U39" s="320"/>
      <c r="V39" s="306"/>
    </row>
    <row r="40" spans="1:22">
      <c r="K40" s="405"/>
      <c r="L40" s="409"/>
      <c r="M40" s="409"/>
      <c r="N40" s="409"/>
      <c r="O40" s="409"/>
      <c r="P40" s="409"/>
      <c r="Q40" s="405"/>
      <c r="R40" s="409"/>
      <c r="S40" s="306"/>
      <c r="T40" s="409"/>
      <c r="U40" s="320"/>
      <c r="V40" s="306"/>
    </row>
    <row r="41" spans="1:22">
      <c r="K41" s="405"/>
      <c r="L41" s="409"/>
      <c r="M41" s="409"/>
      <c r="N41" s="409"/>
      <c r="O41" s="409"/>
      <c r="P41" s="409"/>
      <c r="Q41" s="405"/>
      <c r="R41" s="409"/>
      <c r="S41" s="306"/>
      <c r="T41" s="409"/>
      <c r="U41" s="320"/>
      <c r="V41" s="306"/>
    </row>
    <row r="42" spans="1:22">
      <c r="K42" s="306"/>
      <c r="L42" s="320"/>
      <c r="M42" s="320"/>
      <c r="N42" s="320"/>
      <c r="O42" s="306"/>
      <c r="P42" s="306"/>
      <c r="Q42" s="306"/>
      <c r="R42" s="306"/>
      <c r="S42" s="306"/>
      <c r="T42" s="306"/>
      <c r="U42" s="306"/>
      <c r="V42" s="306"/>
    </row>
    <row r="43" spans="1:22"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</row>
  </sheetData>
  <mergeCells count="4">
    <mergeCell ref="F3:G3"/>
    <mergeCell ref="K25:Q25"/>
    <mergeCell ref="A1:D2"/>
    <mergeCell ref="L3:R3"/>
  </mergeCells>
  <conditionalFormatting sqref="L27:Q38">
    <cfRule type="cellIs" dxfId="5" priority="2" operator="greaterThan">
      <formula>0</formula>
    </cfRule>
  </conditionalFormatting>
  <conditionalFormatting sqref="M5:R16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E1" zoomScaleNormal="100" workbookViewId="0">
      <selection activeCell="P37" sqref="P37"/>
    </sheetView>
  </sheetViews>
  <sheetFormatPr defaultRowHeight="15"/>
  <cols>
    <col min="1" max="1" width="16.7109375" customWidth="1"/>
    <col min="2" max="2" width="40.140625" style="403" customWidth="1"/>
    <col min="3" max="3" width="51.140625" style="328" customWidth="1"/>
    <col min="4" max="4" width="34.42578125" style="402" customWidth="1"/>
    <col min="7" max="7" width="14.7109375" customWidth="1"/>
    <col min="8" max="8" width="23.140625" customWidth="1"/>
    <col min="9" max="9" width="20.5703125" customWidth="1"/>
    <col min="12" max="12" width="14.85546875" customWidth="1"/>
    <col min="20" max="20" width="17.85546875" customWidth="1"/>
    <col min="21" max="21" width="17.5703125" customWidth="1"/>
    <col min="22" max="22" width="15.42578125" customWidth="1"/>
  </cols>
  <sheetData>
    <row r="1" spans="1:22" ht="15.75" thickBot="1">
      <c r="A1" s="564" t="s">
        <v>562</v>
      </c>
      <c r="B1" s="565"/>
      <c r="C1" s="565"/>
      <c r="D1" s="566"/>
    </row>
    <row r="2" spans="1:22">
      <c r="A2" s="567"/>
      <c r="B2" s="568"/>
      <c r="C2" s="568"/>
      <c r="D2" s="569"/>
      <c r="G2" s="570" t="s">
        <v>562</v>
      </c>
      <c r="H2" s="571"/>
      <c r="I2" s="572"/>
    </row>
    <row r="3" spans="1:22" ht="30.75" thickBot="1">
      <c r="A3" s="470" t="s">
        <v>390</v>
      </c>
      <c r="B3" s="471" t="s">
        <v>554</v>
      </c>
      <c r="C3" s="472" t="s">
        <v>556</v>
      </c>
      <c r="D3" s="473" t="s">
        <v>555</v>
      </c>
      <c r="G3" s="582"/>
      <c r="H3" s="583"/>
      <c r="I3" s="584"/>
      <c r="L3" s="573" t="s">
        <v>601</v>
      </c>
      <c r="M3" s="574"/>
      <c r="N3" s="574"/>
      <c r="O3" s="574"/>
      <c r="P3" s="574"/>
      <c r="Q3" s="574"/>
      <c r="R3" s="575"/>
      <c r="S3" s="5"/>
      <c r="T3" s="5"/>
      <c r="U3" s="5"/>
      <c r="V3" s="5"/>
    </row>
    <row r="4" spans="1:22">
      <c r="A4" s="449" t="s">
        <v>0</v>
      </c>
      <c r="B4" s="427">
        <v>900</v>
      </c>
      <c r="C4" s="476">
        <f>D4-B4</f>
        <v>0</v>
      </c>
      <c r="D4" s="427">
        <v>900</v>
      </c>
      <c r="G4" s="138" t="s">
        <v>390</v>
      </c>
      <c r="H4" s="137" t="s">
        <v>389</v>
      </c>
      <c r="I4" s="136" t="s">
        <v>388</v>
      </c>
      <c r="L4" s="336" t="s">
        <v>506</v>
      </c>
      <c r="M4" s="337" t="s">
        <v>507</v>
      </c>
      <c r="N4" s="337" t="s">
        <v>508</v>
      </c>
      <c r="O4" s="337" t="s">
        <v>509</v>
      </c>
      <c r="P4" s="338" t="s">
        <v>510</v>
      </c>
      <c r="Q4" s="339" t="s">
        <v>558</v>
      </c>
      <c r="R4" s="312" t="s">
        <v>417</v>
      </c>
      <c r="S4" s="5"/>
      <c r="T4" s="5"/>
      <c r="U4" s="5"/>
      <c r="V4" s="5"/>
    </row>
    <row r="5" spans="1:22">
      <c r="A5" s="449" t="s">
        <v>2</v>
      </c>
      <c r="B5" s="427">
        <v>230.80449999999999</v>
      </c>
      <c r="C5" s="476">
        <f t="shared" ref="C5:C34" si="0">D5-B5</f>
        <v>19.19550000000001</v>
      </c>
      <c r="D5" s="427">
        <v>250</v>
      </c>
      <c r="G5" s="397" t="s">
        <v>2</v>
      </c>
      <c r="H5" s="482">
        <v>19</v>
      </c>
      <c r="I5" s="481">
        <f>(H5/231)*100</f>
        <v>8.2251082251082259</v>
      </c>
      <c r="L5" s="60" t="s">
        <v>84</v>
      </c>
      <c r="M5" s="340"/>
      <c r="N5" s="340">
        <f>1</f>
        <v>1</v>
      </c>
      <c r="O5" s="341"/>
      <c r="P5" s="341">
        <f>1</f>
        <v>1</v>
      </c>
      <c r="Q5" s="342">
        <f>3+1</f>
        <v>4</v>
      </c>
      <c r="R5" s="343">
        <f>SUM(M5:Q5)</f>
        <v>6</v>
      </c>
      <c r="S5" s="5"/>
      <c r="T5" s="5"/>
      <c r="U5" s="5"/>
      <c r="V5" s="5"/>
    </row>
    <row r="6" spans="1:22">
      <c r="A6" s="449" t="s">
        <v>3</v>
      </c>
      <c r="B6" s="427">
        <v>145.1630000000001</v>
      </c>
      <c r="C6" s="476">
        <f t="shared" si="0"/>
        <v>4.8369999999999038</v>
      </c>
      <c r="D6" s="427">
        <v>150</v>
      </c>
      <c r="G6" s="396" t="s">
        <v>3</v>
      </c>
      <c r="H6" s="482">
        <v>5</v>
      </c>
      <c r="I6" s="481">
        <f>(H6/145)*100</f>
        <v>3.4482758620689653</v>
      </c>
      <c r="L6" s="60" t="s">
        <v>85</v>
      </c>
      <c r="M6" s="340">
        <f>1</f>
        <v>1</v>
      </c>
      <c r="N6" s="340">
        <f>1</f>
        <v>1</v>
      </c>
      <c r="O6" s="340">
        <f>1</f>
        <v>1</v>
      </c>
      <c r="P6" s="340">
        <f>1</f>
        <v>1</v>
      </c>
      <c r="Q6" s="340">
        <f>2+2+1+1+1+1+1</f>
        <v>9</v>
      </c>
      <c r="R6" s="60">
        <f t="shared" ref="R6:R15" si="1">SUM(M6:Q6)</f>
        <v>13</v>
      </c>
      <c r="S6" s="5"/>
      <c r="T6" s="5"/>
      <c r="U6" s="5"/>
      <c r="V6" s="5"/>
    </row>
    <row r="7" spans="1:22">
      <c r="A7" s="449" t="s">
        <v>4</v>
      </c>
      <c r="B7" s="427">
        <v>276.81700000000001</v>
      </c>
      <c r="C7" s="476">
        <f t="shared" si="0"/>
        <v>23.182999999999993</v>
      </c>
      <c r="D7" s="427">
        <v>300</v>
      </c>
      <c r="G7" s="397" t="s">
        <v>4</v>
      </c>
      <c r="H7" s="482">
        <v>23</v>
      </c>
      <c r="I7" s="481">
        <f>(H7/277)*100</f>
        <v>8.3032490974729249</v>
      </c>
      <c r="L7" s="60" t="s">
        <v>86</v>
      </c>
      <c r="M7" s="340">
        <f>1</f>
        <v>1</v>
      </c>
      <c r="N7" s="340"/>
      <c r="O7" s="340"/>
      <c r="P7" s="340">
        <f>1</f>
        <v>1</v>
      </c>
      <c r="Q7" s="340">
        <f>2+1</f>
        <v>3</v>
      </c>
      <c r="R7" s="60">
        <f t="shared" si="1"/>
        <v>5</v>
      </c>
      <c r="S7" s="5"/>
      <c r="T7" s="406" t="s">
        <v>512</v>
      </c>
      <c r="U7" s="406" t="s">
        <v>513</v>
      </c>
      <c r="V7" s="344" t="s">
        <v>514</v>
      </c>
    </row>
    <row r="8" spans="1:22">
      <c r="A8" s="449" t="s">
        <v>5</v>
      </c>
      <c r="B8" s="427">
        <v>498.89599999999967</v>
      </c>
      <c r="C8" s="476">
        <f t="shared" si="0"/>
        <v>101.10400000000033</v>
      </c>
      <c r="D8" s="427">
        <v>600</v>
      </c>
      <c r="G8" s="396" t="s">
        <v>5</v>
      </c>
      <c r="H8" s="482">
        <v>101</v>
      </c>
      <c r="I8" s="481">
        <f>(H8/499)*100</f>
        <v>20.240480961923847</v>
      </c>
      <c r="L8" s="60" t="s">
        <v>87</v>
      </c>
      <c r="M8" s="340">
        <f>1+1</f>
        <v>2</v>
      </c>
      <c r="N8" s="340">
        <f>1+1</f>
        <v>2</v>
      </c>
      <c r="O8" s="340"/>
      <c r="P8" s="340">
        <f>1+1+1</f>
        <v>3</v>
      </c>
      <c r="Q8" s="342">
        <f>3+2+1+4+2+2+2+6+5+7+1</f>
        <v>35</v>
      </c>
      <c r="R8" s="60">
        <f t="shared" si="1"/>
        <v>42</v>
      </c>
      <c r="S8" s="5"/>
      <c r="T8" s="61" t="s">
        <v>507</v>
      </c>
      <c r="U8" s="61">
        <v>100</v>
      </c>
      <c r="V8" s="416">
        <v>15</v>
      </c>
    </row>
    <row r="9" spans="1:22">
      <c r="A9" s="449" t="s">
        <v>6</v>
      </c>
      <c r="B9" s="427">
        <v>680.26900000000001</v>
      </c>
      <c r="C9" s="476">
        <f t="shared" si="0"/>
        <v>169.73099999999999</v>
      </c>
      <c r="D9" s="427">
        <v>850</v>
      </c>
      <c r="G9" s="396" t="s">
        <v>6</v>
      </c>
      <c r="H9" s="482">
        <v>170</v>
      </c>
      <c r="I9" s="481">
        <f>(H9/680)*100</f>
        <v>25</v>
      </c>
      <c r="L9" s="60" t="s">
        <v>88</v>
      </c>
      <c r="M9" s="340">
        <f>1+1+1+1</f>
        <v>4</v>
      </c>
      <c r="N9" s="340">
        <f>1</f>
        <v>1</v>
      </c>
      <c r="O9" s="340">
        <f>1</f>
        <v>1</v>
      </c>
      <c r="P9" s="340">
        <f>1</f>
        <v>1</v>
      </c>
      <c r="Q9" s="340">
        <f>1+4</f>
        <v>5</v>
      </c>
      <c r="R9" s="60">
        <f t="shared" si="1"/>
        <v>12</v>
      </c>
      <c r="S9" s="409"/>
      <c r="T9" s="345" t="s">
        <v>508</v>
      </c>
      <c r="U9" s="345">
        <v>150</v>
      </c>
      <c r="V9" s="417">
        <v>16.3689</v>
      </c>
    </row>
    <row r="10" spans="1:22">
      <c r="A10" s="449" t="s">
        <v>7</v>
      </c>
      <c r="B10" s="427">
        <v>449.70141666666649</v>
      </c>
      <c r="C10" s="476">
        <f t="shared" si="0"/>
        <v>0.29858333333351084</v>
      </c>
      <c r="D10" s="427">
        <v>450</v>
      </c>
      <c r="G10" s="396" t="s">
        <v>9</v>
      </c>
      <c r="H10" s="482">
        <v>48</v>
      </c>
      <c r="I10" s="481">
        <f>(H10/352)*100</f>
        <v>13.636363636363635</v>
      </c>
      <c r="L10" s="60" t="s">
        <v>89</v>
      </c>
      <c r="M10" s="340"/>
      <c r="N10" s="340">
        <f>1</f>
        <v>1</v>
      </c>
      <c r="O10" s="340">
        <f>1+1</f>
        <v>2</v>
      </c>
      <c r="P10" s="340">
        <f>1</f>
        <v>1</v>
      </c>
      <c r="Q10" s="340">
        <f>1+2</f>
        <v>3</v>
      </c>
      <c r="R10" s="60">
        <f t="shared" si="1"/>
        <v>7</v>
      </c>
      <c r="S10" s="405"/>
      <c r="T10" s="345" t="s">
        <v>509</v>
      </c>
      <c r="U10" s="345">
        <v>200</v>
      </c>
      <c r="V10" s="417">
        <v>16.746700000000001</v>
      </c>
    </row>
    <row r="11" spans="1:22">
      <c r="A11" s="449" t="s">
        <v>8</v>
      </c>
      <c r="B11" s="427">
        <v>500</v>
      </c>
      <c r="C11" s="476">
        <f t="shared" si="0"/>
        <v>0</v>
      </c>
      <c r="D11" s="427">
        <v>500</v>
      </c>
      <c r="G11" s="397" t="s">
        <v>10</v>
      </c>
      <c r="H11" s="482">
        <v>1</v>
      </c>
      <c r="I11" s="481">
        <f>(H11/299)*100</f>
        <v>0.33444816053511706</v>
      </c>
      <c r="L11" s="60" t="s">
        <v>90</v>
      </c>
      <c r="M11" s="340">
        <f>1+1+1</f>
        <v>3</v>
      </c>
      <c r="N11" s="340"/>
      <c r="O11" s="340"/>
      <c r="P11" s="340"/>
      <c r="Q11" s="340">
        <f>1+2</f>
        <v>3</v>
      </c>
      <c r="R11" s="60">
        <f t="shared" si="1"/>
        <v>6</v>
      </c>
      <c r="S11" s="405"/>
      <c r="T11" s="345" t="s">
        <v>510</v>
      </c>
      <c r="U11" s="345">
        <v>250</v>
      </c>
      <c r="V11" s="417">
        <v>16.886600000000001</v>
      </c>
    </row>
    <row r="12" spans="1:22">
      <c r="A12" s="449" t="s">
        <v>9</v>
      </c>
      <c r="B12" s="427">
        <v>351.85158333333447</v>
      </c>
      <c r="C12" s="476">
        <f t="shared" si="0"/>
        <v>48.148416666665526</v>
      </c>
      <c r="D12" s="427">
        <v>400</v>
      </c>
      <c r="G12" s="396" t="s">
        <v>11</v>
      </c>
      <c r="H12" s="482">
        <v>2</v>
      </c>
      <c r="I12" s="481">
        <f>(H12/298)*100</f>
        <v>0.67114093959731547</v>
      </c>
      <c r="L12" s="60" t="s">
        <v>91</v>
      </c>
      <c r="M12" s="340">
        <f>1+1</f>
        <v>2</v>
      </c>
      <c r="N12" s="340">
        <f>1</f>
        <v>1</v>
      </c>
      <c r="O12" s="340">
        <f>1</f>
        <v>1</v>
      </c>
      <c r="P12" s="340">
        <f>1+1+1</f>
        <v>3</v>
      </c>
      <c r="Q12" s="340">
        <f>1+1+2</f>
        <v>4</v>
      </c>
      <c r="R12" s="60">
        <f t="shared" si="1"/>
        <v>11</v>
      </c>
      <c r="S12" s="409"/>
      <c r="T12" s="346" t="s">
        <v>558</v>
      </c>
      <c r="U12" s="346">
        <v>300</v>
      </c>
      <c r="V12" s="418">
        <v>17</v>
      </c>
    </row>
    <row r="13" spans="1:22">
      <c r="A13" s="449" t="s">
        <v>10</v>
      </c>
      <c r="B13" s="427">
        <v>299.27208333333368</v>
      </c>
      <c r="C13" s="476">
        <f t="shared" si="0"/>
        <v>0.72791666666631727</v>
      </c>
      <c r="D13" s="427">
        <v>300</v>
      </c>
      <c r="G13" s="396" t="s">
        <v>12</v>
      </c>
      <c r="H13" s="482">
        <v>121</v>
      </c>
      <c r="I13" s="481">
        <f>(H13/429)*100</f>
        <v>28.205128205128204</v>
      </c>
      <c r="L13" s="60" t="s">
        <v>92</v>
      </c>
      <c r="M13" s="340"/>
      <c r="N13" s="342"/>
      <c r="O13" s="340"/>
      <c r="P13" s="340">
        <f>1+1</f>
        <v>2</v>
      </c>
      <c r="Q13" s="342">
        <f>1+6</f>
        <v>7</v>
      </c>
      <c r="R13" s="60">
        <f t="shared" si="1"/>
        <v>9</v>
      </c>
      <c r="S13" s="409"/>
      <c r="T13" s="409"/>
      <c r="U13" s="409"/>
      <c r="V13" s="5"/>
    </row>
    <row r="14" spans="1:22">
      <c r="A14" s="449" t="s">
        <v>11</v>
      </c>
      <c r="B14" s="427">
        <v>298.39241666666732</v>
      </c>
      <c r="C14" s="476">
        <f t="shared" si="0"/>
        <v>1.6075833333326841</v>
      </c>
      <c r="D14" s="427">
        <v>300</v>
      </c>
      <c r="G14" s="396" t="s">
        <v>13</v>
      </c>
      <c r="H14" s="482">
        <v>49</v>
      </c>
      <c r="I14" s="481">
        <f>(H14/51)*100</f>
        <v>96.078431372549019</v>
      </c>
      <c r="L14" s="60" t="s">
        <v>93</v>
      </c>
      <c r="M14" s="340">
        <f>1</f>
        <v>1</v>
      </c>
      <c r="N14" s="340"/>
      <c r="O14" s="340"/>
      <c r="P14" s="342">
        <f>1+1</f>
        <v>2</v>
      </c>
      <c r="Q14" s="342">
        <f>5</f>
        <v>5</v>
      </c>
      <c r="R14" s="60">
        <f t="shared" si="1"/>
        <v>8</v>
      </c>
      <c r="S14" s="409"/>
      <c r="T14" s="409"/>
      <c r="U14" s="409"/>
      <c r="V14" s="5"/>
    </row>
    <row r="15" spans="1:22">
      <c r="A15" s="449" t="s">
        <v>12</v>
      </c>
      <c r="B15" s="427">
        <v>428.61750000000001</v>
      </c>
      <c r="C15" s="476">
        <f t="shared" si="0"/>
        <v>121.38249999999999</v>
      </c>
      <c r="D15" s="427">
        <v>550</v>
      </c>
      <c r="G15" s="396" t="s">
        <v>14</v>
      </c>
      <c r="H15" s="482">
        <v>215</v>
      </c>
      <c r="I15" s="481">
        <f>(H15/1085)*100</f>
        <v>19.815668202764979</v>
      </c>
      <c r="L15" s="60" t="s">
        <v>94</v>
      </c>
      <c r="M15" s="340">
        <f>1</f>
        <v>1</v>
      </c>
      <c r="N15" s="340"/>
      <c r="O15" s="342">
        <f>1</f>
        <v>1</v>
      </c>
      <c r="P15" s="342">
        <f>1</f>
        <v>1</v>
      </c>
      <c r="Q15" s="342">
        <f>7</f>
        <v>7</v>
      </c>
      <c r="R15" s="60">
        <f t="shared" si="1"/>
        <v>10</v>
      </c>
      <c r="S15" s="18"/>
      <c r="T15" s="18"/>
      <c r="U15" s="409"/>
      <c r="V15" s="5"/>
    </row>
    <row r="16" spans="1:22">
      <c r="A16" s="449" t="s">
        <v>13</v>
      </c>
      <c r="B16" s="427">
        <v>50.707000000000299</v>
      </c>
      <c r="C16" s="476">
        <f t="shared" si="0"/>
        <v>49.292999999999701</v>
      </c>
      <c r="D16" s="427">
        <v>100</v>
      </c>
      <c r="G16" s="396" t="s">
        <v>16</v>
      </c>
      <c r="H16" s="482">
        <v>244</v>
      </c>
      <c r="I16" s="481">
        <f>(H16/456)*100</f>
        <v>53.508771929824562</v>
      </c>
      <c r="L16" s="347" t="s">
        <v>505</v>
      </c>
      <c r="M16" s="340">
        <f>1</f>
        <v>1</v>
      </c>
      <c r="N16" s="348">
        <f>1</f>
        <v>1</v>
      </c>
      <c r="O16" s="348"/>
      <c r="P16" s="348"/>
      <c r="Q16" s="348">
        <f>1</f>
        <v>1</v>
      </c>
      <c r="R16" s="347">
        <f>SUM(M16:Q16)</f>
        <v>3</v>
      </c>
    </row>
    <row r="17" spans="1:22">
      <c r="A17" s="449" t="s">
        <v>14</v>
      </c>
      <c r="B17" s="427">
        <v>1085.1349166666671</v>
      </c>
      <c r="C17" s="476">
        <f t="shared" si="0"/>
        <v>214.8650833333329</v>
      </c>
      <c r="D17" s="427">
        <v>1300</v>
      </c>
      <c r="G17" s="396" t="s">
        <v>17</v>
      </c>
      <c r="H17" s="482">
        <v>8</v>
      </c>
      <c r="I17" s="481">
        <f>(H17/742)*100</f>
        <v>1.0781671159029651</v>
      </c>
      <c r="L17" s="312" t="s">
        <v>515</v>
      </c>
      <c r="M17" s="349">
        <f t="shared" ref="M17:R17" si="2">SUM(M5:M16)</f>
        <v>16</v>
      </c>
      <c r="N17" s="349">
        <f t="shared" si="2"/>
        <v>8</v>
      </c>
      <c r="O17" s="349">
        <f t="shared" si="2"/>
        <v>6</v>
      </c>
      <c r="P17" s="349">
        <f t="shared" si="2"/>
        <v>16</v>
      </c>
      <c r="Q17" s="349">
        <f t="shared" si="2"/>
        <v>86</v>
      </c>
      <c r="R17" s="350">
        <f t="shared" si="2"/>
        <v>132</v>
      </c>
    </row>
    <row r="18" spans="1:22">
      <c r="A18" s="449" t="s">
        <v>15</v>
      </c>
      <c r="B18" s="427">
        <v>600</v>
      </c>
      <c r="C18" s="476">
        <f t="shared" si="0"/>
        <v>0</v>
      </c>
      <c r="D18" s="427">
        <v>600</v>
      </c>
      <c r="G18" s="396" t="s">
        <v>19</v>
      </c>
      <c r="H18" s="482">
        <v>604</v>
      </c>
      <c r="I18" s="481">
        <f>(H18/1146)*100</f>
        <v>52.705061082024429</v>
      </c>
      <c r="L18" s="312" t="s">
        <v>514</v>
      </c>
      <c r="M18" s="351">
        <f>PRODUCT(M17*V8)</f>
        <v>240</v>
      </c>
      <c r="N18" s="414">
        <f>PRODUCT(N17*V9)</f>
        <v>130.9512</v>
      </c>
      <c r="O18" s="414">
        <f>PRODUCT(O17*V10)</f>
        <v>100.4802</v>
      </c>
      <c r="P18" s="414">
        <f>PRODUCT(P17*V11)</f>
        <v>270.18560000000002</v>
      </c>
      <c r="Q18" s="414">
        <f>PRODUCT(Q17*V12)</f>
        <v>1462</v>
      </c>
      <c r="R18" s="415">
        <f>SUM(M18:Q18)</f>
        <v>2203.6170000000002</v>
      </c>
    </row>
    <row r="19" spans="1:22">
      <c r="A19" s="449" t="s">
        <v>16</v>
      </c>
      <c r="B19" s="427">
        <v>455.56875000000048</v>
      </c>
      <c r="C19" s="476">
        <f t="shared" si="0"/>
        <v>244.43124999999952</v>
      </c>
      <c r="D19" s="427">
        <v>700</v>
      </c>
      <c r="G19" s="396" t="s">
        <v>20</v>
      </c>
      <c r="H19" s="482">
        <v>764</v>
      </c>
      <c r="I19" s="481">
        <f>(H19/1336)*100</f>
        <v>57.185628742514972</v>
      </c>
      <c r="L19" s="312" t="s">
        <v>513</v>
      </c>
      <c r="M19" s="351">
        <f>M17*U8</f>
        <v>1600</v>
      </c>
      <c r="N19" s="351">
        <f>N17*U9</f>
        <v>1200</v>
      </c>
      <c r="O19" s="351">
        <f>O17*U10</f>
        <v>1200</v>
      </c>
      <c r="P19" s="351">
        <f>P17*U11</f>
        <v>4000</v>
      </c>
      <c r="Q19" s="351">
        <f>Q17*U12</f>
        <v>25800</v>
      </c>
      <c r="R19" s="312">
        <f>SUM(M19:Q19)</f>
        <v>33800</v>
      </c>
    </row>
    <row r="20" spans="1:22">
      <c r="A20" s="449" t="s">
        <v>17</v>
      </c>
      <c r="B20" s="427">
        <v>741.51608333333354</v>
      </c>
      <c r="C20" s="476">
        <f t="shared" si="0"/>
        <v>8.4839166666664596</v>
      </c>
      <c r="D20" s="427">
        <v>750</v>
      </c>
      <c r="G20" s="396" t="s">
        <v>21</v>
      </c>
      <c r="H20" s="482">
        <v>120</v>
      </c>
      <c r="I20" s="481">
        <f>(H20/330)*100</f>
        <v>36.363636363636367</v>
      </c>
    </row>
    <row r="21" spans="1:22">
      <c r="A21" s="449" t="s">
        <v>18</v>
      </c>
      <c r="B21" s="427">
        <v>1800</v>
      </c>
      <c r="C21" s="476">
        <f t="shared" si="0"/>
        <v>0</v>
      </c>
      <c r="D21" s="427">
        <v>1800</v>
      </c>
      <c r="G21" s="396" t="s">
        <v>22</v>
      </c>
      <c r="H21" s="482">
        <v>41</v>
      </c>
      <c r="I21" s="481">
        <f>(H21/159)*100</f>
        <v>25.786163522012579</v>
      </c>
    </row>
    <row r="22" spans="1:22">
      <c r="A22" s="449" t="s">
        <v>19</v>
      </c>
      <c r="B22" s="427">
        <v>1146.366</v>
      </c>
      <c r="C22" s="476">
        <f t="shared" si="0"/>
        <v>603.63400000000001</v>
      </c>
      <c r="D22" s="427">
        <v>1750</v>
      </c>
      <c r="G22" s="396" t="s">
        <v>23</v>
      </c>
      <c r="H22" s="482">
        <v>35</v>
      </c>
      <c r="I22" s="481">
        <f>(H22/65)*100</f>
        <v>53.846153846153847</v>
      </c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</row>
    <row r="23" spans="1:22">
      <c r="A23" s="449" t="s">
        <v>20</v>
      </c>
      <c r="B23" s="427">
        <v>1335.847</v>
      </c>
      <c r="C23" s="476">
        <f t="shared" si="0"/>
        <v>764.15300000000002</v>
      </c>
      <c r="D23" s="427">
        <v>2100</v>
      </c>
      <c r="G23" s="396" t="s">
        <v>25</v>
      </c>
      <c r="H23" s="482">
        <v>7</v>
      </c>
      <c r="I23" s="481">
        <f>(H23/243)*100</f>
        <v>2.880658436213992</v>
      </c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</row>
    <row r="24" spans="1:22">
      <c r="A24" s="449" t="s">
        <v>21</v>
      </c>
      <c r="B24" s="427">
        <v>330.06491666666659</v>
      </c>
      <c r="C24" s="476">
        <f t="shared" si="0"/>
        <v>119.93508333333341</v>
      </c>
      <c r="D24" s="427">
        <v>450</v>
      </c>
      <c r="G24" s="396" t="s">
        <v>29</v>
      </c>
      <c r="H24" s="482">
        <v>4</v>
      </c>
      <c r="I24" s="481">
        <f>(H24/96)*100</f>
        <v>4.1666666666666661</v>
      </c>
      <c r="L24" s="523"/>
      <c r="M24" s="523"/>
      <c r="N24" s="523"/>
      <c r="O24" s="523"/>
      <c r="P24" s="523"/>
      <c r="Q24" s="523"/>
      <c r="R24" s="523"/>
      <c r="S24" s="320"/>
      <c r="T24" s="320"/>
      <c r="U24" s="320"/>
      <c r="V24" s="320"/>
    </row>
    <row r="25" spans="1:22">
      <c r="A25" s="449" t="s">
        <v>22</v>
      </c>
      <c r="B25" s="427">
        <v>159.32849999999999</v>
      </c>
      <c r="C25" s="476">
        <f t="shared" si="0"/>
        <v>40.671500000000009</v>
      </c>
      <c r="D25" s="427">
        <v>200</v>
      </c>
      <c r="G25" s="397" t="s">
        <v>30</v>
      </c>
      <c r="H25" s="482">
        <v>5</v>
      </c>
      <c r="I25" s="481">
        <f>(H25/245)*100</f>
        <v>2.0408163265306123</v>
      </c>
      <c r="L25" s="367"/>
      <c r="M25" s="368"/>
      <c r="N25" s="368"/>
      <c r="O25" s="368"/>
      <c r="P25" s="405"/>
      <c r="Q25" s="405"/>
      <c r="R25" s="405"/>
      <c r="S25" s="320"/>
      <c r="T25" s="320"/>
      <c r="U25" s="320"/>
      <c r="V25" s="320"/>
    </row>
    <row r="26" spans="1:22" ht="15.75" thickBot="1">
      <c r="A26" s="449" t="s">
        <v>23</v>
      </c>
      <c r="B26" s="427">
        <v>65.202416666666224</v>
      </c>
      <c r="C26" s="476">
        <f t="shared" si="0"/>
        <v>34.797583333333776</v>
      </c>
      <c r="D26" s="427">
        <v>100</v>
      </c>
      <c r="G26" s="396" t="s">
        <v>31</v>
      </c>
      <c r="H26" s="482">
        <v>11</v>
      </c>
      <c r="I26" s="481">
        <f>(H26/89)*100</f>
        <v>12.359550561797752</v>
      </c>
      <c r="L26" s="409"/>
      <c r="M26" s="340"/>
      <c r="N26" s="340"/>
      <c r="O26" s="340"/>
      <c r="P26" s="340"/>
      <c r="Q26" s="342"/>
      <c r="R26" s="409"/>
      <c r="S26" s="320"/>
      <c r="T26" s="320"/>
      <c r="U26" s="320"/>
      <c r="V26" s="320"/>
    </row>
    <row r="27" spans="1:22" ht="15.75" thickBot="1">
      <c r="A27" s="449" t="s">
        <v>24</v>
      </c>
      <c r="B27" s="427">
        <v>100</v>
      </c>
      <c r="C27" s="476">
        <f t="shared" si="0"/>
        <v>0</v>
      </c>
      <c r="D27" s="427">
        <v>100</v>
      </c>
      <c r="G27" s="483" t="s">
        <v>417</v>
      </c>
      <c r="H27" s="484">
        <f>SUM(H5:H26)</f>
        <v>2597</v>
      </c>
      <c r="I27" s="400"/>
      <c r="L27" s="409"/>
      <c r="M27" s="340"/>
      <c r="N27" s="340"/>
      <c r="O27" s="340"/>
      <c r="P27" s="340"/>
      <c r="Q27" s="342"/>
      <c r="R27" s="409"/>
      <c r="S27" s="320"/>
      <c r="T27" s="320"/>
      <c r="U27" s="320"/>
      <c r="V27" s="320"/>
    </row>
    <row r="28" spans="1:22" ht="15.75" thickBot="1">
      <c r="A28" s="449" t="s">
        <v>25</v>
      </c>
      <c r="B28" s="427">
        <v>242.87100000000009</v>
      </c>
      <c r="C28" s="476">
        <f t="shared" si="0"/>
        <v>7.1289999999999054</v>
      </c>
      <c r="D28" s="427">
        <v>250</v>
      </c>
      <c r="G28" s="483" t="s">
        <v>365</v>
      </c>
      <c r="H28" s="485">
        <f>H27/14302</f>
        <v>0.18158299538526079</v>
      </c>
      <c r="I28" s="404"/>
      <c r="L28" s="409"/>
      <c r="M28" s="340"/>
      <c r="N28" s="340"/>
      <c r="O28" s="340"/>
      <c r="P28" s="340"/>
      <c r="Q28" s="342"/>
      <c r="R28" s="409"/>
      <c r="S28" s="320"/>
      <c r="T28" s="408"/>
      <c r="U28" s="408"/>
      <c r="V28" s="408"/>
    </row>
    <row r="29" spans="1:22">
      <c r="A29" s="449" t="s">
        <v>26</v>
      </c>
      <c r="B29" s="427">
        <v>249.99999999999989</v>
      </c>
      <c r="C29" s="476">
        <f t="shared" si="0"/>
        <v>0</v>
      </c>
      <c r="D29" s="427">
        <v>250</v>
      </c>
      <c r="L29" s="409"/>
      <c r="M29" s="340"/>
      <c r="N29" s="340"/>
      <c r="O29" s="340"/>
      <c r="P29" s="340"/>
      <c r="Q29" s="342"/>
      <c r="R29" s="409"/>
      <c r="S29" s="320"/>
      <c r="T29" s="64"/>
      <c r="U29" s="64"/>
      <c r="V29" s="320"/>
    </row>
    <row r="30" spans="1:22">
      <c r="A30" s="449" t="s">
        <v>27</v>
      </c>
      <c r="B30" s="427">
        <v>250</v>
      </c>
      <c r="C30" s="476">
        <f t="shared" si="0"/>
        <v>0</v>
      </c>
      <c r="D30" s="427">
        <v>250</v>
      </c>
      <c r="L30" s="409"/>
      <c r="M30" s="340"/>
      <c r="N30" s="340"/>
      <c r="O30" s="340"/>
      <c r="P30" s="340"/>
      <c r="Q30" s="342"/>
      <c r="R30" s="409"/>
      <c r="S30" s="409"/>
      <c r="T30" s="342"/>
      <c r="U30" s="342"/>
      <c r="V30" s="409"/>
    </row>
    <row r="31" spans="1:22">
      <c r="A31" s="449" t="s">
        <v>28</v>
      </c>
      <c r="B31" s="427">
        <v>200</v>
      </c>
      <c r="C31" s="476">
        <f t="shared" si="0"/>
        <v>0</v>
      </c>
      <c r="D31" s="427">
        <v>200</v>
      </c>
      <c r="G31" s="306"/>
      <c r="H31" s="306"/>
      <c r="I31" s="306"/>
      <c r="L31" s="409"/>
      <c r="M31" s="340"/>
      <c r="N31" s="340"/>
      <c r="O31" s="340"/>
      <c r="P31" s="340"/>
      <c r="Q31" s="342"/>
      <c r="R31" s="409"/>
      <c r="S31" s="405"/>
      <c r="T31" s="342"/>
      <c r="U31" s="342"/>
      <c r="V31" s="409"/>
    </row>
    <row r="32" spans="1:22">
      <c r="A32" s="449" t="s">
        <v>29</v>
      </c>
      <c r="B32" s="427">
        <v>96.155583333333382</v>
      </c>
      <c r="C32" s="476">
        <f t="shared" si="0"/>
        <v>3.8444166666666177</v>
      </c>
      <c r="D32" s="427">
        <v>100</v>
      </c>
      <c r="J32" s="306"/>
      <c r="L32" s="409"/>
      <c r="M32" s="340"/>
      <c r="N32" s="340"/>
      <c r="O32" s="340"/>
      <c r="P32" s="340"/>
      <c r="Q32" s="342"/>
      <c r="R32" s="409"/>
      <c r="S32" s="405"/>
      <c r="T32" s="342"/>
      <c r="U32" s="342"/>
      <c r="V32" s="409"/>
    </row>
    <row r="33" spans="1:22">
      <c r="A33" s="449" t="s">
        <v>30</v>
      </c>
      <c r="B33" s="427">
        <v>244.88958333333369</v>
      </c>
      <c r="C33" s="476">
        <f t="shared" si="0"/>
        <v>5.1104166666663104</v>
      </c>
      <c r="D33" s="427">
        <v>250</v>
      </c>
      <c r="L33" s="409"/>
      <c r="M33" s="340"/>
      <c r="N33" s="340"/>
      <c r="O33" s="342"/>
      <c r="P33" s="342"/>
      <c r="Q33" s="342"/>
      <c r="R33" s="409"/>
      <c r="S33" s="409"/>
      <c r="T33" s="342"/>
      <c r="U33" s="342"/>
      <c r="V33" s="409"/>
    </row>
    <row r="34" spans="1:22" ht="15.75" thickBot="1">
      <c r="A34" s="463" t="s">
        <v>31</v>
      </c>
      <c r="B34" s="430">
        <v>88.939583333333559</v>
      </c>
      <c r="C34" s="477">
        <f t="shared" si="0"/>
        <v>11.060416666666441</v>
      </c>
      <c r="D34" s="430">
        <v>100</v>
      </c>
      <c r="L34" s="409"/>
      <c r="M34" s="342"/>
      <c r="N34" s="342"/>
      <c r="O34" s="342"/>
      <c r="P34" s="342"/>
      <c r="Q34" s="342"/>
      <c r="R34" s="409"/>
      <c r="S34" s="409"/>
      <c r="T34" s="409"/>
      <c r="U34" s="409"/>
      <c r="V34" s="320"/>
    </row>
    <row r="35" spans="1:22" ht="15.75" thickBot="1">
      <c r="A35" s="467" t="s">
        <v>598</v>
      </c>
      <c r="B35" s="468">
        <f>SUM(B4:B34)</f>
        <v>14302.375833333335</v>
      </c>
      <c r="C35" s="478">
        <f>SUM(C4:C34)</f>
        <v>2597.6241666666638</v>
      </c>
      <c r="D35" s="469">
        <f>SUM(D4:D34)</f>
        <v>16900</v>
      </c>
      <c r="L35" s="409"/>
      <c r="M35" s="342"/>
      <c r="N35" s="340"/>
      <c r="O35" s="342"/>
      <c r="P35" s="342"/>
      <c r="Q35" s="342"/>
      <c r="R35" s="409"/>
      <c r="S35" s="409"/>
      <c r="T35" s="409"/>
      <c r="U35" s="409"/>
      <c r="V35" s="320"/>
    </row>
    <row r="36" spans="1:22">
      <c r="L36" s="409"/>
      <c r="M36" s="342"/>
      <c r="N36" s="340"/>
      <c r="O36" s="342"/>
      <c r="P36" s="342"/>
      <c r="Q36" s="342"/>
      <c r="R36" s="409"/>
      <c r="S36" s="18"/>
      <c r="T36" s="18"/>
      <c r="U36" s="409"/>
      <c r="V36" s="320"/>
    </row>
    <row r="37" spans="1:22">
      <c r="L37" s="409"/>
      <c r="M37" s="342"/>
      <c r="N37" s="342"/>
      <c r="O37" s="342"/>
      <c r="P37" s="342"/>
      <c r="Q37" s="342"/>
      <c r="R37" s="409"/>
      <c r="S37" s="409"/>
      <c r="T37" s="306"/>
      <c r="U37" s="409"/>
      <c r="V37" s="320"/>
    </row>
    <row r="38" spans="1:22">
      <c r="L38" s="405"/>
      <c r="M38" s="342"/>
      <c r="N38" s="342"/>
      <c r="O38" s="342"/>
      <c r="P38" s="342"/>
      <c r="Q38" s="342"/>
      <c r="R38" s="407"/>
      <c r="S38" s="409"/>
      <c r="T38" s="306"/>
      <c r="U38" s="409"/>
      <c r="V38" s="320"/>
    </row>
    <row r="39" spans="1:22">
      <c r="L39" s="405"/>
      <c r="M39" s="409"/>
      <c r="N39" s="409"/>
      <c r="O39" s="409"/>
      <c r="P39" s="409"/>
      <c r="Q39" s="409"/>
      <c r="R39" s="405"/>
      <c r="S39" s="409"/>
      <c r="T39" s="306"/>
      <c r="U39" s="409"/>
      <c r="V39" s="320"/>
    </row>
    <row r="40" spans="1:22">
      <c r="L40" s="405"/>
      <c r="M40" s="409"/>
      <c r="N40" s="409"/>
      <c r="O40" s="409"/>
      <c r="P40" s="409"/>
      <c r="Q40" s="409"/>
      <c r="R40" s="405"/>
      <c r="S40" s="409"/>
      <c r="T40" s="306"/>
      <c r="U40" s="409"/>
      <c r="V40" s="320"/>
    </row>
    <row r="41" spans="1:22">
      <c r="L41" s="306"/>
      <c r="M41" s="320"/>
      <c r="N41" s="320"/>
      <c r="O41" s="320"/>
      <c r="P41" s="306"/>
      <c r="Q41" s="306"/>
      <c r="R41" s="306"/>
      <c r="S41" s="306"/>
      <c r="T41" s="306"/>
      <c r="U41" s="306"/>
      <c r="V41" s="306"/>
    </row>
    <row r="42" spans="1:22"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</row>
    <row r="43" spans="1:22"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</row>
    <row r="44" spans="1:22"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</row>
    <row r="45" spans="1:22"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</row>
  </sheetData>
  <mergeCells count="4">
    <mergeCell ref="L24:R24"/>
    <mergeCell ref="A1:D2"/>
    <mergeCell ref="L3:R3"/>
    <mergeCell ref="G2:I3"/>
  </mergeCells>
  <conditionalFormatting sqref="M26:R37">
    <cfRule type="cellIs" dxfId="3" priority="4" operator="greaterThan">
      <formula>0</formula>
    </cfRule>
  </conditionalFormatting>
  <conditionalFormatting sqref="R5:R16">
    <cfRule type="cellIs" dxfId="2" priority="3" operator="greaterThan">
      <formula>0</formula>
    </cfRule>
  </conditionalFormatting>
  <conditionalFormatting sqref="M5:Q1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90"/>
  <sheetViews>
    <sheetView topLeftCell="A39" zoomScale="110" zoomScaleNormal="110" workbookViewId="0">
      <selection activeCell="E63" sqref="E63"/>
    </sheetView>
  </sheetViews>
  <sheetFormatPr defaultRowHeight="15"/>
  <cols>
    <col min="2" max="2" width="38.5703125" customWidth="1"/>
    <col min="3" max="3" width="24.7109375" customWidth="1"/>
    <col min="4" max="4" width="22.42578125" customWidth="1"/>
    <col min="7" max="7" width="21.140625" customWidth="1"/>
    <col min="8" max="8" width="23.85546875" customWidth="1"/>
    <col min="9" max="9" width="22.7109375" customWidth="1"/>
    <col min="13" max="13" width="20.85546875" customWidth="1"/>
    <col min="14" max="14" width="20.140625" customWidth="1"/>
    <col min="16" max="16" width="14" customWidth="1"/>
    <col min="17" max="17" width="23.85546875" customWidth="1"/>
    <col min="18" max="18" width="25.42578125" customWidth="1"/>
    <col min="19" max="19" width="17.85546875" customWidth="1"/>
  </cols>
  <sheetData>
    <row r="3" spans="2:22">
      <c r="F3" s="260"/>
      <c r="G3" s="260"/>
      <c r="H3" s="260"/>
    </row>
    <row r="4" spans="2:22">
      <c r="B4" s="510"/>
      <c r="C4" s="510"/>
      <c r="D4" s="510"/>
      <c r="E4" s="260"/>
      <c r="F4" s="510"/>
      <c r="G4" s="510"/>
      <c r="H4" s="371"/>
      <c r="I4" s="260"/>
      <c r="J4" s="260"/>
      <c r="K4" s="260"/>
      <c r="L4" s="372"/>
      <c r="M4" s="309"/>
      <c r="N4" s="372"/>
      <c r="O4" s="260"/>
      <c r="P4" s="260"/>
      <c r="Q4" s="260"/>
      <c r="R4" s="260"/>
      <c r="S4" s="260"/>
    </row>
    <row r="5" spans="2:22">
      <c r="B5" s="372"/>
      <c r="C5" s="372"/>
      <c r="D5" s="372"/>
      <c r="E5" s="260"/>
      <c r="F5" s="372"/>
      <c r="G5" s="372"/>
      <c r="H5" s="372"/>
      <c r="I5" s="260"/>
      <c r="J5" s="260"/>
      <c r="K5" s="260"/>
      <c r="L5" s="585"/>
      <c r="M5" s="585"/>
      <c r="N5" s="585"/>
      <c r="O5" s="260"/>
      <c r="P5" s="372"/>
      <c r="Q5" s="309"/>
      <c r="R5" s="372"/>
      <c r="S5" s="260"/>
    </row>
    <row r="6" spans="2:22">
      <c r="B6" s="312" t="s">
        <v>538</v>
      </c>
      <c r="C6" s="312" t="s">
        <v>549</v>
      </c>
      <c r="D6" s="312" t="s">
        <v>550</v>
      </c>
      <c r="E6" s="260"/>
      <c r="F6" s="371"/>
      <c r="G6" s="372"/>
      <c r="H6" s="372"/>
      <c r="I6" s="372"/>
      <c r="J6" s="372"/>
      <c r="K6" s="372"/>
      <c r="L6" s="372"/>
      <c r="M6" s="372"/>
      <c r="N6" s="372"/>
      <c r="O6" s="260"/>
      <c r="P6" s="585"/>
      <c r="Q6" s="585"/>
      <c r="R6" s="585"/>
      <c r="S6" s="260"/>
      <c r="T6" s="314"/>
      <c r="U6" s="314"/>
      <c r="V6" s="314"/>
    </row>
    <row r="7" spans="2:22">
      <c r="B7" s="311" t="s">
        <v>545</v>
      </c>
      <c r="C7" s="311">
        <v>7250</v>
      </c>
      <c r="D7" s="311">
        <v>754.51610000000005</v>
      </c>
      <c r="E7" s="260"/>
      <c r="F7" s="372"/>
      <c r="G7" s="510"/>
      <c r="H7" s="510"/>
      <c r="I7" s="510"/>
      <c r="J7" s="371"/>
      <c r="K7" s="371"/>
      <c r="L7" s="371"/>
      <c r="M7" s="371"/>
      <c r="N7" s="371"/>
      <c r="O7" s="260"/>
      <c r="P7" s="372"/>
      <c r="Q7" s="372"/>
      <c r="R7" s="372"/>
      <c r="S7" s="260"/>
      <c r="T7" s="314"/>
      <c r="U7" s="314"/>
      <c r="V7" s="314"/>
    </row>
    <row r="8" spans="2:22">
      <c r="B8" s="311" t="s">
        <v>544</v>
      </c>
      <c r="C8" s="311">
        <v>800</v>
      </c>
      <c r="D8" s="311">
        <v>107.73779999999999</v>
      </c>
      <c r="E8" s="260"/>
      <c r="F8" s="372"/>
      <c r="G8" s="372"/>
      <c r="H8" s="372"/>
      <c r="I8" s="372"/>
      <c r="J8" s="372"/>
      <c r="K8" s="372"/>
      <c r="L8" s="372"/>
      <c r="M8" s="372"/>
      <c r="N8" s="372"/>
      <c r="O8" s="260"/>
      <c r="P8" s="371"/>
      <c r="Q8" s="371"/>
      <c r="R8" s="371"/>
      <c r="S8" s="260"/>
      <c r="T8" s="313"/>
      <c r="U8" s="313"/>
      <c r="V8" s="313"/>
    </row>
    <row r="9" spans="2:22">
      <c r="B9" s="311" t="s">
        <v>520</v>
      </c>
      <c r="C9" s="311">
        <v>1050</v>
      </c>
      <c r="D9" s="311">
        <v>139.10669999999999</v>
      </c>
      <c r="E9" s="260"/>
      <c r="F9" s="372"/>
      <c r="G9" s="371"/>
      <c r="H9" s="371"/>
      <c r="I9" s="371"/>
      <c r="J9" s="371"/>
      <c r="K9" s="371"/>
      <c r="L9" s="372"/>
      <c r="M9" s="372"/>
      <c r="N9" s="372"/>
      <c r="O9" s="260"/>
      <c r="P9" s="372"/>
      <c r="Q9" s="372"/>
      <c r="R9" s="372"/>
      <c r="S9" s="260"/>
      <c r="T9" s="314"/>
      <c r="U9" s="314"/>
      <c r="V9" s="314"/>
    </row>
    <row r="10" spans="2:22">
      <c r="B10" s="311" t="s">
        <v>546</v>
      </c>
      <c r="C10" s="311">
        <v>4150</v>
      </c>
      <c r="D10" s="311">
        <v>448.04039999999998</v>
      </c>
      <c r="E10" s="260"/>
      <c r="F10" s="372"/>
      <c r="G10" s="372"/>
      <c r="H10" s="372"/>
      <c r="I10" s="372"/>
      <c r="J10" s="372"/>
      <c r="K10" s="372"/>
      <c r="L10" s="372"/>
      <c r="M10" s="372"/>
      <c r="N10" s="372"/>
      <c r="O10" s="260"/>
      <c r="P10" s="372"/>
      <c r="Q10" s="372"/>
      <c r="R10" s="372"/>
      <c r="S10" s="260"/>
      <c r="T10" s="314"/>
      <c r="U10" s="314"/>
      <c r="V10" s="314"/>
    </row>
    <row r="11" spans="2:22">
      <c r="B11" s="311" t="s">
        <v>547</v>
      </c>
      <c r="C11" s="311">
        <v>2500</v>
      </c>
      <c r="D11" s="311">
        <v>309.72460000000001</v>
      </c>
      <c r="E11" s="260"/>
      <c r="F11" s="372"/>
      <c r="G11" s="372"/>
      <c r="H11" s="372"/>
      <c r="I11" s="372"/>
      <c r="J11" s="372"/>
      <c r="K11" s="372"/>
      <c r="L11" s="372"/>
      <c r="M11" s="372"/>
      <c r="N11" s="372"/>
      <c r="O11" s="260"/>
      <c r="P11" s="372"/>
      <c r="Q11" s="372"/>
      <c r="R11" s="372"/>
      <c r="S11" s="260"/>
      <c r="T11" s="314"/>
      <c r="U11" s="314"/>
      <c r="V11" s="314"/>
    </row>
    <row r="12" spans="2:22">
      <c r="B12" s="311" t="s">
        <v>548</v>
      </c>
      <c r="C12" s="311">
        <v>5600</v>
      </c>
      <c r="D12" s="311">
        <v>603.42280000000005</v>
      </c>
      <c r="E12" s="260"/>
      <c r="F12" s="372"/>
      <c r="G12" s="372"/>
      <c r="H12" s="372"/>
      <c r="I12" s="372"/>
      <c r="J12" s="372"/>
      <c r="K12" s="372"/>
      <c r="L12" s="372"/>
      <c r="M12" s="372"/>
      <c r="N12" s="372"/>
      <c r="O12" s="260"/>
      <c r="P12" s="372"/>
      <c r="Q12" s="372"/>
      <c r="R12" s="372"/>
      <c r="S12" s="260"/>
      <c r="T12" s="314"/>
      <c r="U12" s="314"/>
      <c r="V12" s="314"/>
    </row>
    <row r="13" spans="2:22">
      <c r="B13" s="311" t="s">
        <v>539</v>
      </c>
      <c r="C13" s="311">
        <v>1650</v>
      </c>
      <c r="D13" s="311">
        <v>204.5823</v>
      </c>
      <c r="E13" s="260"/>
      <c r="F13" s="372"/>
      <c r="G13" s="372"/>
      <c r="H13" s="372"/>
      <c r="I13" s="372"/>
      <c r="J13" s="372"/>
      <c r="K13" s="372"/>
      <c r="L13" s="372"/>
      <c r="M13" s="372"/>
      <c r="N13" s="372"/>
      <c r="O13" s="260"/>
      <c r="P13" s="372"/>
      <c r="Q13" s="372"/>
      <c r="R13" s="372"/>
      <c r="S13" s="260"/>
      <c r="T13" s="314"/>
      <c r="U13" s="314"/>
      <c r="V13" s="314"/>
    </row>
    <row r="14" spans="2:22">
      <c r="B14" s="311" t="s">
        <v>540</v>
      </c>
      <c r="C14" s="311">
        <v>1050</v>
      </c>
      <c r="D14" s="311">
        <v>139.10669999999999</v>
      </c>
      <c r="E14" s="260"/>
      <c r="F14" s="372"/>
      <c r="G14" s="372"/>
      <c r="H14" s="372"/>
      <c r="I14" s="372"/>
      <c r="J14" s="372"/>
      <c r="K14" s="372"/>
      <c r="L14" s="372"/>
      <c r="M14" s="372"/>
      <c r="N14" s="372"/>
      <c r="O14" s="260"/>
      <c r="P14" s="18"/>
      <c r="Q14" s="18"/>
      <c r="R14" s="260"/>
      <c r="S14" s="260"/>
      <c r="T14" s="314"/>
      <c r="U14" s="314"/>
      <c r="V14" s="314"/>
    </row>
    <row r="15" spans="2:22">
      <c r="B15" s="311" t="s">
        <v>541</v>
      </c>
      <c r="C15" s="311">
        <v>800</v>
      </c>
      <c r="D15" s="311">
        <v>107.73779999999999</v>
      </c>
      <c r="E15" s="260"/>
      <c r="F15" s="18"/>
      <c r="G15" s="18"/>
      <c r="H15" s="18"/>
      <c r="I15" s="372"/>
      <c r="J15" s="372"/>
      <c r="K15" s="372"/>
      <c r="L15" s="372"/>
      <c r="M15" s="372"/>
      <c r="N15" s="372"/>
      <c r="O15" s="260"/>
      <c r="P15" s="18"/>
      <c r="Q15" s="18"/>
      <c r="R15" s="260"/>
      <c r="S15" s="260"/>
      <c r="T15" s="314"/>
      <c r="U15" s="314"/>
      <c r="V15" s="314"/>
    </row>
    <row r="16" spans="2:22">
      <c r="B16" s="311" t="s">
        <v>542</v>
      </c>
      <c r="C16" s="311">
        <v>200</v>
      </c>
      <c r="D16" s="311">
        <v>30</v>
      </c>
      <c r="E16" s="260"/>
      <c r="F16" s="18"/>
      <c r="G16" s="18"/>
      <c r="H16" s="18"/>
      <c r="I16" s="260"/>
      <c r="J16" s="260"/>
      <c r="K16" s="260"/>
      <c r="L16" s="372"/>
      <c r="M16" s="372"/>
      <c r="N16" s="260"/>
      <c r="O16" s="260"/>
      <c r="P16" s="260"/>
      <c r="Q16" s="260"/>
      <c r="R16" s="260"/>
      <c r="S16" s="260"/>
      <c r="T16" s="314"/>
      <c r="U16" s="314"/>
      <c r="V16" s="314"/>
    </row>
    <row r="17" spans="2:22">
      <c r="B17" s="311" t="s">
        <v>543</v>
      </c>
      <c r="C17" s="311">
        <v>0</v>
      </c>
      <c r="D17" s="311">
        <v>0</v>
      </c>
      <c r="E17" s="260"/>
      <c r="F17" s="372"/>
      <c r="G17" s="260"/>
      <c r="H17" s="260"/>
      <c r="I17" s="260"/>
      <c r="J17" s="260"/>
      <c r="K17" s="260"/>
      <c r="L17" s="372"/>
      <c r="M17" s="372"/>
      <c r="N17" s="260"/>
      <c r="O17" s="260"/>
      <c r="P17" s="260"/>
      <c r="Q17" s="260"/>
      <c r="R17" s="260"/>
      <c r="S17" s="260"/>
      <c r="T17" s="314"/>
      <c r="U17" s="314"/>
      <c r="V17" s="314"/>
    </row>
    <row r="18" spans="2:22">
      <c r="B18" s="311" t="s">
        <v>561</v>
      </c>
      <c r="C18" s="311">
        <v>0</v>
      </c>
      <c r="D18" s="311">
        <v>0</v>
      </c>
      <c r="E18" s="260"/>
      <c r="F18" s="260"/>
      <c r="G18" s="510"/>
      <c r="H18" s="510"/>
      <c r="I18" s="510"/>
      <c r="J18" s="260"/>
      <c r="K18" s="260"/>
      <c r="L18" s="372"/>
      <c r="M18" s="372"/>
      <c r="N18" s="260"/>
      <c r="O18" s="260"/>
      <c r="P18" s="260"/>
      <c r="Q18" s="260"/>
      <c r="R18" s="260"/>
      <c r="S18" s="260"/>
      <c r="T18" s="314"/>
      <c r="U18" s="314"/>
      <c r="V18" s="314"/>
    </row>
    <row r="19" spans="2:22">
      <c r="B19" s="311" t="s">
        <v>560</v>
      </c>
      <c r="C19" s="311">
        <v>0</v>
      </c>
      <c r="D19" s="311">
        <v>0</v>
      </c>
      <c r="E19" s="260"/>
      <c r="F19" s="260"/>
      <c r="G19" s="372"/>
      <c r="H19" s="372"/>
      <c r="I19" s="372"/>
      <c r="J19" s="260"/>
      <c r="K19" s="260"/>
      <c r="L19" s="372"/>
      <c r="M19" s="372"/>
      <c r="N19" s="260"/>
      <c r="O19" s="260"/>
      <c r="P19" s="260"/>
      <c r="Q19" s="372"/>
      <c r="R19" s="309"/>
      <c r="S19" s="372"/>
      <c r="T19" s="314"/>
      <c r="U19" s="314"/>
      <c r="V19" s="314"/>
    </row>
    <row r="20" spans="2:22">
      <c r="B20" s="311" t="s">
        <v>563</v>
      </c>
      <c r="C20" s="311">
        <v>0</v>
      </c>
      <c r="D20" s="311">
        <v>0</v>
      </c>
      <c r="E20" s="260"/>
      <c r="F20" s="260"/>
      <c r="G20" s="371"/>
      <c r="H20" s="371"/>
      <c r="I20" s="371"/>
      <c r="J20" s="260"/>
      <c r="K20" s="260"/>
      <c r="L20" s="372"/>
      <c r="M20" s="372"/>
      <c r="N20" s="260"/>
      <c r="O20" s="260"/>
      <c r="P20" s="260"/>
      <c r="Q20" s="585"/>
      <c r="R20" s="585"/>
      <c r="S20" s="372"/>
      <c r="T20" s="314"/>
      <c r="U20" s="314"/>
      <c r="V20" s="314"/>
    </row>
    <row r="21" spans="2:22">
      <c r="B21" s="311" t="s">
        <v>562</v>
      </c>
      <c r="C21" s="311">
        <v>0</v>
      </c>
      <c r="D21" s="311">
        <v>0</v>
      </c>
      <c r="E21" s="260"/>
      <c r="F21" s="260"/>
      <c r="G21" s="372"/>
      <c r="H21" s="372"/>
      <c r="I21" s="372"/>
      <c r="J21" s="260"/>
      <c r="K21" s="260"/>
      <c r="L21" s="372"/>
      <c r="M21" s="372"/>
      <c r="N21" s="260"/>
      <c r="O21" s="260"/>
      <c r="P21" s="260"/>
      <c r="Q21" s="372"/>
      <c r="R21" s="372"/>
      <c r="S21" s="372"/>
      <c r="T21" s="314"/>
      <c r="U21" s="314"/>
      <c r="V21" s="314"/>
    </row>
    <row r="22" spans="2:22">
      <c r="B22" s="372"/>
      <c r="C22" s="372"/>
      <c r="D22" s="372"/>
      <c r="E22" s="260"/>
      <c r="F22" s="260"/>
      <c r="G22" s="372"/>
      <c r="H22" s="372"/>
      <c r="I22" s="372"/>
      <c r="J22" s="260"/>
      <c r="K22" s="260"/>
      <c r="L22" s="372"/>
      <c r="M22" s="372"/>
      <c r="N22" s="260"/>
      <c r="O22" s="260"/>
      <c r="P22" s="260"/>
      <c r="Q22" s="372"/>
      <c r="R22" s="309"/>
      <c r="S22" s="372"/>
      <c r="T22" s="314"/>
      <c r="U22" s="314"/>
      <c r="V22" s="314"/>
    </row>
    <row r="23" spans="2:22">
      <c r="B23" s="18"/>
      <c r="C23" s="372"/>
      <c r="D23" s="372"/>
      <c r="E23" s="260"/>
      <c r="F23" s="260"/>
      <c r="G23" s="372"/>
      <c r="H23" s="372"/>
      <c r="I23" s="372"/>
      <c r="J23" s="260"/>
      <c r="K23" s="260"/>
      <c r="L23" s="372"/>
      <c r="M23" s="372"/>
      <c r="N23" s="260"/>
      <c r="O23" s="260"/>
      <c r="P23" s="260"/>
      <c r="Q23" s="585"/>
      <c r="R23" s="585"/>
      <c r="S23" s="585"/>
      <c r="T23" s="314"/>
      <c r="U23" s="314"/>
      <c r="V23" s="314"/>
    </row>
    <row r="24" spans="2:22">
      <c r="B24" s="18"/>
      <c r="C24" s="372"/>
      <c r="D24" s="372"/>
      <c r="E24" s="260"/>
      <c r="F24" s="260"/>
      <c r="G24" s="372"/>
      <c r="H24" s="372"/>
      <c r="I24" s="372"/>
      <c r="J24" s="260"/>
      <c r="K24" s="260"/>
      <c r="L24" s="18"/>
      <c r="M24" s="18"/>
      <c r="N24" s="372"/>
      <c r="O24" s="260"/>
      <c r="P24" s="260"/>
      <c r="Q24" s="372"/>
      <c r="R24" s="372"/>
      <c r="S24" s="372"/>
      <c r="T24" s="314"/>
      <c r="U24" s="314"/>
      <c r="V24" s="314"/>
    </row>
    <row r="25" spans="2:22">
      <c r="B25" s="260"/>
      <c r="C25" s="260"/>
      <c r="D25" s="260"/>
      <c r="E25" s="260"/>
      <c r="F25" s="260"/>
      <c r="G25" s="372"/>
      <c r="H25" s="372"/>
      <c r="I25" s="372"/>
      <c r="J25" s="260"/>
      <c r="K25" s="260"/>
      <c r="L25" s="18"/>
      <c r="M25" s="18"/>
      <c r="N25" s="372"/>
      <c r="O25" s="260"/>
      <c r="P25" s="260"/>
      <c r="Q25" s="371"/>
      <c r="R25" s="371"/>
      <c r="S25" s="371"/>
      <c r="T25" s="18"/>
      <c r="U25" s="18"/>
      <c r="V25" s="314"/>
    </row>
    <row r="26" spans="2:22">
      <c r="B26" s="510"/>
      <c r="C26" s="510"/>
      <c r="D26" s="510"/>
      <c r="E26" s="260"/>
      <c r="F26" s="260"/>
      <c r="G26" s="18"/>
      <c r="H26" s="18"/>
      <c r="I26" s="372"/>
      <c r="J26" s="260"/>
      <c r="K26" s="260"/>
      <c r="L26" s="260"/>
      <c r="M26" s="260"/>
      <c r="N26" s="260"/>
      <c r="O26" s="260"/>
      <c r="P26" s="260"/>
      <c r="Q26" s="372"/>
      <c r="R26" s="372"/>
      <c r="S26" s="372"/>
      <c r="T26" s="18"/>
      <c r="U26" s="18"/>
      <c r="V26" s="314"/>
    </row>
    <row r="27" spans="2:22">
      <c r="B27" s="372"/>
      <c r="C27" s="309"/>
      <c r="D27" s="372"/>
      <c r="E27" s="260"/>
      <c r="F27" s="260"/>
      <c r="G27" s="18"/>
      <c r="H27" s="18"/>
      <c r="I27" s="372"/>
      <c r="J27" s="260"/>
      <c r="K27" s="260"/>
      <c r="L27" s="260"/>
      <c r="M27" s="260"/>
      <c r="N27" s="260"/>
      <c r="O27" s="260"/>
      <c r="P27" s="260"/>
      <c r="Q27" s="372"/>
      <c r="R27" s="372"/>
      <c r="S27" s="372"/>
    </row>
    <row r="28" spans="2:22">
      <c r="B28" s="11"/>
      <c r="C28" s="11"/>
      <c r="D28" s="11"/>
      <c r="E28" s="260"/>
      <c r="G28" s="250"/>
      <c r="H28" s="250"/>
      <c r="I28" s="20"/>
      <c r="J28" s="306"/>
      <c r="Q28" s="372"/>
      <c r="R28" s="372"/>
      <c r="S28" s="372"/>
    </row>
    <row r="29" spans="2:22">
      <c r="B29" s="11"/>
      <c r="C29" s="11"/>
      <c r="D29" s="11"/>
      <c r="E29" s="260"/>
      <c r="Q29" s="372"/>
      <c r="R29" s="372"/>
      <c r="S29" s="372"/>
    </row>
    <row r="30" spans="2:22">
      <c r="B30" s="378"/>
      <c r="C30" s="378"/>
      <c r="D30" s="378"/>
      <c r="E30" s="260"/>
      <c r="F30" s="260"/>
      <c r="G30" s="260"/>
      <c r="H30" s="260"/>
      <c r="I30" s="260"/>
      <c r="Q30" s="372"/>
      <c r="R30" s="372"/>
      <c r="S30" s="372"/>
    </row>
    <row r="31" spans="2:22">
      <c r="B31" s="381"/>
      <c r="C31" s="381"/>
      <c r="D31" s="381"/>
      <c r="E31" s="260"/>
      <c r="F31" s="260"/>
      <c r="G31" s="260"/>
      <c r="H31" s="260"/>
      <c r="I31" s="260"/>
      <c r="Q31" s="372"/>
      <c r="R31" s="372"/>
      <c r="S31" s="372"/>
    </row>
    <row r="32" spans="2:22">
      <c r="B32" s="378"/>
      <c r="C32" s="378"/>
      <c r="D32" s="381"/>
      <c r="E32" s="260"/>
      <c r="F32" s="260"/>
      <c r="G32" s="260"/>
      <c r="H32" s="260"/>
      <c r="I32" s="260"/>
      <c r="Q32" s="372"/>
      <c r="R32" s="372"/>
      <c r="S32" s="372"/>
    </row>
    <row r="33" spans="2:19">
      <c r="B33" s="260"/>
      <c r="C33" s="260"/>
      <c r="D33" s="260"/>
      <c r="G33" s="409"/>
      <c r="H33" s="409"/>
      <c r="I33" s="409"/>
      <c r="J33" s="306"/>
      <c r="Q33" s="372"/>
      <c r="R33" s="372"/>
      <c r="S33" s="372"/>
    </row>
    <row r="34" spans="2:19">
      <c r="B34" s="368"/>
      <c r="C34" s="368"/>
      <c r="D34" s="368"/>
      <c r="E34" s="260"/>
      <c r="G34" s="409"/>
      <c r="H34" s="409"/>
      <c r="I34" s="409"/>
      <c r="J34" s="306"/>
      <c r="Q34" s="372"/>
      <c r="R34" s="372"/>
      <c r="S34" s="372"/>
    </row>
    <row r="35" spans="2:19">
      <c r="B35" s="405"/>
      <c r="C35" s="405"/>
      <c r="D35" s="405"/>
      <c r="G35" s="409"/>
      <c r="H35" s="409"/>
      <c r="I35" s="409"/>
      <c r="Q35" s="372"/>
      <c r="R35" s="372"/>
      <c r="S35" s="372"/>
    </row>
    <row r="36" spans="2:19">
      <c r="B36" s="409"/>
      <c r="C36" s="409"/>
      <c r="D36" s="409"/>
      <c r="G36" s="409"/>
      <c r="H36" s="409"/>
      <c r="I36" s="409"/>
      <c r="Q36" s="372"/>
      <c r="R36" s="372"/>
      <c r="S36" s="372"/>
    </row>
    <row r="37" spans="2:19">
      <c r="B37" s="409"/>
      <c r="C37" s="409"/>
      <c r="D37" s="409"/>
      <c r="G37" s="409"/>
      <c r="H37" s="409"/>
      <c r="I37" s="409"/>
      <c r="Q37" s="372"/>
      <c r="R37" s="372"/>
      <c r="S37" s="353"/>
    </row>
    <row r="38" spans="2:19">
      <c r="B38" s="409"/>
      <c r="C38" s="409"/>
      <c r="D38" s="409"/>
      <c r="G38" s="409"/>
      <c r="H38" s="409"/>
      <c r="I38" s="409"/>
      <c r="Q38" s="372"/>
      <c r="R38" s="372"/>
      <c r="S38" s="353"/>
    </row>
    <row r="39" spans="2:19">
      <c r="B39" s="409"/>
      <c r="C39" s="409"/>
      <c r="D39" s="409"/>
      <c r="G39" s="409"/>
      <c r="H39" s="409"/>
      <c r="I39" s="409"/>
      <c r="Q39" s="372"/>
      <c r="R39" s="372"/>
      <c r="S39" s="353"/>
    </row>
    <row r="40" spans="2:19">
      <c r="B40" s="18"/>
      <c r="C40" s="18"/>
      <c r="D40" s="409"/>
      <c r="G40" s="409"/>
      <c r="H40" s="409"/>
      <c r="I40" s="409"/>
      <c r="Q40" s="372"/>
      <c r="R40" s="372"/>
      <c r="S40" s="353"/>
    </row>
    <row r="41" spans="2:19">
      <c r="B41" s="312" t="s">
        <v>538</v>
      </c>
      <c r="C41" s="312" t="s">
        <v>564</v>
      </c>
      <c r="D41" s="312" t="s">
        <v>565</v>
      </c>
      <c r="E41" s="312" t="s">
        <v>566</v>
      </c>
      <c r="Q41" s="372"/>
      <c r="R41" s="372"/>
      <c r="S41" s="353"/>
    </row>
    <row r="42" spans="2:19">
      <c r="B42" s="311" t="s">
        <v>545</v>
      </c>
      <c r="C42" s="311">
        <v>39100</v>
      </c>
      <c r="D42" s="311">
        <v>7250</v>
      </c>
      <c r="E42" s="311">
        <f>SUM(C42:D42)</f>
        <v>46350</v>
      </c>
      <c r="Q42" s="372"/>
      <c r="R42" s="372"/>
      <c r="S42" s="353"/>
    </row>
    <row r="43" spans="2:19">
      <c r="B43" s="311" t="s">
        <v>544</v>
      </c>
      <c r="C43" s="311">
        <v>39100</v>
      </c>
      <c r="D43" s="311">
        <v>800</v>
      </c>
      <c r="E43" s="311">
        <v>39900</v>
      </c>
      <c r="Q43" s="18"/>
      <c r="R43" s="18"/>
      <c r="S43" s="353"/>
    </row>
    <row r="44" spans="2:19">
      <c r="B44" s="311" t="s">
        <v>520</v>
      </c>
      <c r="C44" s="311">
        <v>39100</v>
      </c>
      <c r="D44" s="311">
        <v>1050</v>
      </c>
      <c r="E44" s="311">
        <v>40150</v>
      </c>
      <c r="Q44" s="18"/>
      <c r="R44" s="18"/>
      <c r="S44" s="353"/>
    </row>
    <row r="45" spans="2:19">
      <c r="B45" s="311" t="s">
        <v>546</v>
      </c>
      <c r="C45" s="311">
        <v>39100</v>
      </c>
      <c r="D45" s="311">
        <v>4150</v>
      </c>
      <c r="E45" s="311">
        <v>43250</v>
      </c>
      <c r="Q45" s="260"/>
      <c r="R45" s="260"/>
      <c r="S45" s="260"/>
    </row>
    <row r="46" spans="2:19">
      <c r="B46" s="311" t="s">
        <v>547</v>
      </c>
      <c r="C46" s="311">
        <v>39100</v>
      </c>
      <c r="D46" s="311">
        <v>2500</v>
      </c>
      <c r="E46" s="311">
        <v>41600</v>
      </c>
      <c r="Q46" s="260"/>
      <c r="R46" s="260"/>
      <c r="S46" s="260"/>
    </row>
    <row r="47" spans="2:19">
      <c r="B47" s="311" t="s">
        <v>548</v>
      </c>
      <c r="C47" s="311">
        <v>39100</v>
      </c>
      <c r="D47" s="311">
        <v>5600</v>
      </c>
      <c r="E47" s="311">
        <v>44700</v>
      </c>
      <c r="Q47" s="260"/>
      <c r="R47" s="260"/>
      <c r="S47" s="260"/>
    </row>
    <row r="48" spans="2:19">
      <c r="B48" s="311" t="s">
        <v>539</v>
      </c>
      <c r="C48" s="311">
        <v>39100</v>
      </c>
      <c r="D48" s="311">
        <v>1650</v>
      </c>
      <c r="E48" s="311">
        <v>40750</v>
      </c>
    </row>
    <row r="49" spans="2:5">
      <c r="B49" s="311" t="s">
        <v>567</v>
      </c>
      <c r="C49" s="311">
        <v>39100</v>
      </c>
      <c r="D49" s="311">
        <v>1050</v>
      </c>
      <c r="E49" s="311">
        <v>40150</v>
      </c>
    </row>
    <row r="50" spans="2:5">
      <c r="B50" s="311" t="s">
        <v>541</v>
      </c>
      <c r="C50" s="311">
        <v>39100</v>
      </c>
      <c r="D50" s="311">
        <v>800</v>
      </c>
      <c r="E50" s="311">
        <v>39900</v>
      </c>
    </row>
    <row r="51" spans="2:5">
      <c r="B51" s="311" t="s">
        <v>542</v>
      </c>
      <c r="C51" s="311">
        <v>39100</v>
      </c>
      <c r="D51" s="311">
        <v>200</v>
      </c>
      <c r="E51" s="311">
        <v>39300</v>
      </c>
    </row>
    <row r="52" spans="2:5">
      <c r="B52" s="311" t="s">
        <v>543</v>
      </c>
      <c r="C52" s="311">
        <v>39100</v>
      </c>
      <c r="D52" s="311">
        <v>0</v>
      </c>
      <c r="E52" s="311">
        <v>39100</v>
      </c>
    </row>
    <row r="53" spans="2:5">
      <c r="B53" s="311" t="s">
        <v>561</v>
      </c>
      <c r="C53" s="311"/>
      <c r="D53" s="311">
        <v>0</v>
      </c>
      <c r="E53" s="311"/>
    </row>
    <row r="54" spans="2:5">
      <c r="B54" s="311" t="s">
        <v>563</v>
      </c>
      <c r="C54" s="311"/>
      <c r="D54" s="311">
        <v>0</v>
      </c>
      <c r="E54" s="311">
        <v>33800</v>
      </c>
    </row>
    <row r="55" spans="2:5">
      <c r="B55" s="311" t="s">
        <v>560</v>
      </c>
      <c r="C55" s="311"/>
      <c r="D55" s="311">
        <v>0</v>
      </c>
      <c r="E55" s="311"/>
    </row>
    <row r="56" spans="2:5">
      <c r="B56" s="311" t="s">
        <v>562</v>
      </c>
      <c r="C56" s="311"/>
      <c r="D56" s="311">
        <v>0</v>
      </c>
      <c r="E56" s="311">
        <v>33800</v>
      </c>
    </row>
    <row r="57" spans="2:5">
      <c r="B57" s="320"/>
      <c r="C57" s="320"/>
      <c r="D57" s="320"/>
    </row>
    <row r="58" spans="2:5">
      <c r="B58" s="408"/>
      <c r="C58" s="320"/>
      <c r="D58" s="320"/>
    </row>
    <row r="59" spans="2:5">
      <c r="B59" s="312" t="s">
        <v>538</v>
      </c>
      <c r="C59" s="312" t="s">
        <v>566</v>
      </c>
      <c r="D59" s="312" t="s">
        <v>550</v>
      </c>
    </row>
    <row r="60" spans="2:5">
      <c r="B60" s="311" t="s">
        <v>545</v>
      </c>
      <c r="C60" s="311">
        <v>46350</v>
      </c>
      <c r="D60" s="311">
        <v>4115</v>
      </c>
    </row>
    <row r="61" spans="2:5">
      <c r="B61" s="311" t="s">
        <v>544</v>
      </c>
      <c r="C61" s="311">
        <v>39900</v>
      </c>
      <c r="D61" s="311">
        <v>3468</v>
      </c>
    </row>
    <row r="62" spans="2:5">
      <c r="B62" s="311" t="s">
        <v>520</v>
      </c>
      <c r="C62" s="311">
        <v>40150</v>
      </c>
      <c r="D62" s="311">
        <v>3500</v>
      </c>
    </row>
    <row r="63" spans="2:5">
      <c r="B63" s="311" t="s">
        <v>546</v>
      </c>
      <c r="C63" s="311">
        <v>43250</v>
      </c>
      <c r="D63" s="311">
        <v>3808</v>
      </c>
    </row>
    <row r="64" spans="2:5">
      <c r="B64" s="311" t="s">
        <v>547</v>
      </c>
      <c r="C64" s="311">
        <v>41600</v>
      </c>
      <c r="D64" s="311">
        <v>3670</v>
      </c>
    </row>
    <row r="65" spans="2:4">
      <c r="B65" s="311" t="s">
        <v>548</v>
      </c>
      <c r="C65" s="311">
        <v>44700</v>
      </c>
      <c r="D65" s="311">
        <v>3964</v>
      </c>
    </row>
    <row r="66" spans="2:4">
      <c r="B66" s="311" t="s">
        <v>539</v>
      </c>
      <c r="C66" s="311">
        <v>40750</v>
      </c>
      <c r="D66" s="311">
        <v>3565</v>
      </c>
    </row>
    <row r="67" spans="2:4">
      <c r="B67" s="311" t="s">
        <v>567</v>
      </c>
      <c r="C67" s="311">
        <v>40150</v>
      </c>
      <c r="D67" s="311">
        <v>3500</v>
      </c>
    </row>
    <row r="68" spans="2:4">
      <c r="B68" s="311" t="s">
        <v>541</v>
      </c>
      <c r="C68" s="311">
        <v>39900</v>
      </c>
      <c r="D68" s="311">
        <v>3468</v>
      </c>
    </row>
    <row r="69" spans="2:4">
      <c r="B69" s="311" t="s">
        <v>542</v>
      </c>
      <c r="C69" s="311">
        <v>39300</v>
      </c>
      <c r="D69" s="311">
        <v>3390</v>
      </c>
    </row>
    <row r="70" spans="2:4">
      <c r="B70" s="311" t="s">
        <v>543</v>
      </c>
      <c r="C70" s="311">
        <v>39100</v>
      </c>
      <c r="D70" s="311">
        <v>3360</v>
      </c>
    </row>
    <row r="71" spans="2:4">
      <c r="B71" s="311" t="s">
        <v>561</v>
      </c>
      <c r="C71" s="311"/>
      <c r="D71" s="311"/>
    </row>
    <row r="72" spans="2:4">
      <c r="B72" s="311" t="s">
        <v>563</v>
      </c>
      <c r="C72" s="311">
        <v>33800</v>
      </c>
      <c r="D72" s="311">
        <v>2204</v>
      </c>
    </row>
    <row r="73" spans="2:4">
      <c r="B73" s="311" t="s">
        <v>560</v>
      </c>
      <c r="C73" s="311"/>
      <c r="D73" s="311"/>
    </row>
    <row r="74" spans="2:4">
      <c r="B74" s="311" t="s">
        <v>562</v>
      </c>
      <c r="C74" s="311">
        <v>33800</v>
      </c>
      <c r="D74" s="311">
        <v>2204</v>
      </c>
    </row>
    <row r="87" spans="7:9">
      <c r="G87" s="409"/>
      <c r="H87" s="409"/>
      <c r="I87" s="409"/>
    </row>
    <row r="88" spans="7:9">
      <c r="G88" s="409"/>
      <c r="H88" s="409"/>
      <c r="I88" s="409"/>
    </row>
    <row r="89" spans="7:9">
      <c r="G89" s="409"/>
      <c r="H89" s="409"/>
      <c r="I89" s="409"/>
    </row>
    <row r="90" spans="7:9">
      <c r="G90" s="409"/>
      <c r="H90" s="409"/>
      <c r="I90" s="409"/>
    </row>
  </sheetData>
  <mergeCells count="9">
    <mergeCell ref="Q23:S23"/>
    <mergeCell ref="B26:D26"/>
    <mergeCell ref="Q20:R20"/>
    <mergeCell ref="B4:D4"/>
    <mergeCell ref="F4:G4"/>
    <mergeCell ref="G7:I7"/>
    <mergeCell ref="L5:N5"/>
    <mergeCell ref="P6:R6"/>
    <mergeCell ref="G18:I18"/>
  </mergeCells>
  <conditionalFormatting sqref="M53:M64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D1" workbookViewId="0">
      <selection activeCell="C3" sqref="C3:N3"/>
    </sheetView>
  </sheetViews>
  <sheetFormatPr defaultRowHeight="1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9"/>
  <sheetViews>
    <sheetView topLeftCell="Z80" zoomScale="120" zoomScaleNormal="120" workbookViewId="0">
      <selection activeCell="AM121" sqref="AM12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26.140625" style="59" customWidth="1"/>
    <col min="14" max="14" width="23.28515625" style="59" customWidth="1"/>
    <col min="15" max="15" width="26.42578125" style="59" customWidth="1"/>
    <col min="16" max="16" width="48.42578125" style="59" customWidth="1"/>
    <col min="17" max="17" width="23" style="58" customWidth="1"/>
    <col min="18" max="18" width="22.85546875" style="5" customWidth="1"/>
    <col min="19" max="19" width="23.7109375" style="5" customWidth="1"/>
    <col min="20" max="20" width="21.5703125" style="5" customWidth="1"/>
    <col min="21" max="21" width="15.42578125" style="5" customWidth="1"/>
    <col min="22" max="24" width="9" style="5"/>
    <col min="25" max="25" width="28.28515625" style="5" customWidth="1"/>
    <col min="26" max="26" width="18.42578125" style="5" customWidth="1"/>
    <col min="27" max="27" width="21.5703125" style="5" customWidth="1"/>
    <col min="28" max="28" width="19.7109375" style="5" customWidth="1"/>
    <col min="29" max="29" width="10.42578125" style="5" customWidth="1"/>
    <col min="30" max="30" width="12" style="5" customWidth="1"/>
    <col min="31" max="16384" width="9" style="5"/>
  </cols>
  <sheetData>
    <row r="1" spans="1:20" ht="14.25" customHeight="1">
      <c r="A1" s="197"/>
      <c r="B1" s="198"/>
      <c r="C1" s="514" t="s">
        <v>452</v>
      </c>
      <c r="D1" s="515"/>
      <c r="E1" s="515"/>
      <c r="F1" s="515"/>
      <c r="G1" s="515"/>
      <c r="H1" s="515"/>
      <c r="I1" s="516"/>
      <c r="J1" s="512" t="s">
        <v>451</v>
      </c>
      <c r="K1" s="513"/>
      <c r="L1" s="513"/>
      <c r="M1" s="513"/>
      <c r="N1" s="513"/>
      <c r="O1" s="508" t="s">
        <v>551</v>
      </c>
      <c r="P1" s="509"/>
      <c r="R1" s="510"/>
      <c r="S1" s="510"/>
      <c r="T1" s="510"/>
    </row>
    <row r="2" spans="1:20" ht="13.5" thickBot="1">
      <c r="A2" s="197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192" t="s">
        <v>446</v>
      </c>
      <c r="K2" s="192" t="s">
        <v>34</v>
      </c>
      <c r="L2" s="192" t="s">
        <v>33</v>
      </c>
      <c r="M2" s="191" t="s">
        <v>502</v>
      </c>
      <c r="N2" s="190" t="s">
        <v>444</v>
      </c>
      <c r="O2" s="189" t="s">
        <v>443</v>
      </c>
      <c r="P2" s="188" t="s">
        <v>442</v>
      </c>
      <c r="R2" s="384"/>
      <c r="S2" s="384"/>
      <c r="T2" s="384"/>
    </row>
    <row r="3" spans="1:20" ht="15" customHeight="1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1" t="s">
        <v>435</v>
      </c>
      <c r="K3" s="181">
        <v>598.85</v>
      </c>
      <c r="L3" s="297">
        <v>300</v>
      </c>
      <c r="M3" s="180">
        <f>H3</f>
        <v>197.93100000000001</v>
      </c>
      <c r="N3" s="179">
        <f>L3-H3</f>
        <v>102.06899999999999</v>
      </c>
      <c r="O3" s="504" t="s">
        <v>351</v>
      </c>
      <c r="P3" s="505"/>
      <c r="R3" s="382"/>
      <c r="S3" s="382"/>
      <c r="T3" s="382"/>
    </row>
    <row r="4" spans="1:20" ht="15" customHeight="1" thickBot="1">
      <c r="A4" s="506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83">
        <v>1.5</v>
      </c>
      <c r="H4" s="183">
        <f t="shared" ref="H4:H56" si="1">G4*F4</f>
        <v>119.63775</v>
      </c>
      <c r="I4" s="175">
        <f t="shared" si="0"/>
        <v>120.2415</v>
      </c>
      <c r="J4" s="174" t="s">
        <v>434</v>
      </c>
      <c r="K4" s="174">
        <v>561.44000000000005</v>
      </c>
      <c r="L4" s="296">
        <v>150</v>
      </c>
      <c r="M4" s="180">
        <f t="shared" ref="M4:M13" si="2">H4</f>
        <v>119.63775</v>
      </c>
      <c r="N4" s="179">
        <f t="shared" ref="N4:N13" si="3">L4-H4</f>
        <v>30.362250000000003</v>
      </c>
      <c r="O4" s="500" t="s">
        <v>351</v>
      </c>
      <c r="P4" s="501"/>
      <c r="R4" s="384"/>
      <c r="S4" s="384"/>
      <c r="T4" s="384"/>
    </row>
    <row r="5" spans="1:20" ht="14.25" customHeight="1" thickBot="1">
      <c r="A5" s="511"/>
      <c r="B5" s="171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183">
        <v>1.5</v>
      </c>
      <c r="H5" s="183">
        <f t="shared" si="1"/>
        <v>152.28555</v>
      </c>
      <c r="I5" s="95">
        <f t="shared" si="0"/>
        <v>198.47629999999998</v>
      </c>
      <c r="J5" s="94" t="s">
        <v>429</v>
      </c>
      <c r="K5" s="94">
        <v>691.82</v>
      </c>
      <c r="L5" s="94">
        <v>300</v>
      </c>
      <c r="M5" s="180">
        <f t="shared" si="2"/>
        <v>152.28555</v>
      </c>
      <c r="N5" s="179">
        <f t="shared" si="3"/>
        <v>147.71445</v>
      </c>
      <c r="O5" s="504"/>
      <c r="P5" s="505"/>
      <c r="R5" s="384"/>
      <c r="S5" s="384"/>
      <c r="T5" s="384"/>
    </row>
    <row r="6" spans="1:20" ht="14.25" customHeight="1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183">
        <v>1.5</v>
      </c>
      <c r="H6" s="183">
        <f t="shared" si="1"/>
        <v>890.08500000000004</v>
      </c>
      <c r="I6" s="85">
        <f t="shared" si="0"/>
        <v>606.61</v>
      </c>
      <c r="J6" s="84" t="s">
        <v>431</v>
      </c>
      <c r="K6" s="84">
        <v>778.62</v>
      </c>
      <c r="L6" s="84">
        <v>1200</v>
      </c>
      <c r="M6" s="180">
        <f t="shared" si="2"/>
        <v>890.08500000000004</v>
      </c>
      <c r="N6" s="179">
        <f t="shared" si="3"/>
        <v>309.91499999999996</v>
      </c>
      <c r="O6" s="500" t="s">
        <v>351</v>
      </c>
      <c r="P6" s="501"/>
      <c r="R6" s="384"/>
      <c r="S6" s="384"/>
      <c r="T6" s="384"/>
    </row>
    <row r="7" spans="1:20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83">
        <v>1.5</v>
      </c>
      <c r="H7" s="183">
        <f t="shared" si="1"/>
        <v>248.31</v>
      </c>
      <c r="I7" s="109">
        <f t="shared" si="0"/>
        <v>334.46000000000004</v>
      </c>
      <c r="J7" s="108" t="s">
        <v>430</v>
      </c>
      <c r="K7" s="108">
        <v>904.18</v>
      </c>
      <c r="L7" s="298">
        <v>300</v>
      </c>
      <c r="M7" s="180">
        <f t="shared" si="2"/>
        <v>248.31</v>
      </c>
      <c r="N7" s="179">
        <f t="shared" si="3"/>
        <v>51.69</v>
      </c>
      <c r="O7" s="502"/>
      <c r="P7" s="503"/>
      <c r="R7" s="384"/>
      <c r="S7" s="384"/>
      <c r="T7" s="384"/>
    </row>
    <row r="8" spans="1:20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183">
        <v>1.5</v>
      </c>
      <c r="H8" s="183">
        <f t="shared" si="1"/>
        <v>152.28555</v>
      </c>
      <c r="I8" s="95">
        <f t="shared" si="0"/>
        <v>198.47629999999998</v>
      </c>
      <c r="J8" s="94" t="s">
        <v>429</v>
      </c>
      <c r="K8" s="94">
        <v>691.82</v>
      </c>
      <c r="L8" s="94">
        <v>300</v>
      </c>
      <c r="M8" s="180">
        <f t="shared" si="2"/>
        <v>152.28555</v>
      </c>
      <c r="N8" s="179">
        <f t="shared" si="3"/>
        <v>147.71445</v>
      </c>
      <c r="O8" s="504"/>
      <c r="P8" s="505"/>
      <c r="R8" s="384"/>
      <c r="S8" s="384"/>
      <c r="T8" s="384"/>
    </row>
    <row r="9" spans="1:20" ht="14.25" customHeight="1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183">
        <v>1.5</v>
      </c>
      <c r="H9" s="183">
        <f t="shared" si="1"/>
        <v>495.05579999999998</v>
      </c>
      <c r="I9" s="85">
        <f t="shared" si="0"/>
        <v>269.96280000000002</v>
      </c>
      <c r="J9" s="84" t="s">
        <v>428</v>
      </c>
      <c r="K9" s="84">
        <v>243.73500000000001</v>
      </c>
      <c r="L9" s="299">
        <v>500</v>
      </c>
      <c r="M9" s="180">
        <f t="shared" si="2"/>
        <v>495.05579999999998</v>
      </c>
      <c r="N9" s="179">
        <f t="shared" si="3"/>
        <v>4.9442000000000235</v>
      </c>
      <c r="O9" s="81"/>
      <c r="P9" s="124"/>
      <c r="R9" s="384"/>
      <c r="S9" s="384"/>
      <c r="T9" s="384"/>
    </row>
    <row r="10" spans="1:20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83">
        <v>1.5</v>
      </c>
      <c r="H10" s="183">
        <f t="shared" si="1"/>
        <v>300.16500000000002</v>
      </c>
      <c r="I10" s="109">
        <f t="shared" si="0"/>
        <v>199.89</v>
      </c>
      <c r="J10" s="108" t="s">
        <v>427</v>
      </c>
      <c r="K10" s="108">
        <v>614.06500000000005</v>
      </c>
      <c r="L10" s="298">
        <v>300</v>
      </c>
      <c r="M10" s="180">
        <f t="shared" si="2"/>
        <v>300.16500000000002</v>
      </c>
      <c r="N10" s="179">
        <f t="shared" si="3"/>
        <v>-0.16500000000002046</v>
      </c>
      <c r="O10" s="148" t="s">
        <v>6</v>
      </c>
      <c r="P10" s="147">
        <v>375</v>
      </c>
      <c r="R10" s="384"/>
      <c r="S10" s="384"/>
      <c r="T10" s="384"/>
    </row>
    <row r="11" spans="1:20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83">
        <v>1.5</v>
      </c>
      <c r="H11" s="183">
        <f t="shared" si="1"/>
        <v>624.22170000000006</v>
      </c>
      <c r="I11" s="109">
        <f t="shared" si="0"/>
        <v>333.85219999999998</v>
      </c>
      <c r="J11" s="108" t="s">
        <v>426</v>
      </c>
      <c r="K11" s="108">
        <v>692.19500000000005</v>
      </c>
      <c r="L11" s="108">
        <v>750</v>
      </c>
      <c r="M11" s="180">
        <f t="shared" si="2"/>
        <v>624.22170000000006</v>
      </c>
      <c r="N11" s="179">
        <f t="shared" si="3"/>
        <v>125.77829999999994</v>
      </c>
      <c r="O11" s="148" t="s">
        <v>12</v>
      </c>
      <c r="P11" s="147">
        <v>375</v>
      </c>
      <c r="R11" s="384"/>
      <c r="S11" s="384"/>
      <c r="T11" s="384"/>
    </row>
    <row r="12" spans="1:20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83">
        <v>1.5</v>
      </c>
      <c r="H12" s="183">
        <f t="shared" si="1"/>
        <v>481.16999999999996</v>
      </c>
      <c r="I12" s="109">
        <f t="shared" si="0"/>
        <v>279.22000000000003</v>
      </c>
      <c r="J12" s="108" t="s">
        <v>420</v>
      </c>
      <c r="K12" s="108">
        <v>440.09</v>
      </c>
      <c r="L12" s="108">
        <v>600</v>
      </c>
      <c r="M12" s="180">
        <f t="shared" si="2"/>
        <v>481.16999999999996</v>
      </c>
      <c r="N12" s="179">
        <f t="shared" si="3"/>
        <v>118.83000000000004</v>
      </c>
      <c r="O12" s="148"/>
      <c r="P12" s="147"/>
      <c r="R12" s="384"/>
      <c r="S12" s="384"/>
      <c r="T12" s="384"/>
    </row>
    <row r="13" spans="1:20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183">
        <v>1.5</v>
      </c>
      <c r="H13" s="183">
        <f t="shared" si="1"/>
        <v>33.525000000000006</v>
      </c>
      <c r="I13" s="95">
        <f t="shared" si="0"/>
        <v>177.65</v>
      </c>
      <c r="J13" s="94" t="s">
        <v>418</v>
      </c>
      <c r="K13" s="94">
        <v>541.49</v>
      </c>
      <c r="L13" s="291">
        <v>150</v>
      </c>
      <c r="M13" s="180">
        <f t="shared" si="2"/>
        <v>33.525000000000006</v>
      </c>
      <c r="N13" s="179">
        <f t="shared" si="3"/>
        <v>116.47499999999999</v>
      </c>
      <c r="O13" s="69"/>
      <c r="P13" s="119"/>
      <c r="R13" s="384"/>
      <c r="S13" s="384"/>
      <c r="T13" s="384"/>
    </row>
    <row r="14" spans="1:20" ht="13.5" thickBot="1">
      <c r="A14" s="114" t="s">
        <v>426</v>
      </c>
      <c r="B14" s="88" t="s">
        <v>351</v>
      </c>
      <c r="C14" s="161"/>
      <c r="D14" s="86"/>
      <c r="E14" s="86"/>
      <c r="F14" s="86"/>
      <c r="G14" s="183">
        <v>1.5</v>
      </c>
      <c r="H14" s="183">
        <f t="shared" si="1"/>
        <v>0</v>
      </c>
      <c r="I14" s="85"/>
      <c r="J14" s="84"/>
      <c r="K14" s="84"/>
      <c r="L14" s="84"/>
      <c r="M14" s="83"/>
      <c r="N14" s="101"/>
      <c r="O14" s="160"/>
      <c r="P14" s="370"/>
      <c r="R14" s="384"/>
      <c r="S14" s="384"/>
      <c r="T14" s="384"/>
    </row>
    <row r="15" spans="1:20" ht="14.25" customHeight="1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183">
        <v>1.5</v>
      </c>
      <c r="H15" s="183">
        <f t="shared" si="1"/>
        <v>621.76125000000002</v>
      </c>
      <c r="I15" s="85">
        <f t="shared" ref="I15:I24" si="4">E15-F15</f>
        <v>385.49250000000001</v>
      </c>
      <c r="J15" s="84" t="s">
        <v>424</v>
      </c>
      <c r="K15" s="84">
        <v>527.53499999999997</v>
      </c>
      <c r="L15" s="84">
        <v>800</v>
      </c>
      <c r="M15" s="83">
        <f>H15</f>
        <v>621.76125000000002</v>
      </c>
      <c r="N15" s="101">
        <f>L15-H15</f>
        <v>178.23874999999998</v>
      </c>
      <c r="O15" s="169"/>
      <c r="P15" s="124"/>
      <c r="R15" s="384"/>
      <c r="S15" s="384"/>
      <c r="T15" s="384"/>
    </row>
    <row r="16" spans="1:20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83">
        <v>1.5</v>
      </c>
      <c r="H16" s="183">
        <f t="shared" si="1"/>
        <v>373.59030000000001</v>
      </c>
      <c r="I16" s="109">
        <f t="shared" si="4"/>
        <v>350.93979999999999</v>
      </c>
      <c r="J16" s="108" t="s">
        <v>422</v>
      </c>
      <c r="K16" s="108">
        <v>258.625</v>
      </c>
      <c r="L16" s="298">
        <v>500</v>
      </c>
      <c r="M16" s="83">
        <f t="shared" ref="M16:M24" si="5">H16</f>
        <v>373.59030000000001</v>
      </c>
      <c r="N16" s="101">
        <f t="shared" ref="N16:N24" si="6">L16-H16</f>
        <v>126.40969999999999</v>
      </c>
      <c r="O16" s="168" t="s">
        <v>6</v>
      </c>
      <c r="P16" s="144">
        <v>150</v>
      </c>
      <c r="R16" s="384"/>
      <c r="S16" s="384"/>
      <c r="T16" s="384"/>
    </row>
    <row r="17" spans="1:22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83">
        <v>1.5</v>
      </c>
      <c r="H17" s="183">
        <f t="shared" si="1"/>
        <v>278.15129999999999</v>
      </c>
      <c r="I17" s="109">
        <f t="shared" si="4"/>
        <v>264.56579999999997</v>
      </c>
      <c r="J17" s="108" t="s">
        <v>385</v>
      </c>
      <c r="K17" s="108">
        <v>975.03499999999997</v>
      </c>
      <c r="L17" s="108">
        <v>450</v>
      </c>
      <c r="M17" s="83">
        <f t="shared" si="5"/>
        <v>278.15129999999999</v>
      </c>
      <c r="N17" s="101">
        <f t="shared" si="6"/>
        <v>171.84870000000001</v>
      </c>
      <c r="O17" s="168" t="s">
        <v>16</v>
      </c>
      <c r="P17" s="144">
        <v>325</v>
      </c>
      <c r="R17" s="384"/>
      <c r="S17" s="384"/>
      <c r="T17" s="384"/>
    </row>
    <row r="18" spans="1:22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83">
        <v>1.5</v>
      </c>
      <c r="H18" s="183">
        <f t="shared" si="1"/>
        <v>320.77244999999999</v>
      </c>
      <c r="I18" s="109">
        <f t="shared" si="4"/>
        <v>236.15170000000001</v>
      </c>
      <c r="J18" s="108" t="s">
        <v>421</v>
      </c>
      <c r="K18" s="108">
        <v>1025.3</v>
      </c>
      <c r="L18" s="108">
        <v>450</v>
      </c>
      <c r="M18" s="83">
        <f t="shared" si="5"/>
        <v>320.77244999999999</v>
      </c>
      <c r="N18" s="101">
        <f t="shared" si="6"/>
        <v>129.22755000000001</v>
      </c>
      <c r="O18" s="131"/>
      <c r="P18" s="144"/>
      <c r="R18" s="384"/>
      <c r="S18" s="384"/>
      <c r="T18" s="384"/>
    </row>
    <row r="19" spans="1:22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83">
        <v>1.5</v>
      </c>
      <c r="H19" s="183">
        <f t="shared" si="1"/>
        <v>481.17255</v>
      </c>
      <c r="I19" s="109">
        <f t="shared" si="4"/>
        <v>279.2183</v>
      </c>
      <c r="J19" s="108" t="s">
        <v>420</v>
      </c>
      <c r="K19" s="108">
        <v>440.09</v>
      </c>
      <c r="L19" s="108">
        <v>600</v>
      </c>
      <c r="M19" s="83">
        <f t="shared" si="5"/>
        <v>481.17255</v>
      </c>
      <c r="N19" s="101">
        <f t="shared" si="6"/>
        <v>118.82745</v>
      </c>
      <c r="O19" s="131"/>
      <c r="P19" s="144"/>
      <c r="R19" s="384"/>
      <c r="S19" s="384"/>
      <c r="T19" s="384"/>
    </row>
    <row r="20" spans="1:22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183">
        <v>1.5</v>
      </c>
      <c r="H20" s="183">
        <f t="shared" si="1"/>
        <v>33.525000000000006</v>
      </c>
      <c r="I20" s="95">
        <f t="shared" si="4"/>
        <v>177.65</v>
      </c>
      <c r="J20" s="94" t="s">
        <v>418</v>
      </c>
      <c r="K20" s="94">
        <v>541.49</v>
      </c>
      <c r="L20" s="291">
        <v>150</v>
      </c>
      <c r="M20" s="83">
        <f t="shared" si="5"/>
        <v>33.525000000000006</v>
      </c>
      <c r="N20" s="101">
        <f t="shared" si="6"/>
        <v>116.47499999999999</v>
      </c>
      <c r="O20" s="165"/>
      <c r="P20" s="119"/>
      <c r="R20" s="18"/>
      <c r="S20" s="384"/>
      <c r="T20" s="384"/>
    </row>
    <row r="21" spans="1:22" ht="14.25" customHeight="1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183">
        <v>1.5</v>
      </c>
      <c r="H21" s="183">
        <f t="shared" si="1"/>
        <v>300.16829999999999</v>
      </c>
      <c r="I21" s="85">
        <f t="shared" si="4"/>
        <v>199.8878</v>
      </c>
      <c r="J21" s="84" t="s">
        <v>416</v>
      </c>
      <c r="K21" s="84">
        <v>733.18499999999995</v>
      </c>
      <c r="L21" s="299">
        <v>300</v>
      </c>
      <c r="M21" s="83">
        <f t="shared" si="5"/>
        <v>300.16829999999999</v>
      </c>
      <c r="N21" s="101">
        <f t="shared" si="6"/>
        <v>-0.1682999999999879</v>
      </c>
      <c r="O21" s="500" t="s">
        <v>351</v>
      </c>
      <c r="P21" s="501"/>
      <c r="R21" s="18"/>
      <c r="S21" s="384"/>
      <c r="T21" s="384"/>
    </row>
    <row r="22" spans="1:22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83">
        <v>1.5</v>
      </c>
      <c r="H22" s="183">
        <f t="shared" si="1"/>
        <v>624.22170000000006</v>
      </c>
      <c r="I22" s="109">
        <f t="shared" si="4"/>
        <v>333.85219999999998</v>
      </c>
      <c r="J22" s="108" t="s">
        <v>361</v>
      </c>
      <c r="K22" s="108">
        <v>692.19500000000005</v>
      </c>
      <c r="L22" s="108">
        <v>750</v>
      </c>
      <c r="M22" s="83">
        <f t="shared" si="5"/>
        <v>624.22170000000006</v>
      </c>
      <c r="N22" s="101">
        <f t="shared" si="6"/>
        <v>125.77829999999994</v>
      </c>
      <c r="O22" s="502"/>
      <c r="P22" s="503"/>
      <c r="R22" s="384"/>
      <c r="S22" s="384"/>
      <c r="T22" s="384"/>
    </row>
    <row r="23" spans="1:22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83">
        <v>1.5</v>
      </c>
      <c r="H23" s="183">
        <f t="shared" si="1"/>
        <v>36.154499999999999</v>
      </c>
      <c r="I23" s="109">
        <f t="shared" si="4"/>
        <v>175.89699999999999</v>
      </c>
      <c r="J23" s="108" t="s">
        <v>412</v>
      </c>
      <c r="K23" s="108">
        <v>820.63</v>
      </c>
      <c r="L23" s="298">
        <v>150</v>
      </c>
      <c r="M23" s="83">
        <f t="shared" si="5"/>
        <v>36.154499999999999</v>
      </c>
      <c r="N23" s="101">
        <f t="shared" si="6"/>
        <v>113.8455</v>
      </c>
      <c r="O23" s="502"/>
      <c r="P23" s="503"/>
      <c r="R23" s="320"/>
      <c r="S23" s="58"/>
    </row>
    <row r="24" spans="1:22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183">
        <v>1.5</v>
      </c>
      <c r="H24" s="183">
        <f t="shared" si="1"/>
        <v>33.525000000000006</v>
      </c>
      <c r="I24" s="95">
        <f t="shared" si="4"/>
        <v>177.65</v>
      </c>
      <c r="J24" s="94" t="s">
        <v>410</v>
      </c>
      <c r="K24" s="94">
        <v>660.63</v>
      </c>
      <c r="L24" s="291">
        <v>150</v>
      </c>
      <c r="M24" s="83">
        <f t="shared" si="5"/>
        <v>33.525000000000006</v>
      </c>
      <c r="N24" s="101">
        <f t="shared" si="6"/>
        <v>116.47499999999999</v>
      </c>
      <c r="O24" s="504"/>
      <c r="P24" s="505"/>
      <c r="R24" s="320"/>
    </row>
    <row r="25" spans="1:22" ht="15" customHeight="1" thickBot="1">
      <c r="A25" s="162" t="s">
        <v>409</v>
      </c>
      <c r="B25" s="88" t="s">
        <v>408</v>
      </c>
      <c r="C25" s="161"/>
      <c r="D25" s="86"/>
      <c r="E25" s="86"/>
      <c r="F25" s="86"/>
      <c r="G25" s="183">
        <v>1.5</v>
      </c>
      <c r="H25" s="183">
        <f t="shared" si="1"/>
        <v>0</v>
      </c>
      <c r="I25" s="85"/>
      <c r="J25" s="84"/>
      <c r="K25" s="84"/>
      <c r="L25" s="84"/>
      <c r="M25" s="83"/>
      <c r="N25" s="101"/>
      <c r="O25" s="160"/>
      <c r="P25" s="370"/>
      <c r="R25" s="510"/>
      <c r="S25" s="510"/>
      <c r="T25" s="510"/>
      <c r="U25" s="332"/>
      <c r="V25" s="332"/>
    </row>
    <row r="26" spans="1:22" ht="13.5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183">
        <v>1.5</v>
      </c>
      <c r="H26" s="183">
        <f t="shared" si="1"/>
        <v>996.77129999999988</v>
      </c>
      <c r="I26" s="85">
        <f t="shared" ref="I26:I56" si="7">E26-F26</f>
        <v>535.48580000000004</v>
      </c>
      <c r="J26" s="84" t="s">
        <v>405</v>
      </c>
      <c r="K26" s="84">
        <v>799.22</v>
      </c>
      <c r="L26" s="299">
        <v>900</v>
      </c>
      <c r="M26" s="83">
        <f>H26</f>
        <v>996.77129999999988</v>
      </c>
      <c r="N26" s="82">
        <f>L26-H26</f>
        <v>-96.771299999999883</v>
      </c>
      <c r="O26" s="81" t="s">
        <v>523</v>
      </c>
      <c r="P26" s="124" t="s">
        <v>524</v>
      </c>
      <c r="R26" s="332"/>
      <c r="S26" s="332"/>
      <c r="T26" s="332"/>
      <c r="U26" s="332"/>
      <c r="V26" s="332"/>
    </row>
    <row r="27" spans="1:22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83">
        <v>1.5</v>
      </c>
      <c r="H27" s="183">
        <f t="shared" si="1"/>
        <v>637.00244999999995</v>
      </c>
      <c r="I27" s="154">
        <f t="shared" si="7"/>
        <v>475.33170000000001</v>
      </c>
      <c r="J27" s="153" t="s">
        <v>404</v>
      </c>
      <c r="K27" s="153">
        <v>973.76</v>
      </c>
      <c r="L27" s="153">
        <v>900</v>
      </c>
      <c r="M27" s="83">
        <f t="shared" ref="M27:M56" si="8">H27</f>
        <v>637.00244999999995</v>
      </c>
      <c r="N27" s="82">
        <f t="shared" ref="N27:N56" si="9">L27-H27</f>
        <v>262.99755000000005</v>
      </c>
      <c r="O27" s="152" t="s">
        <v>525</v>
      </c>
      <c r="P27" s="151" t="s">
        <v>526</v>
      </c>
      <c r="R27" s="331"/>
      <c r="S27" s="331"/>
      <c r="T27" s="331"/>
      <c r="U27" s="332"/>
      <c r="V27" s="332"/>
    </row>
    <row r="28" spans="1:22" ht="13.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183">
        <v>1.5</v>
      </c>
      <c r="H28" s="183">
        <f t="shared" si="1"/>
        <v>621.76125000000002</v>
      </c>
      <c r="I28" s="95">
        <f t="shared" si="7"/>
        <v>385.49250000000001</v>
      </c>
      <c r="J28" s="94" t="s">
        <v>402</v>
      </c>
      <c r="K28" s="94">
        <v>849.47500000000002</v>
      </c>
      <c r="L28" s="291">
        <v>600</v>
      </c>
      <c r="M28" s="83">
        <f t="shared" si="8"/>
        <v>621.76125000000002</v>
      </c>
      <c r="N28" s="82">
        <f t="shared" si="9"/>
        <v>-21.761250000000018</v>
      </c>
      <c r="O28" s="81" t="s">
        <v>527</v>
      </c>
      <c r="P28" s="124" t="s">
        <v>528</v>
      </c>
      <c r="R28" s="332"/>
      <c r="S28" s="332"/>
      <c r="T28" s="18"/>
      <c r="U28" s="332"/>
      <c r="V28" s="332"/>
    </row>
    <row r="29" spans="1:22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183">
        <v>1.5</v>
      </c>
      <c r="H29" s="183">
        <f t="shared" si="1"/>
        <v>278.15129999999999</v>
      </c>
      <c r="I29" s="95">
        <f t="shared" si="7"/>
        <v>264.56579999999997</v>
      </c>
      <c r="J29" s="94" t="s">
        <v>385</v>
      </c>
      <c r="K29" s="94">
        <v>975.03499999999997</v>
      </c>
      <c r="L29" s="94">
        <v>450</v>
      </c>
      <c r="M29" s="83">
        <f t="shared" si="8"/>
        <v>278.15129999999999</v>
      </c>
      <c r="N29" s="82">
        <f t="shared" si="9"/>
        <v>171.84870000000001</v>
      </c>
      <c r="O29" s="131" t="s">
        <v>529</v>
      </c>
      <c r="P29" s="144" t="s">
        <v>530</v>
      </c>
      <c r="R29" s="332"/>
      <c r="S29" s="332"/>
      <c r="T29" s="18"/>
      <c r="U29" s="332"/>
      <c r="V29" s="332"/>
    </row>
    <row r="30" spans="1:22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83">
        <v>1.5</v>
      </c>
      <c r="H30" s="183">
        <f t="shared" si="1"/>
        <v>320.77244999999999</v>
      </c>
      <c r="I30" s="109">
        <f t="shared" si="7"/>
        <v>236.15170000000001</v>
      </c>
      <c r="J30" s="108" t="s">
        <v>399</v>
      </c>
      <c r="K30" s="108">
        <v>1347.24</v>
      </c>
      <c r="L30" s="298">
        <v>300</v>
      </c>
      <c r="M30" s="83">
        <f t="shared" si="8"/>
        <v>320.77244999999999</v>
      </c>
      <c r="N30" s="82">
        <f t="shared" si="9"/>
        <v>-20.772449999999992</v>
      </c>
      <c r="O30" s="148" t="s">
        <v>14</v>
      </c>
      <c r="P30" s="147">
        <v>795</v>
      </c>
      <c r="R30" s="332"/>
      <c r="S30" s="332"/>
      <c r="T30" s="18"/>
      <c r="U30" s="332"/>
      <c r="V30" s="332"/>
    </row>
    <row r="31" spans="1:22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183">
        <v>1.5</v>
      </c>
      <c r="H31" s="183">
        <f t="shared" si="1"/>
        <v>481.17255</v>
      </c>
      <c r="I31" s="95">
        <f t="shared" si="7"/>
        <v>279.2183</v>
      </c>
      <c r="J31" s="94" t="s">
        <v>397</v>
      </c>
      <c r="K31" s="94">
        <v>762.03</v>
      </c>
      <c r="L31" s="291">
        <v>450</v>
      </c>
      <c r="M31" s="83">
        <f t="shared" si="8"/>
        <v>481.17255</v>
      </c>
      <c r="N31" s="82">
        <f t="shared" si="9"/>
        <v>-31.172550000000001</v>
      </c>
      <c r="O31" s="131" t="s">
        <v>396</v>
      </c>
      <c r="P31" s="144">
        <v>245</v>
      </c>
      <c r="R31" s="332"/>
      <c r="S31" s="332"/>
      <c r="T31" s="18"/>
      <c r="U31" s="332"/>
      <c r="V31" s="18"/>
    </row>
    <row r="32" spans="1:22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183">
        <v>1.5</v>
      </c>
      <c r="H32" s="183">
        <f t="shared" si="1"/>
        <v>416.36130000000003</v>
      </c>
      <c r="I32" s="95">
        <f t="shared" si="7"/>
        <v>222.42579999999998</v>
      </c>
      <c r="J32" s="94" t="s">
        <v>394</v>
      </c>
      <c r="K32" s="94">
        <v>922.03</v>
      </c>
      <c r="L32" s="291">
        <v>300</v>
      </c>
      <c r="M32" s="83">
        <f t="shared" si="8"/>
        <v>416.36130000000003</v>
      </c>
      <c r="N32" s="82">
        <f t="shared" si="9"/>
        <v>-116.36130000000003</v>
      </c>
      <c r="O32" s="69" t="s">
        <v>343</v>
      </c>
      <c r="P32" s="119">
        <v>79</v>
      </c>
      <c r="R32" s="18"/>
      <c r="S32" s="332"/>
      <c r="T32" s="332"/>
      <c r="U32" s="332"/>
      <c r="V32" s="332"/>
    </row>
    <row r="33" spans="1:3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183">
        <v>1.5</v>
      </c>
      <c r="H33" s="183">
        <f t="shared" si="1"/>
        <v>890.08500000000004</v>
      </c>
      <c r="I33" s="85">
        <f t="shared" si="7"/>
        <v>606.61</v>
      </c>
      <c r="J33" s="84" t="s">
        <v>391</v>
      </c>
      <c r="K33" s="84">
        <v>778.62</v>
      </c>
      <c r="L33" s="84">
        <v>1200</v>
      </c>
      <c r="M33" s="83">
        <f t="shared" si="8"/>
        <v>890.08500000000004</v>
      </c>
      <c r="N33" s="82">
        <f t="shared" si="9"/>
        <v>309.91499999999996</v>
      </c>
      <c r="O33" s="494"/>
      <c r="P33" s="496"/>
      <c r="R33" s="18"/>
      <c r="S33" s="332"/>
      <c r="T33" s="332"/>
      <c r="U33" s="332"/>
      <c r="V33" s="332"/>
    </row>
    <row r="34" spans="1:3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83">
        <v>1.5</v>
      </c>
      <c r="H34" s="183">
        <f t="shared" si="1"/>
        <v>278.15129999999999</v>
      </c>
      <c r="I34" s="109">
        <f t="shared" si="7"/>
        <v>264.56579999999997</v>
      </c>
      <c r="J34" s="108" t="s">
        <v>385</v>
      </c>
      <c r="K34" s="108">
        <v>975.03499999999997</v>
      </c>
      <c r="L34" s="108">
        <v>450</v>
      </c>
      <c r="M34" s="83">
        <f t="shared" si="8"/>
        <v>278.15129999999999</v>
      </c>
      <c r="N34" s="82">
        <f t="shared" si="9"/>
        <v>171.84870000000001</v>
      </c>
      <c r="O34" s="495"/>
      <c r="P34" s="497"/>
      <c r="R34" s="332"/>
      <c r="S34" s="332"/>
      <c r="T34" s="332"/>
      <c r="U34" s="320"/>
    </row>
    <row r="35" spans="1:3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183">
        <v>1.5</v>
      </c>
      <c r="H35" s="183">
        <f t="shared" si="1"/>
        <v>737.21355000000005</v>
      </c>
      <c r="I35" s="95">
        <f t="shared" si="7"/>
        <v>408.52429999999998</v>
      </c>
      <c r="J35" s="94" t="s">
        <v>381</v>
      </c>
      <c r="K35" s="94">
        <v>660.12</v>
      </c>
      <c r="L35" s="94">
        <v>900</v>
      </c>
      <c r="M35" s="83">
        <f t="shared" si="8"/>
        <v>737.21355000000005</v>
      </c>
      <c r="N35" s="82">
        <f t="shared" si="9"/>
        <v>162.78644999999995</v>
      </c>
      <c r="O35" s="495"/>
      <c r="P35" s="497"/>
      <c r="R35" s="332"/>
      <c r="S35" s="332"/>
      <c r="T35" s="332"/>
    </row>
    <row r="36" spans="1:3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183">
        <v>1.5</v>
      </c>
      <c r="H36" s="183">
        <f t="shared" si="1"/>
        <v>320.77244999999999</v>
      </c>
      <c r="I36" s="85">
        <f t="shared" si="7"/>
        <v>236.15170000000001</v>
      </c>
      <c r="J36" s="84" t="s">
        <v>377</v>
      </c>
      <c r="K36" s="84">
        <v>844.89</v>
      </c>
      <c r="L36" s="84">
        <v>450</v>
      </c>
      <c r="M36" s="83">
        <f t="shared" si="8"/>
        <v>320.77244999999999</v>
      </c>
      <c r="N36" s="82">
        <f t="shared" si="9"/>
        <v>129.22755000000001</v>
      </c>
      <c r="O36" s="494"/>
      <c r="P36" s="496"/>
      <c r="R36" s="510"/>
      <c r="S36" s="510"/>
      <c r="T36" s="510"/>
      <c r="U36" s="332"/>
      <c r="V36" s="332"/>
    </row>
    <row r="37" spans="1:3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183">
        <v>1.5</v>
      </c>
      <c r="H37" s="183">
        <f t="shared" si="1"/>
        <v>1726.992</v>
      </c>
      <c r="I37" s="95">
        <f t="shared" si="7"/>
        <v>1048.672</v>
      </c>
      <c r="J37" s="94" t="s">
        <v>374</v>
      </c>
      <c r="K37" s="94">
        <v>503.42500000000001</v>
      </c>
      <c r="L37" s="94">
        <v>2200</v>
      </c>
      <c r="M37" s="83">
        <f t="shared" si="8"/>
        <v>1726.992</v>
      </c>
      <c r="N37" s="82">
        <f t="shared" si="9"/>
        <v>473.00800000000004</v>
      </c>
      <c r="O37" s="498"/>
      <c r="P37" s="499"/>
      <c r="R37" s="332"/>
      <c r="S37" s="332"/>
      <c r="T37" s="332"/>
      <c r="U37" s="510"/>
      <c r="V37" s="510"/>
    </row>
    <row r="38" spans="1:31" ht="13.5" thickBot="1">
      <c r="A38" s="11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183">
        <v>1.5</v>
      </c>
      <c r="H38" s="183">
        <f t="shared" si="1"/>
        <v>1169.28495</v>
      </c>
      <c r="I38" s="85">
        <f t="shared" si="7"/>
        <v>720.47670000000005</v>
      </c>
      <c r="J38" s="84" t="s">
        <v>371</v>
      </c>
      <c r="K38" s="84">
        <v>539.80499999999995</v>
      </c>
      <c r="L38" s="299">
        <v>900</v>
      </c>
      <c r="M38" s="83">
        <f t="shared" si="8"/>
        <v>1169.28495</v>
      </c>
      <c r="N38" s="82">
        <f t="shared" si="9"/>
        <v>-269.28494999999998</v>
      </c>
      <c r="O38" s="131" t="s">
        <v>492</v>
      </c>
      <c r="P38" s="130" t="s">
        <v>531</v>
      </c>
      <c r="R38" s="331"/>
      <c r="S38" s="331"/>
      <c r="T38" s="331"/>
      <c r="U38" s="331"/>
      <c r="V38" s="331"/>
    </row>
    <row r="39" spans="1:3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183">
        <v>1.5</v>
      </c>
      <c r="H39" s="183">
        <f t="shared" si="1"/>
        <v>1329.2317499999999</v>
      </c>
      <c r="I39" s="85">
        <f t="shared" si="7"/>
        <v>863.84550000000002</v>
      </c>
      <c r="J39" s="84" t="s">
        <v>366</v>
      </c>
      <c r="K39" s="84">
        <v>585.61500000000001</v>
      </c>
      <c r="L39" s="299">
        <v>1050</v>
      </c>
      <c r="M39" s="83">
        <f t="shared" si="8"/>
        <v>1329.2317499999999</v>
      </c>
      <c r="N39" s="82">
        <f t="shared" si="9"/>
        <v>-279.23174999999992</v>
      </c>
      <c r="O39" s="81" t="s">
        <v>532</v>
      </c>
      <c r="P39" s="124" t="s">
        <v>533</v>
      </c>
      <c r="R39" s="332"/>
      <c r="S39" s="332"/>
      <c r="T39" s="18"/>
      <c r="U39" s="332"/>
      <c r="V39" s="332"/>
    </row>
    <row r="40" spans="1:3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183">
        <v>1.5</v>
      </c>
      <c r="H40" s="183">
        <f t="shared" si="1"/>
        <v>350.71049999999997</v>
      </c>
      <c r="I40" s="73">
        <f t="shared" si="7"/>
        <v>366.19299999999998</v>
      </c>
      <c r="J40" s="72" t="s">
        <v>328</v>
      </c>
      <c r="K40" s="72">
        <v>673.16499999999996</v>
      </c>
      <c r="L40" s="300">
        <v>450</v>
      </c>
      <c r="M40" s="83">
        <f t="shared" si="8"/>
        <v>350.71049999999997</v>
      </c>
      <c r="N40" s="82">
        <f t="shared" si="9"/>
        <v>99.289500000000032</v>
      </c>
      <c r="O40" s="69" t="s">
        <v>534</v>
      </c>
      <c r="P40" s="119" t="s">
        <v>535</v>
      </c>
      <c r="R40" s="332"/>
      <c r="S40" s="332"/>
      <c r="T40" s="18"/>
      <c r="U40" s="332"/>
      <c r="V40" s="332"/>
    </row>
    <row r="41" spans="1:31" ht="13.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183">
        <v>1.5</v>
      </c>
      <c r="H41" s="183">
        <f t="shared" si="1"/>
        <v>624.22170000000006</v>
      </c>
      <c r="I41" s="95">
        <f t="shared" si="7"/>
        <v>333.85219999999998</v>
      </c>
      <c r="J41" s="94" t="s">
        <v>361</v>
      </c>
      <c r="K41" s="94">
        <v>692.19500000000005</v>
      </c>
      <c r="L41" s="94">
        <v>750</v>
      </c>
      <c r="M41" s="83">
        <f t="shared" si="8"/>
        <v>624.22170000000006</v>
      </c>
      <c r="N41" s="82">
        <f t="shared" si="9"/>
        <v>125.77829999999994</v>
      </c>
      <c r="O41" s="500" t="s">
        <v>351</v>
      </c>
      <c r="P41" s="501"/>
      <c r="R41" s="332"/>
      <c r="S41" s="332"/>
      <c r="T41" s="18"/>
      <c r="U41" s="332"/>
      <c r="V41" s="332"/>
    </row>
    <row r="42" spans="1:3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83">
        <v>1.5</v>
      </c>
      <c r="H42" s="183">
        <f t="shared" si="1"/>
        <v>637.00244999999995</v>
      </c>
      <c r="I42" s="109">
        <f t="shared" si="7"/>
        <v>475.33170000000001</v>
      </c>
      <c r="J42" s="108" t="s">
        <v>359</v>
      </c>
      <c r="K42" s="108">
        <v>1033.6600000000001</v>
      </c>
      <c r="L42" s="108">
        <v>900</v>
      </c>
      <c r="M42" s="83">
        <f t="shared" si="8"/>
        <v>637.00244999999995</v>
      </c>
      <c r="N42" s="82">
        <f t="shared" si="9"/>
        <v>262.99755000000005</v>
      </c>
      <c r="O42" s="502"/>
      <c r="P42" s="503"/>
      <c r="R42" s="332"/>
      <c r="S42" s="332"/>
      <c r="T42" s="18"/>
      <c r="U42" s="332"/>
      <c r="V42" s="332"/>
      <c r="X42" s="519"/>
      <c r="Y42" s="519"/>
      <c r="Z42" s="519"/>
      <c r="AA42" s="332"/>
      <c r="AB42" s="519"/>
      <c r="AC42" s="519"/>
      <c r="AD42" s="519"/>
      <c r="AE42" s="320"/>
    </row>
    <row r="43" spans="1:3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183">
        <v>1.5</v>
      </c>
      <c r="H43" s="183">
        <f t="shared" si="1"/>
        <v>120.505005</v>
      </c>
      <c r="I43" s="95">
        <f t="shared" si="7"/>
        <v>169.66333</v>
      </c>
      <c r="J43" s="94" t="s">
        <v>357</v>
      </c>
      <c r="K43" s="94">
        <v>811.21</v>
      </c>
      <c r="L43" s="291">
        <v>150</v>
      </c>
      <c r="M43" s="83">
        <f t="shared" si="8"/>
        <v>120.505005</v>
      </c>
      <c r="N43" s="82">
        <f t="shared" si="9"/>
        <v>29.494995000000003</v>
      </c>
      <c r="O43" s="504"/>
      <c r="P43" s="505"/>
      <c r="R43" s="18"/>
      <c r="S43" s="332"/>
      <c r="T43" s="332"/>
      <c r="U43" s="332"/>
      <c r="V43" s="332"/>
      <c r="X43" s="320"/>
      <c r="Y43" s="320"/>
      <c r="Z43" s="320"/>
      <c r="AA43" s="332"/>
      <c r="AB43" s="320"/>
      <c r="AC43" s="320"/>
      <c r="AD43" s="320"/>
      <c r="AE43" s="320"/>
    </row>
    <row r="44" spans="1:31" ht="13.5" thickBot="1">
      <c r="A44" s="11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183">
        <v>1.5</v>
      </c>
      <c r="H44" s="183">
        <f t="shared" si="1"/>
        <v>100.86274499999999</v>
      </c>
      <c r="I44" s="85">
        <f t="shared" si="7"/>
        <v>132.75817000000001</v>
      </c>
      <c r="J44" s="84" t="s">
        <v>354</v>
      </c>
      <c r="K44" s="84">
        <v>607.995</v>
      </c>
      <c r="L44" s="299">
        <v>150</v>
      </c>
      <c r="M44" s="83">
        <f t="shared" si="8"/>
        <v>100.86274499999999</v>
      </c>
      <c r="N44" s="82">
        <f t="shared" si="9"/>
        <v>49.13725500000001</v>
      </c>
      <c r="O44" s="486" t="s">
        <v>351</v>
      </c>
      <c r="P44" s="487"/>
      <c r="R44" s="18"/>
      <c r="S44" s="332"/>
      <c r="T44" s="332"/>
      <c r="U44" s="332"/>
      <c r="V44" s="332"/>
      <c r="X44" s="320"/>
      <c r="Y44" s="320"/>
      <c r="Z44" s="320"/>
      <c r="AA44" s="332"/>
      <c r="AB44" s="320"/>
      <c r="AC44" s="320"/>
      <c r="AD44" s="320"/>
      <c r="AE44" s="320"/>
    </row>
    <row r="45" spans="1:3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183">
        <v>1.5</v>
      </c>
      <c r="H45" s="183">
        <f t="shared" si="1"/>
        <v>263.87879999999996</v>
      </c>
      <c r="I45" s="85">
        <f t="shared" si="7"/>
        <v>274.08080000000001</v>
      </c>
      <c r="J45" s="84" t="s">
        <v>352</v>
      </c>
      <c r="K45" s="84">
        <v>1051.23</v>
      </c>
      <c r="L45" s="84">
        <v>450</v>
      </c>
      <c r="M45" s="83">
        <f t="shared" si="8"/>
        <v>263.87879999999996</v>
      </c>
      <c r="N45" s="82">
        <f t="shared" si="9"/>
        <v>186.12120000000004</v>
      </c>
      <c r="O45" s="488" t="s">
        <v>351</v>
      </c>
      <c r="P45" s="491" t="s">
        <v>351</v>
      </c>
      <c r="T45" s="320"/>
      <c r="X45" s="320"/>
      <c r="Y45" s="320"/>
      <c r="Z45" s="320"/>
      <c r="AA45" s="332"/>
      <c r="AB45" s="320"/>
      <c r="AC45" s="320"/>
      <c r="AD45" s="320"/>
      <c r="AE45" s="320"/>
    </row>
    <row r="46" spans="1:3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83">
        <v>1.5</v>
      </c>
      <c r="H46" s="183">
        <f t="shared" si="1"/>
        <v>172.67144999999999</v>
      </c>
      <c r="I46" s="109">
        <f t="shared" si="7"/>
        <v>284.88569999999999</v>
      </c>
      <c r="J46" s="108" t="s">
        <v>348</v>
      </c>
      <c r="K46" s="108">
        <v>838.745</v>
      </c>
      <c r="L46" s="298">
        <v>300</v>
      </c>
      <c r="M46" s="83">
        <f t="shared" si="8"/>
        <v>172.67144999999999</v>
      </c>
      <c r="N46" s="82">
        <f t="shared" si="9"/>
        <v>127.32855000000001</v>
      </c>
      <c r="O46" s="489"/>
      <c r="P46" s="492"/>
      <c r="X46" s="320"/>
      <c r="Y46" s="320"/>
      <c r="Z46" s="320"/>
      <c r="AA46" s="332"/>
      <c r="AB46" s="320"/>
      <c r="AC46" s="320"/>
      <c r="AD46" s="320"/>
      <c r="AE46" s="320"/>
    </row>
    <row r="47" spans="1:3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83">
        <v>1.5</v>
      </c>
      <c r="H47" s="183">
        <f t="shared" si="1"/>
        <v>131.35275000000001</v>
      </c>
      <c r="I47" s="109">
        <f t="shared" si="7"/>
        <v>212.4315</v>
      </c>
      <c r="J47" s="108" t="s">
        <v>346</v>
      </c>
      <c r="K47" s="108">
        <v>792.93499999999995</v>
      </c>
      <c r="L47" s="108">
        <v>300</v>
      </c>
      <c r="M47" s="83">
        <f t="shared" si="8"/>
        <v>131.35275000000001</v>
      </c>
      <c r="N47" s="82">
        <f t="shared" si="9"/>
        <v>168.64724999999999</v>
      </c>
      <c r="O47" s="489"/>
      <c r="P47" s="492"/>
      <c r="X47" s="320"/>
      <c r="Y47" s="320"/>
      <c r="Z47" s="320"/>
      <c r="AA47" s="332"/>
      <c r="AB47" s="320"/>
      <c r="AC47" s="320"/>
      <c r="AD47" s="320"/>
      <c r="AE47" s="320"/>
    </row>
    <row r="48" spans="1:3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183">
        <v>1.5</v>
      </c>
      <c r="H48" s="183">
        <f t="shared" si="1"/>
        <v>69.246000000000009</v>
      </c>
      <c r="I48" s="95">
        <f t="shared" si="7"/>
        <v>103.836</v>
      </c>
      <c r="J48" s="94" t="s">
        <v>345</v>
      </c>
      <c r="K48" s="94">
        <v>934.80499999999995</v>
      </c>
      <c r="L48" s="94">
        <v>150</v>
      </c>
      <c r="M48" s="83">
        <f t="shared" si="8"/>
        <v>69.246000000000009</v>
      </c>
      <c r="N48" s="82">
        <f t="shared" si="9"/>
        <v>80.753999999999991</v>
      </c>
      <c r="O48" s="490"/>
      <c r="P48" s="493"/>
      <c r="X48" s="320"/>
      <c r="Y48" s="320"/>
      <c r="Z48" s="320"/>
      <c r="AA48" s="332"/>
      <c r="AB48" s="320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183">
        <v>1.5</v>
      </c>
      <c r="H49" s="183">
        <f t="shared" si="1"/>
        <v>263.87879999999996</v>
      </c>
      <c r="I49" s="85">
        <f t="shared" si="7"/>
        <v>274.08080000000001</v>
      </c>
      <c r="J49" s="84" t="s">
        <v>341</v>
      </c>
      <c r="K49" s="84">
        <v>992.44500000000005</v>
      </c>
      <c r="L49" s="84">
        <v>450</v>
      </c>
      <c r="M49" s="83">
        <f t="shared" si="8"/>
        <v>263.87879999999996</v>
      </c>
      <c r="N49" s="82">
        <f t="shared" si="9"/>
        <v>186.12120000000004</v>
      </c>
      <c r="O49" s="266"/>
      <c r="P49" s="77"/>
      <c r="R49" s="384"/>
      <c r="S49" s="384"/>
      <c r="T49" s="384"/>
      <c r="U49" s="384"/>
      <c r="V49" s="384"/>
      <c r="W49" s="384"/>
      <c r="X49" s="384"/>
      <c r="Y49" s="320"/>
      <c r="Z49" s="320"/>
      <c r="AA49" s="332"/>
      <c r="AB49" s="320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183">
        <v>1.5</v>
      </c>
      <c r="H50" s="183">
        <f t="shared" si="1"/>
        <v>69.246000000000009</v>
      </c>
      <c r="I50" s="95">
        <f t="shared" si="7"/>
        <v>103.836</v>
      </c>
      <c r="J50" s="94" t="s">
        <v>337</v>
      </c>
      <c r="K50" s="94">
        <v>817.04499999999996</v>
      </c>
      <c r="L50" s="94">
        <v>150</v>
      </c>
      <c r="M50" s="83">
        <f t="shared" si="8"/>
        <v>69.246000000000009</v>
      </c>
      <c r="N50" s="82">
        <f t="shared" si="9"/>
        <v>80.753999999999991</v>
      </c>
      <c r="O50" s="267"/>
      <c r="P50" s="89"/>
      <c r="R50" s="510"/>
      <c r="S50" s="510"/>
      <c r="T50" s="510"/>
      <c r="U50" s="384"/>
      <c r="V50" s="384"/>
      <c r="W50" s="384"/>
      <c r="X50" s="384"/>
      <c r="Y50" s="320"/>
      <c r="Z50" s="320"/>
      <c r="AA50" s="332"/>
      <c r="AB50" s="320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183">
        <v>1.5</v>
      </c>
      <c r="H51" s="183">
        <f t="shared" si="1"/>
        <v>69.246000000000009</v>
      </c>
      <c r="I51" s="85">
        <f t="shared" si="7"/>
        <v>103.836</v>
      </c>
      <c r="J51" s="84" t="s">
        <v>337</v>
      </c>
      <c r="K51" s="84">
        <v>817.04499999999996</v>
      </c>
      <c r="L51" s="84">
        <v>150</v>
      </c>
      <c r="M51" s="83">
        <f t="shared" si="8"/>
        <v>69.246000000000009</v>
      </c>
      <c r="N51" s="82">
        <f t="shared" si="9"/>
        <v>80.753999999999991</v>
      </c>
      <c r="O51" s="267"/>
      <c r="P51" s="89"/>
      <c r="R51" s="384"/>
      <c r="S51" s="384"/>
      <c r="T51" s="384"/>
      <c r="U51" s="384"/>
      <c r="V51" s="384"/>
      <c r="W51" s="384"/>
      <c r="X51" s="384"/>
      <c r="Y51" s="320"/>
      <c r="Z51" s="320"/>
      <c r="AA51" s="332"/>
      <c r="AB51" s="320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183">
        <v>1.5</v>
      </c>
      <c r="H52" s="183">
        <f t="shared" si="1"/>
        <v>205.31295</v>
      </c>
      <c r="I52" s="95">
        <f t="shared" si="7"/>
        <v>263.12469999999996</v>
      </c>
      <c r="J52" s="94" t="s">
        <v>325</v>
      </c>
      <c r="K52" s="94">
        <v>518.48</v>
      </c>
      <c r="L52" s="94">
        <v>400</v>
      </c>
      <c r="M52" s="83">
        <f t="shared" si="8"/>
        <v>205.31295</v>
      </c>
      <c r="N52" s="82">
        <f t="shared" si="9"/>
        <v>194.68705</v>
      </c>
      <c r="O52" s="91"/>
      <c r="P52" s="100"/>
      <c r="R52" s="382"/>
      <c r="S52" s="382"/>
      <c r="T52" s="382"/>
      <c r="U52" s="384"/>
      <c r="V52" s="384"/>
      <c r="W52" s="384"/>
      <c r="X52" s="384"/>
      <c r="Y52" s="320"/>
      <c r="Z52" s="320"/>
      <c r="AA52" s="332"/>
      <c r="AB52" s="320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183">
        <v>1.5</v>
      </c>
      <c r="H53" s="183">
        <f t="shared" si="1"/>
        <v>131.35275000000001</v>
      </c>
      <c r="I53" s="85">
        <f t="shared" si="7"/>
        <v>212.4315</v>
      </c>
      <c r="J53" s="84" t="s">
        <v>334</v>
      </c>
      <c r="K53" s="84">
        <v>792.93499999999995</v>
      </c>
      <c r="L53" s="84">
        <v>300</v>
      </c>
      <c r="M53" s="83">
        <f t="shared" si="8"/>
        <v>131.35275000000001</v>
      </c>
      <c r="N53" s="82">
        <f t="shared" si="9"/>
        <v>168.64724999999999</v>
      </c>
      <c r="O53" s="91"/>
      <c r="P53" s="100"/>
      <c r="R53" s="384"/>
      <c r="S53" s="384"/>
      <c r="T53" s="384"/>
      <c r="U53" s="384"/>
      <c r="V53" s="384"/>
      <c r="W53" s="384"/>
      <c r="X53" s="384"/>
      <c r="Y53" s="320"/>
      <c r="Z53" s="320"/>
      <c r="AA53" s="332"/>
      <c r="AB53" s="320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183">
        <v>1.5</v>
      </c>
      <c r="H54" s="183">
        <f t="shared" si="1"/>
        <v>49.947495000000004</v>
      </c>
      <c r="I54" s="95">
        <f t="shared" si="7"/>
        <v>166.70167000000001</v>
      </c>
      <c r="J54" s="94" t="s">
        <v>331</v>
      </c>
      <c r="K54" s="94">
        <v>524.75</v>
      </c>
      <c r="L54" s="94">
        <v>200</v>
      </c>
      <c r="M54" s="83">
        <f t="shared" si="8"/>
        <v>49.947495000000004</v>
      </c>
      <c r="N54" s="82">
        <f t="shared" si="9"/>
        <v>150.052505</v>
      </c>
      <c r="O54" s="91"/>
      <c r="P54" s="90"/>
      <c r="R54" s="384"/>
      <c r="S54" s="384"/>
      <c r="T54" s="384"/>
      <c r="U54" s="384"/>
      <c r="V54" s="384"/>
      <c r="W54" s="384"/>
      <c r="X54" s="384"/>
      <c r="Y54" s="320"/>
      <c r="Z54" s="320"/>
      <c r="AA54" s="332"/>
      <c r="AB54" s="320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183">
        <v>1.5</v>
      </c>
      <c r="H55" s="183">
        <f t="shared" si="1"/>
        <v>350.71049999999997</v>
      </c>
      <c r="I55" s="85">
        <f t="shared" si="7"/>
        <v>366.19299999999998</v>
      </c>
      <c r="J55" s="84" t="s">
        <v>328</v>
      </c>
      <c r="K55" s="84">
        <v>673.16499999999996</v>
      </c>
      <c r="L55" s="299">
        <v>450</v>
      </c>
      <c r="M55" s="83">
        <f t="shared" si="8"/>
        <v>350.71049999999997</v>
      </c>
      <c r="N55" s="82">
        <f t="shared" si="9"/>
        <v>99.289500000000032</v>
      </c>
      <c r="O55" s="81" t="s">
        <v>327</v>
      </c>
      <c r="P55" s="80">
        <v>126</v>
      </c>
      <c r="R55" s="384"/>
      <c r="S55" s="384"/>
      <c r="T55" s="384"/>
      <c r="U55" s="384"/>
      <c r="V55" s="384"/>
      <c r="W55" s="384"/>
      <c r="X55" s="384"/>
      <c r="Y55" s="320"/>
      <c r="Z55" s="320"/>
      <c r="AA55" s="332"/>
      <c r="AB55" s="320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183">
        <v>1.5</v>
      </c>
      <c r="H56" s="183">
        <f t="shared" si="1"/>
        <v>205.31295</v>
      </c>
      <c r="I56" s="73">
        <f t="shared" si="7"/>
        <v>263.12469999999996</v>
      </c>
      <c r="J56" s="72" t="s">
        <v>325</v>
      </c>
      <c r="K56" s="72">
        <v>518.48</v>
      </c>
      <c r="L56" s="72">
        <v>400</v>
      </c>
      <c r="M56" s="83">
        <f t="shared" si="8"/>
        <v>205.31295</v>
      </c>
      <c r="N56" s="82">
        <f t="shared" si="9"/>
        <v>194.68705</v>
      </c>
      <c r="O56" s="69" t="s">
        <v>536</v>
      </c>
      <c r="P56" s="68">
        <v>270</v>
      </c>
      <c r="R56" s="384"/>
      <c r="S56" s="384"/>
      <c r="T56" s="384"/>
      <c r="U56" s="384"/>
      <c r="V56" s="384"/>
      <c r="W56" s="384"/>
      <c r="X56" s="382"/>
      <c r="Y56" s="320"/>
      <c r="Z56" s="320"/>
      <c r="AA56" s="332"/>
      <c r="AB56" s="197"/>
      <c r="AC56" s="320"/>
      <c r="AD56" s="320"/>
      <c r="AE56" s="320"/>
    </row>
    <row r="57" spans="1:31">
      <c r="A57" s="20"/>
      <c r="B57" s="64"/>
      <c r="C57" s="20"/>
      <c r="D57" s="20"/>
      <c r="E57" s="20"/>
      <c r="F57" s="64"/>
      <c r="G57" s="64"/>
      <c r="H57" s="64"/>
      <c r="I57" s="20"/>
      <c r="J57" s="20"/>
      <c r="K57" s="20"/>
      <c r="L57" s="20"/>
      <c r="M57" s="20"/>
      <c r="N57" s="20"/>
      <c r="O57" s="320"/>
      <c r="P57" s="320"/>
      <c r="R57" s="384"/>
      <c r="S57" s="384"/>
      <c r="T57" s="384"/>
      <c r="U57" s="384"/>
      <c r="V57" s="384"/>
      <c r="W57" s="384"/>
      <c r="X57" s="384"/>
      <c r="Y57" s="329"/>
      <c r="Z57" s="18"/>
      <c r="AA57" s="329"/>
      <c r="AB57" s="329"/>
    </row>
    <row r="58" spans="1:31">
      <c r="A58" s="20"/>
      <c r="B58" s="64"/>
      <c r="C58" s="20"/>
      <c r="D58" s="20"/>
      <c r="E58" s="20"/>
      <c r="F58" s="64"/>
      <c r="G58" s="64"/>
      <c r="H58" s="64"/>
      <c r="I58" s="20"/>
      <c r="J58" s="20"/>
      <c r="K58" s="20"/>
      <c r="L58" s="20"/>
      <c r="M58" s="20"/>
      <c r="N58" s="20"/>
      <c r="O58" s="320"/>
      <c r="P58" s="320"/>
      <c r="R58" s="18"/>
      <c r="S58" s="18"/>
      <c r="T58" s="384"/>
      <c r="U58" s="384"/>
      <c r="V58" s="384"/>
      <c r="W58" s="384"/>
      <c r="X58" s="384"/>
      <c r="Y58" s="329"/>
      <c r="Z58" s="329"/>
      <c r="AA58" s="329"/>
      <c r="AB58" s="329"/>
    </row>
    <row r="59" spans="1:31">
      <c r="A59" s="20"/>
      <c r="B59" s="64"/>
      <c r="C59" s="20"/>
      <c r="D59" s="20"/>
      <c r="E59" s="20"/>
      <c r="F59" s="64"/>
      <c r="G59" s="64"/>
      <c r="H59" s="64"/>
      <c r="I59" s="20"/>
      <c r="J59" s="20"/>
      <c r="K59" s="20"/>
      <c r="L59" s="20"/>
      <c r="M59" s="20"/>
      <c r="N59" s="20"/>
      <c r="O59" s="320"/>
      <c r="P59" s="320"/>
      <c r="R59" s="18"/>
      <c r="S59" s="18"/>
      <c r="T59" s="384"/>
      <c r="U59" s="384"/>
      <c r="V59" s="384"/>
      <c r="W59" s="384"/>
      <c r="X59" s="384"/>
      <c r="Y59" s="329"/>
      <c r="Z59" s="329"/>
      <c r="AA59" s="329"/>
      <c r="AB59" s="329"/>
    </row>
    <row r="60" spans="1:31">
      <c r="A60" s="20"/>
      <c r="B60" s="64"/>
      <c r="C60" s="20"/>
      <c r="D60" s="20"/>
      <c r="E60" s="20"/>
      <c r="F60" s="64"/>
      <c r="G60" s="64"/>
      <c r="H60" s="64"/>
      <c r="I60" s="20"/>
      <c r="J60" s="20"/>
      <c r="K60" s="20"/>
      <c r="L60" s="20"/>
      <c r="M60" s="20"/>
      <c r="N60" s="20"/>
      <c r="O60" s="320"/>
      <c r="P60" s="320"/>
      <c r="R60" s="384"/>
      <c r="S60" s="384"/>
      <c r="T60" s="384"/>
      <c r="U60" s="384"/>
      <c r="V60" s="384"/>
      <c r="W60" s="384"/>
      <c r="X60" s="384"/>
      <c r="Y60" s="329"/>
      <c r="Z60" s="329"/>
      <c r="AA60" s="329"/>
      <c r="AB60" s="329"/>
    </row>
    <row r="61" spans="1:31">
      <c r="A61" s="20"/>
      <c r="B61" s="64"/>
      <c r="C61" s="20"/>
      <c r="D61" s="20"/>
      <c r="E61" s="20"/>
      <c r="F61" s="64"/>
      <c r="G61" s="64"/>
      <c r="H61" s="64"/>
      <c r="I61" s="20"/>
      <c r="J61" s="20"/>
      <c r="K61" s="20"/>
      <c r="L61" s="20"/>
      <c r="M61" s="20"/>
      <c r="N61" s="20"/>
      <c r="O61" s="320"/>
      <c r="P61" s="320"/>
      <c r="R61" s="384"/>
      <c r="S61" s="384"/>
      <c r="T61" s="384"/>
      <c r="U61" s="384"/>
      <c r="V61" s="384"/>
      <c r="W61" s="384"/>
      <c r="X61" s="18"/>
      <c r="Y61" s="329"/>
      <c r="Z61" s="329"/>
      <c r="AA61" s="329"/>
      <c r="AB61" s="329"/>
    </row>
    <row r="62" spans="1:31">
      <c r="A62" s="20"/>
      <c r="B62" s="65"/>
      <c r="C62" s="20"/>
      <c r="D62" s="20"/>
      <c r="E62" s="20"/>
      <c r="F62" s="64"/>
      <c r="G62" s="64"/>
      <c r="H62" s="64"/>
      <c r="I62" s="20"/>
      <c r="J62" s="20"/>
      <c r="K62" s="20"/>
      <c r="L62" s="20"/>
      <c r="M62" s="20"/>
      <c r="N62" s="20"/>
      <c r="O62" s="320"/>
      <c r="P62" s="320"/>
      <c r="R62" s="384"/>
      <c r="S62" s="384"/>
      <c r="T62" s="384"/>
      <c r="U62" s="384"/>
      <c r="V62" s="384"/>
      <c r="W62" s="384"/>
      <c r="X62" s="18"/>
      <c r="Y62" s="329"/>
      <c r="Z62" s="332"/>
      <c r="AA62" s="332"/>
      <c r="AB62" s="332"/>
      <c r="AC62" s="332"/>
      <c r="AD62" s="332"/>
      <c r="AE62" s="332"/>
    </row>
    <row r="63" spans="1:31">
      <c r="A63" s="20"/>
      <c r="B63" s="65"/>
      <c r="C63" s="20"/>
      <c r="D63" s="20"/>
      <c r="E63" s="20"/>
      <c r="F63" s="64"/>
      <c r="G63" s="64"/>
      <c r="H63" s="64"/>
      <c r="I63" s="20"/>
      <c r="J63" s="20"/>
      <c r="K63" s="20"/>
      <c r="L63" s="20"/>
      <c r="M63" s="20"/>
      <c r="N63" s="20"/>
      <c r="O63" s="320"/>
      <c r="P63" s="320"/>
      <c r="R63" s="510"/>
      <c r="S63" s="510"/>
      <c r="T63" s="510"/>
      <c r="U63" s="510"/>
      <c r="V63" s="510"/>
      <c r="W63" s="510"/>
      <c r="X63" s="384"/>
      <c r="AC63" s="331"/>
      <c r="AD63" s="331"/>
      <c r="AE63" s="332"/>
    </row>
    <row r="64" spans="1:31">
      <c r="A64" s="20"/>
      <c r="B64" s="65"/>
      <c r="C64" s="20"/>
      <c r="D64" s="20"/>
      <c r="E64" s="20"/>
      <c r="F64" s="64"/>
      <c r="G64" s="64"/>
      <c r="H64" s="64"/>
      <c r="I64" s="20"/>
      <c r="J64" s="20"/>
      <c r="K64" s="20"/>
      <c r="L64" s="20"/>
      <c r="M64" s="20"/>
      <c r="N64" s="20"/>
      <c r="O64" s="320"/>
      <c r="P64" s="320"/>
      <c r="R64" s="367"/>
      <c r="S64" s="368"/>
      <c r="T64" s="368"/>
      <c r="U64" s="368"/>
      <c r="V64" s="382"/>
      <c r="W64" s="382"/>
      <c r="X64" s="382"/>
      <c r="AC64" s="332"/>
      <c r="AD64" s="332"/>
      <c r="AE64" s="332"/>
    </row>
    <row r="65" spans="1:31">
      <c r="A65" s="20"/>
      <c r="B65" s="64"/>
      <c r="C65" s="20"/>
      <c r="D65" s="20"/>
      <c r="L65" s="20"/>
      <c r="M65" s="20"/>
      <c r="O65" s="320"/>
      <c r="P65" s="320"/>
      <c r="R65" s="384"/>
      <c r="S65" s="340"/>
      <c r="T65" s="340"/>
      <c r="U65" s="340"/>
      <c r="V65" s="340"/>
      <c r="W65" s="342"/>
      <c r="X65" s="384"/>
      <c r="AC65" s="352"/>
      <c r="AD65" s="352"/>
      <c r="AE65" s="332"/>
    </row>
    <row r="66" spans="1:31">
      <c r="A66" s="20"/>
      <c r="B66" s="64"/>
      <c r="C66" s="20"/>
      <c r="D66" s="20"/>
      <c r="L66" s="20"/>
      <c r="M66" s="20"/>
      <c r="O66" s="320"/>
      <c r="P66" s="320"/>
      <c r="R66" s="384"/>
      <c r="S66" s="340"/>
      <c r="T66" s="340"/>
      <c r="U66" s="340"/>
      <c r="V66" s="340"/>
      <c r="W66" s="342"/>
      <c r="X66" s="384"/>
      <c r="AC66" s="332"/>
      <c r="AD66" s="332"/>
      <c r="AE66" s="332"/>
    </row>
    <row r="67" spans="1:31">
      <c r="A67" s="20"/>
      <c r="B67" s="64"/>
      <c r="C67" s="20"/>
      <c r="D67" s="20"/>
      <c r="L67" s="20"/>
      <c r="M67" s="20"/>
      <c r="O67" s="320"/>
      <c r="P67" s="320"/>
      <c r="R67" s="384"/>
      <c r="S67" s="340"/>
      <c r="T67" s="340"/>
      <c r="U67" s="340"/>
      <c r="V67" s="340"/>
      <c r="W67" s="342"/>
      <c r="X67" s="384"/>
      <c r="Z67" s="330" t="s">
        <v>512</v>
      </c>
      <c r="AA67" s="330" t="s">
        <v>513</v>
      </c>
      <c r="AB67" s="344" t="s">
        <v>553</v>
      </c>
      <c r="AC67" s="332"/>
      <c r="AD67" s="332"/>
      <c r="AE67" s="332"/>
    </row>
    <row r="68" spans="1:31">
      <c r="A68" s="20"/>
      <c r="B68" s="64"/>
      <c r="C68" s="20"/>
      <c r="D68" s="20"/>
      <c r="E68" s="20"/>
      <c r="F68" s="64"/>
      <c r="G68" s="64"/>
      <c r="H68" s="64"/>
      <c r="I68" s="20"/>
      <c r="J68" s="20"/>
      <c r="K68" s="20"/>
      <c r="L68" s="20"/>
      <c r="M68" s="20"/>
      <c r="N68" s="20"/>
      <c r="O68" s="320"/>
      <c r="P68" s="320"/>
      <c r="R68" s="384"/>
      <c r="S68" s="340"/>
      <c r="T68" s="340"/>
      <c r="U68" s="340"/>
      <c r="V68" s="340"/>
      <c r="W68" s="342"/>
      <c r="X68" s="384"/>
      <c r="Z68" s="61" t="s">
        <v>507</v>
      </c>
      <c r="AA68" s="61">
        <v>100</v>
      </c>
      <c r="AB68" s="62">
        <v>15</v>
      </c>
      <c r="AC68" s="332"/>
      <c r="AD68" s="332"/>
      <c r="AE68" s="332"/>
    </row>
    <row r="69" spans="1:31">
      <c r="B69" s="64"/>
      <c r="C69" s="20"/>
      <c r="D69" s="20"/>
      <c r="E69" s="20"/>
      <c r="F69" s="64"/>
      <c r="G69" s="64"/>
      <c r="H69" s="64"/>
      <c r="I69" s="20"/>
      <c r="J69" s="20"/>
      <c r="K69" s="20"/>
      <c r="L69" s="20"/>
      <c r="M69" s="20"/>
      <c r="N69" s="20"/>
      <c r="O69" s="320"/>
      <c r="P69" s="320"/>
      <c r="R69" s="384"/>
      <c r="S69" s="340"/>
      <c r="T69" s="340"/>
      <c r="U69" s="340"/>
      <c r="V69" s="340"/>
      <c r="W69" s="342"/>
      <c r="X69" s="384"/>
      <c r="Y69" s="332"/>
      <c r="Z69" s="345" t="s">
        <v>508</v>
      </c>
      <c r="AA69" s="345">
        <v>150</v>
      </c>
      <c r="AB69" s="60">
        <v>16.3689</v>
      </c>
      <c r="AC69" s="332"/>
      <c r="AD69" s="332"/>
      <c r="AE69" s="332"/>
    </row>
    <row r="70" spans="1:31">
      <c r="B70" s="64"/>
      <c r="C70" s="20"/>
      <c r="D70" s="20"/>
      <c r="E70" s="20"/>
      <c r="F70" s="64"/>
      <c r="G70" s="64"/>
      <c r="H70" s="64"/>
      <c r="I70" s="20"/>
      <c r="J70" s="20"/>
      <c r="K70" s="20"/>
      <c r="L70" s="20"/>
      <c r="M70" s="20"/>
      <c r="N70" s="20"/>
      <c r="O70" s="320"/>
      <c r="P70" s="320"/>
      <c r="R70" s="384"/>
      <c r="S70" s="340"/>
      <c r="T70" s="340"/>
      <c r="U70" s="340"/>
      <c r="V70" s="340"/>
      <c r="W70" s="342"/>
      <c r="X70" s="384"/>
      <c r="Y70" s="331"/>
      <c r="Z70" s="345" t="s">
        <v>509</v>
      </c>
      <c r="AA70" s="345">
        <v>200</v>
      </c>
      <c r="AB70" s="60">
        <v>16.746700000000001</v>
      </c>
      <c r="AC70" s="332"/>
      <c r="AD70" s="332"/>
      <c r="AE70" s="332"/>
    </row>
    <row r="71" spans="1:31">
      <c r="B71" s="64"/>
      <c r="C71" s="20"/>
      <c r="D71" s="20"/>
      <c r="E71" s="20"/>
      <c r="F71" s="64"/>
      <c r="G71" s="64"/>
      <c r="H71" s="64"/>
      <c r="I71" s="20"/>
      <c r="J71" s="20"/>
      <c r="K71" s="20"/>
      <c r="L71" s="20"/>
      <c r="M71" s="20"/>
      <c r="N71" s="20"/>
      <c r="O71" s="320"/>
      <c r="P71" s="320"/>
      <c r="R71" s="384"/>
      <c r="S71" s="340"/>
      <c r="T71" s="340"/>
      <c r="U71" s="340"/>
      <c r="V71" s="340"/>
      <c r="W71" s="342"/>
      <c r="X71" s="384"/>
      <c r="Y71" s="331"/>
      <c r="Z71" s="345" t="s">
        <v>510</v>
      </c>
      <c r="AA71" s="345">
        <v>250</v>
      </c>
      <c r="AB71" s="60">
        <v>16.886600000000001</v>
      </c>
      <c r="AC71" s="332"/>
      <c r="AD71" s="332"/>
      <c r="AE71" s="332"/>
    </row>
    <row r="72" spans="1:31">
      <c r="B72" s="64"/>
      <c r="C72" s="20"/>
      <c r="D72" s="20"/>
      <c r="E72" s="20"/>
      <c r="F72" s="64"/>
      <c r="G72" s="64"/>
      <c r="H72" s="64"/>
      <c r="I72" s="20"/>
      <c r="J72" s="20"/>
      <c r="K72" s="20"/>
      <c r="L72" s="20"/>
      <c r="M72" s="20"/>
      <c r="N72" s="20"/>
      <c r="O72" s="320"/>
      <c r="P72" s="320"/>
      <c r="R72" s="384"/>
      <c r="S72" s="340"/>
      <c r="T72" s="340"/>
      <c r="U72" s="342"/>
      <c r="V72" s="342"/>
      <c r="W72" s="342"/>
      <c r="X72" s="384"/>
      <c r="Y72" s="332"/>
      <c r="Z72" s="346" t="s">
        <v>511</v>
      </c>
      <c r="AA72" s="346">
        <v>400</v>
      </c>
      <c r="AB72" s="347">
        <v>17</v>
      </c>
      <c r="AC72" s="332"/>
      <c r="AD72" s="332"/>
      <c r="AE72" s="332"/>
    </row>
    <row r="73" spans="1:31">
      <c r="B73" s="64"/>
      <c r="C73" s="20"/>
      <c r="D73" s="20"/>
      <c r="E73" s="20"/>
      <c r="F73" s="64"/>
      <c r="G73" s="64"/>
      <c r="H73" s="64"/>
      <c r="I73" s="20"/>
      <c r="J73" s="20"/>
      <c r="K73" s="20"/>
      <c r="L73" s="20"/>
      <c r="M73" s="20"/>
      <c r="N73" s="20"/>
      <c r="O73" s="320"/>
      <c r="P73" s="320"/>
      <c r="R73" s="384"/>
      <c r="S73" s="342"/>
      <c r="T73" s="342"/>
      <c r="U73" s="342"/>
      <c r="V73" s="342"/>
      <c r="W73" s="342"/>
      <c r="X73" s="384"/>
      <c r="Y73" s="332"/>
      <c r="Z73" s="332"/>
      <c r="AA73" s="332"/>
      <c r="AC73" s="332"/>
      <c r="AD73" s="332"/>
      <c r="AE73" s="332"/>
    </row>
    <row r="74" spans="1:31">
      <c r="B74" s="64"/>
      <c r="C74" s="20"/>
      <c r="D74" s="20"/>
      <c r="E74" s="20"/>
      <c r="F74" s="64"/>
      <c r="G74" s="64"/>
      <c r="H74" s="64"/>
      <c r="I74" s="20"/>
      <c r="J74" s="20"/>
      <c r="K74" s="20"/>
      <c r="L74" s="20"/>
      <c r="M74" s="20"/>
      <c r="N74" s="20"/>
      <c r="O74" s="320"/>
      <c r="P74" s="320"/>
      <c r="R74" s="384"/>
      <c r="S74" s="342"/>
      <c r="T74" s="340"/>
      <c r="U74" s="342"/>
      <c r="V74" s="342"/>
      <c r="W74" s="342"/>
      <c r="X74" s="384"/>
      <c r="Y74" s="332"/>
      <c r="Z74" s="332"/>
      <c r="AA74" s="332"/>
      <c r="AC74" s="332"/>
      <c r="AD74" s="332"/>
      <c r="AE74" s="332"/>
    </row>
    <row r="75" spans="1:31">
      <c r="B75" s="64"/>
      <c r="C75" s="20"/>
      <c r="D75" s="20"/>
      <c r="E75" s="20"/>
      <c r="F75" s="64"/>
      <c r="G75" s="64"/>
      <c r="H75" s="64"/>
      <c r="I75" s="20"/>
      <c r="J75" s="20"/>
      <c r="K75" s="20"/>
      <c r="L75" s="20"/>
      <c r="M75" s="20"/>
      <c r="N75" s="20"/>
      <c r="O75" s="320"/>
      <c r="P75" s="320"/>
      <c r="R75" s="384"/>
      <c r="S75" s="342"/>
      <c r="T75" s="340"/>
      <c r="U75" s="342"/>
      <c r="V75" s="342"/>
      <c r="W75" s="342"/>
      <c r="X75" s="384"/>
      <c r="Y75" s="18"/>
      <c r="Z75" s="18"/>
      <c r="AA75" s="332"/>
      <c r="AC75" s="332"/>
      <c r="AD75" s="332"/>
      <c r="AE75" s="332"/>
    </row>
    <row r="76" spans="1:31">
      <c r="B76" s="64"/>
      <c r="C76" s="20"/>
      <c r="D76" s="20"/>
      <c r="E76" s="20"/>
      <c r="F76" s="64"/>
      <c r="G76" s="64"/>
      <c r="H76" s="64"/>
      <c r="I76" s="20"/>
      <c r="J76" s="20"/>
      <c r="K76" s="20"/>
      <c r="L76" s="20"/>
      <c r="M76" s="20"/>
      <c r="N76" s="20"/>
      <c r="O76" s="320"/>
      <c r="P76" s="320"/>
      <c r="R76" s="384"/>
      <c r="S76" s="342"/>
      <c r="T76" s="342"/>
      <c r="U76" s="342"/>
      <c r="V76" s="342"/>
      <c r="W76" s="342"/>
      <c r="X76" s="384"/>
      <c r="Y76" s="332"/>
      <c r="Z76" s="332"/>
      <c r="AC76" s="332"/>
      <c r="AD76" s="332"/>
      <c r="AE76" s="332"/>
    </row>
    <row r="77" spans="1:31">
      <c r="B77" s="64"/>
      <c r="C77" s="20"/>
      <c r="D77" s="20"/>
      <c r="E77" s="20"/>
      <c r="F77" s="64"/>
      <c r="G77" s="64"/>
      <c r="H77" s="64"/>
      <c r="I77" s="20"/>
      <c r="J77" s="20"/>
      <c r="K77" s="20"/>
      <c r="L77" s="20"/>
      <c r="M77" s="20"/>
      <c r="N77" s="20"/>
      <c r="O77" s="320"/>
      <c r="P77" s="320"/>
      <c r="R77" s="382"/>
      <c r="S77" s="342"/>
      <c r="T77" s="342"/>
      <c r="U77" s="342"/>
      <c r="V77" s="342"/>
      <c r="W77" s="342"/>
      <c r="X77" s="383"/>
      <c r="Y77" s="332"/>
      <c r="Z77" s="332"/>
      <c r="AC77" s="332"/>
      <c r="AD77" s="332"/>
      <c r="AE77" s="332"/>
    </row>
    <row r="78" spans="1:31">
      <c r="B78" s="64"/>
      <c r="C78" s="20"/>
      <c r="D78" s="20"/>
      <c r="E78" s="20"/>
      <c r="F78" s="64"/>
      <c r="G78" s="64"/>
      <c r="H78" s="64"/>
      <c r="I78" s="20"/>
      <c r="J78" s="20"/>
      <c r="K78" s="20"/>
      <c r="L78" s="20"/>
      <c r="M78" s="20"/>
      <c r="N78" s="20"/>
      <c r="O78" s="320"/>
      <c r="P78" s="320"/>
      <c r="R78" s="382"/>
      <c r="S78" s="384"/>
      <c r="T78" s="384"/>
      <c r="U78" s="384"/>
      <c r="V78" s="384"/>
      <c r="W78" s="384"/>
      <c r="X78" s="382"/>
      <c r="Y78" s="332"/>
      <c r="Z78" s="332"/>
      <c r="AC78" s="332"/>
      <c r="AD78" s="332"/>
      <c r="AE78" s="332"/>
    </row>
    <row r="79" spans="1:31">
      <c r="B79" s="64"/>
      <c r="C79" s="20"/>
      <c r="D79" s="20"/>
      <c r="E79" s="20"/>
      <c r="F79" s="64"/>
      <c r="G79" s="64"/>
      <c r="H79" s="64"/>
      <c r="I79" s="20"/>
      <c r="J79" s="20"/>
      <c r="K79" s="20"/>
      <c r="L79" s="20"/>
      <c r="M79" s="20"/>
      <c r="N79" s="20"/>
      <c r="O79" s="320"/>
      <c r="P79" s="320"/>
      <c r="R79" s="382"/>
      <c r="S79" s="384"/>
      <c r="T79" s="384"/>
      <c r="U79" s="384"/>
      <c r="V79" s="384"/>
      <c r="W79" s="384"/>
      <c r="X79" s="382"/>
      <c r="Y79" s="332"/>
      <c r="Z79" s="332"/>
      <c r="AC79" s="320"/>
      <c r="AD79" s="320"/>
    </row>
    <row r="80" spans="1:31">
      <c r="B80" s="64"/>
      <c r="C80" s="20"/>
      <c r="D80" s="20"/>
      <c r="E80" s="20"/>
      <c r="F80" s="64"/>
      <c r="G80" s="64"/>
      <c r="H80" s="64"/>
      <c r="I80" s="20"/>
      <c r="J80" s="20"/>
      <c r="K80" s="20"/>
      <c r="L80" s="20"/>
      <c r="M80" s="20"/>
      <c r="N80" s="20"/>
      <c r="O80" s="320"/>
      <c r="P80" s="320"/>
      <c r="R80" s="384"/>
      <c r="S80" s="384"/>
      <c r="T80" s="384"/>
      <c r="U80" s="384"/>
      <c r="V80" s="384"/>
      <c r="W80" s="384"/>
      <c r="X80" s="384"/>
      <c r="Z80" s="197"/>
      <c r="AC80" s="197"/>
      <c r="AD80" s="197"/>
    </row>
    <row r="81" spans="2:41">
      <c r="B81" s="64"/>
      <c r="C81" s="20"/>
      <c r="D81" s="20"/>
      <c r="E81" s="20"/>
      <c r="F81" s="64"/>
      <c r="G81" s="64"/>
      <c r="H81" s="64"/>
      <c r="I81" s="20"/>
      <c r="J81" s="20"/>
      <c r="K81" s="20"/>
      <c r="L81" s="20"/>
      <c r="M81" s="20"/>
      <c r="N81" s="20"/>
      <c r="O81" s="320"/>
      <c r="P81" s="320"/>
      <c r="R81" s="384"/>
      <c r="S81" s="384"/>
      <c r="T81" s="18"/>
      <c r="U81" s="384"/>
      <c r="V81" s="384"/>
      <c r="W81" s="384"/>
      <c r="X81" s="384"/>
      <c r="Z81" s="320"/>
      <c r="AA81" s="320"/>
      <c r="AC81" s="320"/>
      <c r="AD81" s="320"/>
    </row>
    <row r="82" spans="2:41">
      <c r="B82" s="64"/>
      <c r="C82" s="20"/>
      <c r="D82" s="20"/>
      <c r="E82" s="20"/>
      <c r="F82" s="64"/>
      <c r="G82" s="64"/>
      <c r="H82" s="64"/>
      <c r="I82" s="20"/>
      <c r="J82" s="20"/>
      <c r="K82" s="20"/>
      <c r="L82" s="20"/>
      <c r="M82" s="20"/>
      <c r="N82" s="20"/>
      <c r="O82" s="320"/>
      <c r="P82" s="320"/>
      <c r="R82" s="510"/>
      <c r="S82" s="510"/>
      <c r="T82" s="510"/>
      <c r="U82" s="510"/>
      <c r="V82" s="510"/>
      <c r="W82" s="510"/>
      <c r="X82" s="384"/>
      <c r="Z82" s="520" t="s">
        <v>605</v>
      </c>
      <c r="AA82" s="521"/>
      <c r="AB82" s="521"/>
      <c r="AC82" s="521"/>
      <c r="AD82" s="521"/>
      <c r="AE82" s="522"/>
      <c r="AF82" s="164"/>
    </row>
    <row r="83" spans="2:41">
      <c r="B83" s="64"/>
      <c r="C83" s="20"/>
      <c r="D83" s="20"/>
      <c r="E83" s="20"/>
      <c r="F83" s="64"/>
      <c r="G83" s="64"/>
      <c r="H83" s="64"/>
      <c r="I83" s="20"/>
      <c r="J83" s="20"/>
      <c r="K83" s="20"/>
      <c r="L83" s="20"/>
      <c r="M83" s="20"/>
      <c r="N83" s="20"/>
      <c r="O83" s="320"/>
      <c r="P83" s="320"/>
      <c r="R83" s="367"/>
      <c r="S83" s="368"/>
      <c r="T83" s="368"/>
      <c r="U83" s="368"/>
      <c r="V83" s="382"/>
      <c r="W83" s="382"/>
      <c r="X83" s="382"/>
      <c r="Z83" s="336" t="s">
        <v>506</v>
      </c>
      <c r="AA83" s="338" t="s">
        <v>507</v>
      </c>
      <c r="AB83" s="338" t="s">
        <v>508</v>
      </c>
      <c r="AC83" s="338" t="s">
        <v>509</v>
      </c>
      <c r="AD83" s="338" t="s">
        <v>510</v>
      </c>
      <c r="AE83" s="339" t="s">
        <v>558</v>
      </c>
      <c r="AF83" s="312" t="s">
        <v>417</v>
      </c>
    </row>
    <row r="84" spans="2:41">
      <c r="B84" s="64"/>
      <c r="C84" s="20"/>
      <c r="D84" s="20"/>
      <c r="E84" s="20"/>
      <c r="F84" s="64"/>
      <c r="G84" s="64"/>
      <c r="H84" s="64"/>
      <c r="I84" s="20"/>
      <c r="J84" s="20"/>
      <c r="K84" s="20"/>
      <c r="L84" s="20"/>
      <c r="M84" s="20"/>
      <c r="N84" s="20"/>
      <c r="O84" s="320"/>
      <c r="P84" s="320"/>
      <c r="R84" s="384"/>
      <c r="S84" s="340"/>
      <c r="T84" s="340"/>
      <c r="U84" s="340"/>
      <c r="V84" s="340"/>
      <c r="W84" s="342"/>
      <c r="X84" s="384"/>
      <c r="Z84" s="60" t="s">
        <v>84</v>
      </c>
      <c r="AA84" s="340">
        <v>0</v>
      </c>
      <c r="AB84" s="340">
        <v>0</v>
      </c>
      <c r="AC84" s="341">
        <v>0</v>
      </c>
      <c r="AD84" s="341">
        <v>0</v>
      </c>
      <c r="AE84" s="342">
        <v>0</v>
      </c>
      <c r="AF84" s="343">
        <f>SUM(AA84:AE84)</f>
        <v>0</v>
      </c>
    </row>
    <row r="85" spans="2:41">
      <c r="B85" s="64"/>
      <c r="C85" s="20"/>
      <c r="D85" s="20"/>
      <c r="E85" s="20"/>
      <c r="F85" s="64"/>
      <c r="G85" s="64"/>
      <c r="H85" s="64"/>
      <c r="I85" s="20"/>
      <c r="J85" s="20"/>
      <c r="K85" s="20"/>
      <c r="L85" s="20"/>
      <c r="M85" s="20"/>
      <c r="N85" s="20"/>
      <c r="O85" s="320"/>
      <c r="P85" s="320"/>
      <c r="R85" s="384"/>
      <c r="S85" s="340"/>
      <c r="T85" s="340"/>
      <c r="U85" s="340"/>
      <c r="V85" s="340"/>
      <c r="W85" s="342"/>
      <c r="X85" s="384"/>
      <c r="Z85" s="60" t="s">
        <v>85</v>
      </c>
      <c r="AA85" s="340">
        <v>3</v>
      </c>
      <c r="AB85" s="340">
        <v>1</v>
      </c>
      <c r="AC85" s="340">
        <v>0</v>
      </c>
      <c r="AD85" s="340">
        <v>0</v>
      </c>
      <c r="AE85" s="342">
        <v>0</v>
      </c>
      <c r="AF85" s="60">
        <f t="shared" ref="AF85:AF95" si="10">SUM(AA85:AE85)</f>
        <v>4</v>
      </c>
    </row>
    <row r="86" spans="2:41">
      <c r="B86" s="64"/>
      <c r="C86" s="20"/>
      <c r="D86" s="20"/>
      <c r="E86" s="20"/>
      <c r="F86" s="64"/>
      <c r="G86" s="64"/>
      <c r="H86" s="64"/>
      <c r="I86" s="20"/>
      <c r="J86" s="20"/>
      <c r="K86" s="20"/>
      <c r="L86" s="20"/>
      <c r="M86" s="20"/>
      <c r="N86" s="20"/>
      <c r="O86" s="320"/>
      <c r="P86" s="320"/>
      <c r="R86" s="384"/>
      <c r="S86" s="340"/>
      <c r="T86" s="340"/>
      <c r="U86" s="340"/>
      <c r="V86" s="340"/>
      <c r="W86" s="342"/>
      <c r="X86" s="384"/>
      <c r="Z86" s="60" t="s">
        <v>86</v>
      </c>
      <c r="AA86" s="340">
        <v>0</v>
      </c>
      <c r="AB86" s="340">
        <v>0</v>
      </c>
      <c r="AC86" s="340">
        <v>2</v>
      </c>
      <c r="AD86" s="340">
        <v>0</v>
      </c>
      <c r="AE86" s="342">
        <v>0</v>
      </c>
      <c r="AF86" s="60">
        <f t="shared" si="10"/>
        <v>2</v>
      </c>
    </row>
    <row r="87" spans="2:41">
      <c r="B87" s="64"/>
      <c r="C87" s="20"/>
      <c r="D87" s="20"/>
      <c r="E87" s="20"/>
      <c r="F87" s="64"/>
      <c r="G87" s="64"/>
      <c r="H87" s="64"/>
      <c r="I87" s="20"/>
      <c r="J87" s="20"/>
      <c r="K87" s="20"/>
      <c r="L87" s="20"/>
      <c r="M87" s="20"/>
      <c r="N87" s="20"/>
      <c r="O87" s="320"/>
      <c r="P87" s="320"/>
      <c r="R87" s="384"/>
      <c r="S87" s="340"/>
      <c r="T87" s="340"/>
      <c r="U87" s="340"/>
      <c r="V87" s="340"/>
      <c r="W87" s="342"/>
      <c r="X87" s="384"/>
      <c r="Z87" s="60" t="s">
        <v>87</v>
      </c>
      <c r="AA87" s="340">
        <v>0</v>
      </c>
      <c r="AB87" s="340">
        <v>0</v>
      </c>
      <c r="AC87" s="340">
        <v>3</v>
      </c>
      <c r="AD87" s="340">
        <v>1</v>
      </c>
      <c r="AE87" s="342">
        <v>0</v>
      </c>
      <c r="AF87" s="60">
        <f t="shared" si="10"/>
        <v>4</v>
      </c>
      <c r="AI87" s="409"/>
      <c r="AJ87" s="409"/>
    </row>
    <row r="88" spans="2:41">
      <c r="B88" s="64"/>
      <c r="C88" s="20"/>
      <c r="D88" s="20"/>
      <c r="E88" s="20"/>
      <c r="F88" s="64"/>
      <c r="G88" s="64"/>
      <c r="H88" s="64"/>
      <c r="I88" s="20"/>
      <c r="J88" s="20"/>
      <c r="K88" s="20"/>
      <c r="L88" s="20"/>
      <c r="M88" s="20"/>
      <c r="N88" s="20"/>
      <c r="O88" s="320"/>
      <c r="P88" s="320"/>
      <c r="R88" s="384"/>
      <c r="S88" s="340"/>
      <c r="T88" s="340"/>
      <c r="U88" s="340"/>
      <c r="V88" s="340"/>
      <c r="W88" s="342"/>
      <c r="X88" s="384"/>
      <c r="Z88" s="60" t="s">
        <v>88</v>
      </c>
      <c r="AA88" s="340">
        <v>2</v>
      </c>
      <c r="AB88" s="340">
        <v>2</v>
      </c>
      <c r="AC88" s="340">
        <v>5</v>
      </c>
      <c r="AD88" s="340">
        <v>0</v>
      </c>
      <c r="AE88" s="342">
        <v>0</v>
      </c>
      <c r="AF88" s="60">
        <f t="shared" si="10"/>
        <v>9</v>
      </c>
      <c r="AI88" s="406" t="s">
        <v>512</v>
      </c>
      <c r="AJ88" s="406" t="s">
        <v>513</v>
      </c>
      <c r="AK88" s="344" t="s">
        <v>514</v>
      </c>
    </row>
    <row r="89" spans="2:41">
      <c r="B89" s="64"/>
      <c r="C89" s="20"/>
      <c r="D89" s="20"/>
      <c r="E89" s="20"/>
      <c r="F89" s="64"/>
      <c r="G89" s="64"/>
      <c r="H89" s="64"/>
      <c r="I89" s="20"/>
      <c r="J89" s="20"/>
      <c r="K89" s="20"/>
      <c r="L89" s="20"/>
      <c r="M89" s="20"/>
      <c r="N89" s="20"/>
      <c r="O89" s="320"/>
      <c r="P89" s="320"/>
      <c r="R89" s="384"/>
      <c r="S89" s="340"/>
      <c r="T89" s="340"/>
      <c r="U89" s="340"/>
      <c r="V89" s="340"/>
      <c r="W89" s="342"/>
      <c r="X89" s="384"/>
      <c r="Z89" s="60" t="s">
        <v>89</v>
      </c>
      <c r="AA89" s="340">
        <v>1</v>
      </c>
      <c r="AB89" s="340">
        <v>0</v>
      </c>
      <c r="AC89" s="340">
        <v>0</v>
      </c>
      <c r="AD89" s="340">
        <v>0</v>
      </c>
      <c r="AE89" s="342">
        <v>0</v>
      </c>
      <c r="AF89" s="60">
        <f t="shared" si="10"/>
        <v>1</v>
      </c>
      <c r="AI89" s="61" t="s">
        <v>507</v>
      </c>
      <c r="AJ89" s="61">
        <v>100</v>
      </c>
      <c r="AK89" s="416">
        <v>15</v>
      </c>
    </row>
    <row r="90" spans="2:41">
      <c r="B90" s="64"/>
      <c r="C90" s="20"/>
      <c r="D90" s="20"/>
      <c r="E90" s="20"/>
      <c r="F90" s="64"/>
      <c r="G90" s="64"/>
      <c r="H90" s="64"/>
      <c r="I90" s="20"/>
      <c r="J90" s="20"/>
      <c r="K90" s="20"/>
      <c r="L90" s="20"/>
      <c r="M90" s="20"/>
      <c r="N90" s="20"/>
      <c r="O90" s="320"/>
      <c r="P90" s="320"/>
      <c r="R90" s="384"/>
      <c r="S90" s="340"/>
      <c r="T90" s="340"/>
      <c r="U90" s="340"/>
      <c r="V90" s="340"/>
      <c r="W90" s="342"/>
      <c r="X90" s="384"/>
      <c r="Z90" s="60" t="s">
        <v>90</v>
      </c>
      <c r="AA90" s="340">
        <v>1</v>
      </c>
      <c r="AB90" s="340">
        <v>0</v>
      </c>
      <c r="AC90" s="340">
        <v>0</v>
      </c>
      <c r="AD90" s="340">
        <v>1</v>
      </c>
      <c r="AE90" s="342">
        <v>0</v>
      </c>
      <c r="AF90" s="60">
        <f t="shared" si="10"/>
        <v>2</v>
      </c>
      <c r="AI90" s="345" t="s">
        <v>508</v>
      </c>
      <c r="AJ90" s="345">
        <v>150</v>
      </c>
      <c r="AK90" s="417">
        <v>16.3689</v>
      </c>
    </row>
    <row r="91" spans="2:41">
      <c r="B91" s="64"/>
      <c r="C91" s="20"/>
      <c r="D91" s="20"/>
      <c r="E91" s="20"/>
      <c r="F91" s="64"/>
      <c r="G91" s="64"/>
      <c r="H91" s="64"/>
      <c r="I91" s="20"/>
      <c r="J91" s="20"/>
      <c r="K91" s="20"/>
      <c r="L91" s="20"/>
      <c r="M91" s="20"/>
      <c r="N91" s="20"/>
      <c r="O91" s="320"/>
      <c r="P91" s="320"/>
      <c r="R91" s="384"/>
      <c r="S91" s="340"/>
      <c r="T91" s="340"/>
      <c r="U91" s="342"/>
      <c r="V91" s="342"/>
      <c r="W91" s="342"/>
      <c r="X91" s="384"/>
      <c r="Z91" s="60" t="s">
        <v>91</v>
      </c>
      <c r="AA91" s="340">
        <v>3</v>
      </c>
      <c r="AB91" s="340">
        <v>5</v>
      </c>
      <c r="AC91" s="342">
        <v>1</v>
      </c>
      <c r="AD91" s="342">
        <v>0</v>
      </c>
      <c r="AE91" s="342">
        <v>0</v>
      </c>
      <c r="AF91" s="60">
        <f t="shared" si="10"/>
        <v>9</v>
      </c>
      <c r="AI91" s="345" t="s">
        <v>509</v>
      </c>
      <c r="AJ91" s="345">
        <v>200</v>
      </c>
      <c r="AK91" s="417">
        <v>16.746700000000001</v>
      </c>
    </row>
    <row r="92" spans="2:41">
      <c r="B92" s="64"/>
      <c r="C92" s="20"/>
      <c r="D92" s="20"/>
      <c r="E92" s="20"/>
      <c r="F92" s="64"/>
      <c r="G92" s="64"/>
      <c r="H92" s="64"/>
      <c r="I92" s="20"/>
      <c r="J92" s="20"/>
      <c r="K92" s="20"/>
      <c r="L92" s="20"/>
      <c r="M92" s="20"/>
      <c r="N92" s="20"/>
      <c r="O92" s="320"/>
      <c r="P92" s="320"/>
      <c r="R92" s="384"/>
      <c r="S92" s="342"/>
      <c r="T92" s="342"/>
      <c r="U92" s="342"/>
      <c r="V92" s="342"/>
      <c r="W92" s="342"/>
      <c r="X92" s="384"/>
      <c r="Z92" s="60" t="s">
        <v>92</v>
      </c>
      <c r="AA92" s="342">
        <v>1</v>
      </c>
      <c r="AB92" s="342">
        <v>1</v>
      </c>
      <c r="AC92" s="342">
        <v>0</v>
      </c>
      <c r="AD92" s="342">
        <v>0</v>
      </c>
      <c r="AE92" s="342">
        <v>0</v>
      </c>
      <c r="AF92" s="60">
        <f t="shared" si="10"/>
        <v>2</v>
      </c>
      <c r="AI92" s="345" t="s">
        <v>510</v>
      </c>
      <c r="AJ92" s="345">
        <v>250</v>
      </c>
      <c r="AK92" s="417">
        <v>16.886600000000001</v>
      </c>
    </row>
    <row r="93" spans="2:41">
      <c r="B93" s="64"/>
      <c r="C93" s="20"/>
      <c r="D93" s="20"/>
      <c r="E93" s="20"/>
      <c r="F93" s="64"/>
      <c r="G93" s="64"/>
      <c r="H93" s="64"/>
      <c r="I93" s="20"/>
      <c r="J93" s="20"/>
      <c r="K93" s="20"/>
      <c r="L93" s="20"/>
      <c r="M93" s="20"/>
      <c r="N93" s="20"/>
      <c r="O93" s="320"/>
      <c r="P93" s="320"/>
      <c r="R93" s="384"/>
      <c r="S93" s="342"/>
      <c r="T93" s="340"/>
      <c r="U93" s="342"/>
      <c r="V93" s="342"/>
      <c r="W93" s="342"/>
      <c r="X93" s="384"/>
      <c r="Z93" s="60" t="s">
        <v>93</v>
      </c>
      <c r="AA93" s="342">
        <v>1</v>
      </c>
      <c r="AB93" s="340">
        <v>1</v>
      </c>
      <c r="AC93" s="342">
        <v>3</v>
      </c>
      <c r="AD93" s="342">
        <v>0</v>
      </c>
      <c r="AE93" s="342">
        <v>0</v>
      </c>
      <c r="AF93" s="60">
        <f t="shared" si="10"/>
        <v>5</v>
      </c>
      <c r="AI93" s="346" t="s">
        <v>558</v>
      </c>
      <c r="AJ93" s="346">
        <v>300</v>
      </c>
      <c r="AK93" s="418">
        <v>17</v>
      </c>
    </row>
    <row r="94" spans="2:41">
      <c r="B94" s="64"/>
      <c r="C94" s="20"/>
      <c r="D94" s="20"/>
      <c r="E94" s="20"/>
      <c r="F94" s="64"/>
      <c r="G94" s="64"/>
      <c r="H94" s="64"/>
      <c r="I94" s="20"/>
      <c r="J94" s="20"/>
      <c r="K94" s="20"/>
      <c r="L94" s="20"/>
      <c r="M94" s="20"/>
      <c r="N94" s="20"/>
      <c r="O94" s="320"/>
      <c r="P94" s="320"/>
      <c r="R94" s="384"/>
      <c r="S94" s="342"/>
      <c r="T94" s="340"/>
      <c r="U94" s="342"/>
      <c r="V94" s="342"/>
      <c r="W94" s="342"/>
      <c r="X94" s="384"/>
      <c r="Z94" s="60" t="s">
        <v>94</v>
      </c>
      <c r="AA94" s="342">
        <v>4</v>
      </c>
      <c r="AB94" s="340">
        <v>1</v>
      </c>
      <c r="AC94" s="342">
        <v>2</v>
      </c>
      <c r="AD94" s="342">
        <v>0</v>
      </c>
      <c r="AE94" s="342">
        <v>0</v>
      </c>
      <c r="AF94" s="60">
        <f t="shared" si="10"/>
        <v>7</v>
      </c>
    </row>
    <row r="95" spans="2:41">
      <c r="B95" s="64"/>
      <c r="C95" s="20"/>
      <c r="D95" s="20"/>
      <c r="E95" s="20"/>
      <c r="F95" s="64"/>
      <c r="G95" s="64"/>
      <c r="H95" s="64"/>
      <c r="I95" s="20"/>
      <c r="J95" s="20"/>
      <c r="K95" s="20"/>
      <c r="L95" s="20"/>
      <c r="M95" s="20"/>
      <c r="N95" s="20"/>
      <c r="O95" s="320"/>
      <c r="P95" s="320"/>
      <c r="R95" s="384"/>
      <c r="S95" s="342"/>
      <c r="T95" s="342"/>
      <c r="U95" s="342"/>
      <c r="V95" s="342"/>
      <c r="W95" s="342"/>
      <c r="X95" s="384"/>
      <c r="Z95" s="347" t="s">
        <v>505</v>
      </c>
      <c r="AA95" s="348">
        <v>0</v>
      </c>
      <c r="AB95" s="348">
        <v>2</v>
      </c>
      <c r="AC95" s="348">
        <v>0</v>
      </c>
      <c r="AD95" s="348">
        <v>0</v>
      </c>
      <c r="AE95" s="348">
        <v>0</v>
      </c>
      <c r="AF95" s="347">
        <f t="shared" si="10"/>
        <v>2</v>
      </c>
    </row>
    <row r="96" spans="2:41">
      <c r="B96" s="64"/>
      <c r="C96" s="20"/>
      <c r="D96" s="20"/>
      <c r="E96" s="20"/>
      <c r="F96" s="64"/>
      <c r="G96" s="64"/>
      <c r="H96" s="64"/>
      <c r="I96" s="20"/>
      <c r="J96" s="20"/>
      <c r="K96" s="20"/>
      <c r="L96" s="20"/>
      <c r="M96" s="20"/>
      <c r="N96" s="20"/>
      <c r="O96" s="320"/>
      <c r="P96" s="320"/>
      <c r="R96" s="382"/>
      <c r="S96" s="342"/>
      <c r="T96" s="342"/>
      <c r="U96" s="342"/>
      <c r="V96" s="342"/>
      <c r="W96" s="342"/>
      <c r="X96" s="383"/>
      <c r="Z96" s="312" t="s">
        <v>515</v>
      </c>
      <c r="AA96" s="349">
        <f t="shared" ref="AA96:AF96" si="11">SUM(AA84:AA95)</f>
        <v>16</v>
      </c>
      <c r="AB96" s="349">
        <f t="shared" si="11"/>
        <v>13</v>
      </c>
      <c r="AC96" s="349">
        <f t="shared" si="11"/>
        <v>16</v>
      </c>
      <c r="AD96" s="349">
        <f t="shared" si="11"/>
        <v>2</v>
      </c>
      <c r="AE96" s="349">
        <f t="shared" si="11"/>
        <v>0</v>
      </c>
      <c r="AF96" s="350">
        <f t="shared" si="11"/>
        <v>47</v>
      </c>
      <c r="AI96" s="520" t="s">
        <v>569</v>
      </c>
      <c r="AJ96" s="521"/>
      <c r="AK96" s="521"/>
      <c r="AL96" s="521"/>
      <c r="AM96" s="521"/>
      <c r="AN96" s="522"/>
      <c r="AO96" s="164"/>
    </row>
    <row r="97" spans="2:42">
      <c r="B97" s="64"/>
      <c r="C97" s="20"/>
      <c r="D97" s="20"/>
      <c r="E97" s="20"/>
      <c r="F97" s="64"/>
      <c r="G97" s="64"/>
      <c r="H97" s="64"/>
      <c r="I97" s="20"/>
      <c r="J97" s="20"/>
      <c r="K97" s="20"/>
      <c r="L97" s="20"/>
      <c r="M97" s="20"/>
      <c r="N97" s="20"/>
      <c r="O97" s="320"/>
      <c r="P97" s="320"/>
      <c r="R97" s="382"/>
      <c r="S97" s="384"/>
      <c r="T97" s="384"/>
      <c r="U97" s="384"/>
      <c r="V97" s="384"/>
      <c r="W97" s="384"/>
      <c r="X97" s="382"/>
      <c r="Z97" s="312" t="s">
        <v>514</v>
      </c>
      <c r="AA97" s="351">
        <f>PRODUCT(AA96,AK89)</f>
        <v>240</v>
      </c>
      <c r="AB97" s="414">
        <f>PRODUCT(AB96,AK90)</f>
        <v>212.79570000000001</v>
      </c>
      <c r="AC97" s="414">
        <f>PRODUCT(AC96,AK91)</f>
        <v>267.94720000000001</v>
      </c>
      <c r="AD97" s="414">
        <f>PRODUCT(AD96,AK92)</f>
        <v>33.773200000000003</v>
      </c>
      <c r="AE97" s="414">
        <f>PRODUCT(AE96,AK93)</f>
        <v>0</v>
      </c>
      <c r="AF97" s="415">
        <f>SUM(AA97:AE97)</f>
        <v>754.51609999999994</v>
      </c>
      <c r="AI97" s="336" t="s">
        <v>506</v>
      </c>
      <c r="AJ97" s="338" t="s">
        <v>507</v>
      </c>
      <c r="AK97" s="338" t="s">
        <v>508</v>
      </c>
      <c r="AL97" s="338" t="s">
        <v>509</v>
      </c>
      <c r="AM97" s="338" t="s">
        <v>510</v>
      </c>
      <c r="AN97" s="339" t="s">
        <v>558</v>
      </c>
      <c r="AO97" s="312" t="s">
        <v>417</v>
      </c>
    </row>
    <row r="98" spans="2:42">
      <c r="B98" s="64"/>
      <c r="C98" s="20"/>
      <c r="D98" s="20"/>
      <c r="E98" s="20"/>
      <c r="F98" s="64"/>
      <c r="G98" s="64"/>
      <c r="H98" s="64"/>
      <c r="I98" s="20"/>
      <c r="J98" s="20"/>
      <c r="K98" s="20"/>
      <c r="L98" s="20"/>
      <c r="M98" s="20"/>
      <c r="N98" s="20"/>
      <c r="O98" s="320"/>
      <c r="P98" s="320"/>
      <c r="R98" s="382"/>
      <c r="S98" s="384"/>
      <c r="T98" s="384"/>
      <c r="U98" s="384"/>
      <c r="V98" s="384"/>
      <c r="W98" s="384"/>
      <c r="X98" s="382"/>
      <c r="Z98" s="312" t="s">
        <v>513</v>
      </c>
      <c r="AA98" s="351">
        <f>AA96*AJ89</f>
        <v>1600</v>
      </c>
      <c r="AB98" s="351">
        <f>AB96*AJ90</f>
        <v>1950</v>
      </c>
      <c r="AC98" s="351">
        <f>AC96*AJ91</f>
        <v>3200</v>
      </c>
      <c r="AD98" s="351">
        <f>AD96*AJ92</f>
        <v>500</v>
      </c>
      <c r="AE98" s="351">
        <f>AE96*AJ93</f>
        <v>0</v>
      </c>
      <c r="AF98" s="312">
        <f>SUM(AA98:AE98)</f>
        <v>7250</v>
      </c>
      <c r="AI98" s="60" t="s">
        <v>84</v>
      </c>
      <c r="AJ98" s="342">
        <f>AA84+AA104</f>
        <v>0</v>
      </c>
      <c r="AK98" s="342">
        <f>AB84+AB104</f>
        <v>8</v>
      </c>
      <c r="AL98" s="342">
        <f>AC84+AC104</f>
        <v>3</v>
      </c>
      <c r="AM98" s="342">
        <f>AD84+AD104</f>
        <v>2</v>
      </c>
      <c r="AN98" s="342">
        <f>AE84+AE104</f>
        <v>0</v>
      </c>
      <c r="AO98" s="343">
        <f>SUM(AJ98:AN98)</f>
        <v>13</v>
      </c>
    </row>
    <row r="99" spans="2:42">
      <c r="B99" s="64"/>
      <c r="C99" s="20"/>
      <c r="D99" s="20"/>
      <c r="E99" s="20"/>
      <c r="F99" s="64"/>
      <c r="G99" s="64"/>
      <c r="H99" s="64"/>
      <c r="I99" s="20"/>
      <c r="J99" s="20"/>
      <c r="K99" s="20"/>
      <c r="L99" s="20"/>
      <c r="M99" s="20"/>
      <c r="N99" s="20"/>
      <c r="O99" s="320"/>
      <c r="P99" s="320"/>
      <c r="AI99" s="60" t="s">
        <v>85</v>
      </c>
      <c r="AJ99" s="342">
        <f t="shared" ref="AJ99:AJ109" si="12">AA85+AA105</f>
        <v>3</v>
      </c>
      <c r="AK99" s="342">
        <f t="shared" ref="AK99:AK109" si="13">AB85+AB105</f>
        <v>12</v>
      </c>
      <c r="AL99" s="342">
        <f t="shared" ref="AL99:AL109" si="14">AC85+AC105</f>
        <v>6</v>
      </c>
      <c r="AM99" s="342">
        <f t="shared" ref="AM99:AM109" si="15">AD85+AD105</f>
        <v>0</v>
      </c>
      <c r="AN99" s="342">
        <f t="shared" ref="AN99:AN109" si="16">AE85+AE105</f>
        <v>4</v>
      </c>
      <c r="AO99" s="60">
        <f t="shared" ref="AO99:AO109" si="17">SUM(AJ99:AN99)</f>
        <v>25</v>
      </c>
    </row>
    <row r="100" spans="2:42">
      <c r="B100" s="64"/>
      <c r="C100" s="20"/>
      <c r="D100" s="20"/>
      <c r="E100" s="20"/>
      <c r="F100" s="64"/>
      <c r="G100" s="64"/>
      <c r="H100" s="64"/>
      <c r="I100" s="20"/>
      <c r="J100" s="20"/>
      <c r="K100" s="20"/>
      <c r="L100" s="20"/>
      <c r="M100" s="20"/>
      <c r="N100" s="20"/>
      <c r="O100" s="320"/>
      <c r="P100" s="320"/>
      <c r="AI100" s="60" t="s">
        <v>86</v>
      </c>
      <c r="AJ100" s="342">
        <f t="shared" si="12"/>
        <v>0</v>
      </c>
      <c r="AK100" s="342">
        <f t="shared" si="13"/>
        <v>0</v>
      </c>
      <c r="AL100" s="342">
        <f t="shared" si="14"/>
        <v>6</v>
      </c>
      <c r="AM100" s="342">
        <f t="shared" si="15"/>
        <v>0</v>
      </c>
      <c r="AN100" s="342">
        <f t="shared" si="16"/>
        <v>2</v>
      </c>
      <c r="AO100" s="60">
        <f t="shared" si="17"/>
        <v>8</v>
      </c>
    </row>
    <row r="101" spans="2:42">
      <c r="B101" s="64"/>
      <c r="C101" s="20"/>
      <c r="D101" s="20"/>
      <c r="E101" s="20"/>
      <c r="F101" s="64"/>
      <c r="G101" s="64"/>
      <c r="H101" s="64"/>
      <c r="I101" s="20"/>
      <c r="J101" s="20"/>
      <c r="K101" s="20"/>
      <c r="L101" s="20"/>
      <c r="M101" s="20"/>
      <c r="N101" s="20"/>
      <c r="O101" s="320"/>
      <c r="P101" s="320"/>
      <c r="AI101" s="60" t="s">
        <v>87</v>
      </c>
      <c r="AJ101" s="342">
        <f t="shared" si="12"/>
        <v>0</v>
      </c>
      <c r="AK101" s="342">
        <f t="shared" si="13"/>
        <v>20</v>
      </c>
      <c r="AL101" s="342">
        <f t="shared" si="14"/>
        <v>30</v>
      </c>
      <c r="AM101" s="342">
        <f t="shared" si="15"/>
        <v>16</v>
      </c>
      <c r="AN101" s="342">
        <f t="shared" si="16"/>
        <v>0</v>
      </c>
      <c r="AO101" s="60">
        <f t="shared" si="17"/>
        <v>66</v>
      </c>
    </row>
    <row r="102" spans="2:42">
      <c r="B102" s="64"/>
      <c r="C102" s="20"/>
      <c r="D102" s="20"/>
      <c r="E102" s="20"/>
      <c r="F102" s="64"/>
      <c r="G102" s="64"/>
      <c r="H102" s="64"/>
      <c r="I102" s="20"/>
      <c r="J102" s="20"/>
      <c r="K102" s="20"/>
      <c r="L102" s="20"/>
      <c r="M102" s="20"/>
      <c r="N102" s="20"/>
      <c r="O102" s="320"/>
      <c r="P102" s="320"/>
      <c r="Z102" s="520" t="s">
        <v>568</v>
      </c>
      <c r="AA102" s="521"/>
      <c r="AB102" s="521"/>
      <c r="AC102" s="521"/>
      <c r="AD102" s="521"/>
      <c r="AE102" s="522"/>
      <c r="AF102" s="164"/>
      <c r="AI102" s="60" t="s">
        <v>88</v>
      </c>
      <c r="AJ102" s="342">
        <f t="shared" si="12"/>
        <v>2</v>
      </c>
      <c r="AK102" s="342">
        <f t="shared" si="13"/>
        <v>2</v>
      </c>
      <c r="AL102" s="342">
        <f t="shared" si="14"/>
        <v>18</v>
      </c>
      <c r="AM102" s="342">
        <f t="shared" si="15"/>
        <v>1</v>
      </c>
      <c r="AN102" s="342">
        <f t="shared" si="16"/>
        <v>0</v>
      </c>
      <c r="AO102" s="60">
        <f t="shared" si="17"/>
        <v>23</v>
      </c>
    </row>
    <row r="103" spans="2:42">
      <c r="B103" s="64"/>
      <c r="C103" s="20"/>
      <c r="D103" s="20"/>
      <c r="E103" s="20"/>
      <c r="F103" s="64"/>
      <c r="G103" s="64"/>
      <c r="H103" s="64"/>
      <c r="I103" s="20"/>
      <c r="J103" s="20"/>
      <c r="K103" s="20"/>
      <c r="L103" s="20"/>
      <c r="M103" s="20"/>
      <c r="N103" s="20"/>
      <c r="O103" s="320"/>
      <c r="P103" s="320"/>
      <c r="Z103" s="336" t="s">
        <v>506</v>
      </c>
      <c r="AA103" s="338" t="s">
        <v>507</v>
      </c>
      <c r="AB103" s="338" t="s">
        <v>508</v>
      </c>
      <c r="AC103" s="338" t="s">
        <v>509</v>
      </c>
      <c r="AD103" s="338" t="s">
        <v>510</v>
      </c>
      <c r="AE103" s="339" t="s">
        <v>558</v>
      </c>
      <c r="AF103" s="312" t="s">
        <v>417</v>
      </c>
      <c r="AI103" s="60" t="s">
        <v>89</v>
      </c>
      <c r="AJ103" s="342">
        <f t="shared" si="12"/>
        <v>1</v>
      </c>
      <c r="AK103" s="342">
        <f t="shared" si="13"/>
        <v>13</v>
      </c>
      <c r="AL103" s="342">
        <f t="shared" si="14"/>
        <v>1</v>
      </c>
      <c r="AM103" s="342">
        <f t="shared" si="15"/>
        <v>1</v>
      </c>
      <c r="AN103" s="342">
        <f t="shared" si="16"/>
        <v>0</v>
      </c>
      <c r="AO103" s="60">
        <f t="shared" si="17"/>
        <v>16</v>
      </c>
    </row>
    <row r="104" spans="2:42">
      <c r="B104" s="64"/>
      <c r="C104" s="20"/>
      <c r="D104" s="20"/>
      <c r="E104" s="20"/>
      <c r="F104" s="64"/>
      <c r="G104" s="64"/>
      <c r="H104" s="64"/>
      <c r="I104" s="20"/>
      <c r="J104" s="20"/>
      <c r="K104" s="20"/>
      <c r="L104" s="20"/>
      <c r="M104" s="20"/>
      <c r="N104" s="20"/>
      <c r="O104" s="320"/>
      <c r="P104" s="320"/>
      <c r="Z104" s="60" t="s">
        <v>84</v>
      </c>
      <c r="AA104" s="342">
        <v>0</v>
      </c>
      <c r="AB104" s="342">
        <f>8</f>
        <v>8</v>
      </c>
      <c r="AC104" s="412">
        <f>2+1</f>
        <v>3</v>
      </c>
      <c r="AD104" s="412">
        <f>2</f>
        <v>2</v>
      </c>
      <c r="AE104" s="342">
        <v>0</v>
      </c>
      <c r="AF104" s="343">
        <f>SUM(AA104:AE104)</f>
        <v>13</v>
      </c>
      <c r="AI104" s="60" t="s">
        <v>90</v>
      </c>
      <c r="AJ104" s="342">
        <f t="shared" si="12"/>
        <v>1</v>
      </c>
      <c r="AK104" s="342">
        <f t="shared" si="13"/>
        <v>0</v>
      </c>
      <c r="AL104" s="342">
        <f t="shared" si="14"/>
        <v>1</v>
      </c>
      <c r="AM104" s="342">
        <f t="shared" si="15"/>
        <v>3</v>
      </c>
      <c r="AN104" s="342">
        <f t="shared" si="16"/>
        <v>2</v>
      </c>
      <c r="AO104" s="60">
        <f t="shared" si="17"/>
        <v>7</v>
      </c>
    </row>
    <row r="105" spans="2:42">
      <c r="B105" s="64"/>
      <c r="C105" s="20"/>
      <c r="D105" s="20"/>
      <c r="E105" s="20"/>
      <c r="F105" s="64"/>
      <c r="G105" s="64"/>
      <c r="H105" s="64"/>
      <c r="I105" s="20"/>
      <c r="J105" s="20"/>
      <c r="K105" s="20"/>
      <c r="L105" s="20"/>
      <c r="M105" s="20"/>
      <c r="N105" s="20"/>
      <c r="O105" s="320"/>
      <c r="P105" s="320"/>
      <c r="Z105" s="60" t="s">
        <v>85</v>
      </c>
      <c r="AA105" s="342">
        <v>0</v>
      </c>
      <c r="AB105" s="342">
        <f>5+3+3</f>
        <v>11</v>
      </c>
      <c r="AC105" s="342">
        <f>4+2</f>
        <v>6</v>
      </c>
      <c r="AD105" s="342">
        <v>0</v>
      </c>
      <c r="AE105" s="342">
        <f>2+2</f>
        <v>4</v>
      </c>
      <c r="AF105" s="60">
        <f t="shared" ref="AF105:AF115" si="18">SUM(AA105:AE105)</f>
        <v>21</v>
      </c>
      <c r="AI105" s="60" t="s">
        <v>91</v>
      </c>
      <c r="AJ105" s="342">
        <f t="shared" si="12"/>
        <v>3</v>
      </c>
      <c r="AK105" s="342">
        <f t="shared" si="13"/>
        <v>22</v>
      </c>
      <c r="AL105" s="342">
        <f t="shared" si="14"/>
        <v>4</v>
      </c>
      <c r="AM105" s="342">
        <f t="shared" si="15"/>
        <v>2</v>
      </c>
      <c r="AN105" s="342">
        <f t="shared" si="16"/>
        <v>0</v>
      </c>
      <c r="AO105" s="60">
        <f t="shared" si="17"/>
        <v>31</v>
      </c>
    </row>
    <row r="106" spans="2:42">
      <c r="B106" s="64"/>
      <c r="C106" s="20"/>
      <c r="D106" s="20"/>
      <c r="E106" s="20"/>
      <c r="F106" s="64"/>
      <c r="G106" s="64"/>
      <c r="H106" s="64"/>
      <c r="I106" s="20"/>
      <c r="J106" s="20"/>
      <c r="K106" s="20"/>
      <c r="L106" s="20"/>
      <c r="M106" s="20"/>
      <c r="N106" s="20"/>
      <c r="O106" s="320"/>
      <c r="P106" s="320"/>
      <c r="Z106" s="60" t="s">
        <v>86</v>
      </c>
      <c r="AA106" s="342">
        <v>0</v>
      </c>
      <c r="AB106" s="342">
        <v>0</v>
      </c>
      <c r="AC106" s="340">
        <f>3+1</f>
        <v>4</v>
      </c>
      <c r="AD106" s="342">
        <v>0</v>
      </c>
      <c r="AE106" s="342">
        <f>2</f>
        <v>2</v>
      </c>
      <c r="AF106" s="60">
        <f t="shared" si="18"/>
        <v>6</v>
      </c>
      <c r="AI106" s="60" t="s">
        <v>92</v>
      </c>
      <c r="AJ106" s="342">
        <f t="shared" si="12"/>
        <v>1</v>
      </c>
      <c r="AK106" s="342">
        <f t="shared" si="13"/>
        <v>7</v>
      </c>
      <c r="AL106" s="342">
        <f t="shared" si="14"/>
        <v>13</v>
      </c>
      <c r="AM106" s="342">
        <f t="shared" si="15"/>
        <v>0</v>
      </c>
      <c r="AN106" s="342">
        <f t="shared" si="16"/>
        <v>0</v>
      </c>
      <c r="AO106" s="60">
        <f t="shared" si="17"/>
        <v>21</v>
      </c>
    </row>
    <row r="107" spans="2:42">
      <c r="B107" s="64"/>
      <c r="C107" s="20"/>
      <c r="D107" s="20"/>
      <c r="E107" s="20"/>
      <c r="F107" s="64"/>
      <c r="G107" s="64"/>
      <c r="H107" s="64"/>
      <c r="I107" s="20"/>
      <c r="J107" s="20"/>
      <c r="K107" s="20"/>
      <c r="L107" s="20"/>
      <c r="M107" s="20"/>
      <c r="N107" s="20"/>
      <c r="O107" s="320"/>
      <c r="P107" s="320"/>
      <c r="Z107" s="60" t="s">
        <v>87</v>
      </c>
      <c r="AA107" s="342">
        <v>0</v>
      </c>
      <c r="AB107" s="413">
        <f>8+6+6</f>
        <v>20</v>
      </c>
      <c r="AC107" s="342">
        <f>4+3+6+11+3</f>
        <v>27</v>
      </c>
      <c r="AD107" s="342">
        <f>2+6+7</f>
        <v>15</v>
      </c>
      <c r="AE107" s="342">
        <v>0</v>
      </c>
      <c r="AF107" s="60">
        <f t="shared" si="18"/>
        <v>62</v>
      </c>
      <c r="AI107" s="60" t="s">
        <v>93</v>
      </c>
      <c r="AJ107" s="342">
        <f t="shared" si="12"/>
        <v>1</v>
      </c>
      <c r="AK107" s="342">
        <f t="shared" si="13"/>
        <v>1</v>
      </c>
      <c r="AL107" s="342">
        <f t="shared" si="14"/>
        <v>6</v>
      </c>
      <c r="AM107" s="342">
        <f t="shared" si="15"/>
        <v>6</v>
      </c>
      <c r="AN107" s="342">
        <f t="shared" si="16"/>
        <v>0</v>
      </c>
      <c r="AO107" s="60">
        <f t="shared" si="17"/>
        <v>14</v>
      </c>
    </row>
    <row r="108" spans="2:42">
      <c r="B108" s="64"/>
      <c r="C108" s="20"/>
      <c r="D108" s="20"/>
      <c r="E108" s="20"/>
      <c r="F108" s="64"/>
      <c r="G108" s="64"/>
      <c r="H108" s="64"/>
      <c r="I108" s="20"/>
      <c r="J108" s="20"/>
      <c r="K108" s="20"/>
      <c r="L108" s="20"/>
      <c r="M108" s="20"/>
      <c r="N108" s="20"/>
      <c r="O108" s="320"/>
      <c r="P108" s="320"/>
      <c r="Z108" s="60" t="s">
        <v>88</v>
      </c>
      <c r="AA108" s="342">
        <v>0</v>
      </c>
      <c r="AB108" s="342">
        <v>0</v>
      </c>
      <c r="AC108" s="342">
        <f>2+2+1+6+1+1</f>
        <v>13</v>
      </c>
      <c r="AD108" s="342">
        <f>1</f>
        <v>1</v>
      </c>
      <c r="AE108" s="342">
        <v>0</v>
      </c>
      <c r="AF108" s="60">
        <f t="shared" si="18"/>
        <v>14</v>
      </c>
      <c r="AI108" s="60" t="s">
        <v>94</v>
      </c>
      <c r="AJ108" s="342">
        <f t="shared" si="12"/>
        <v>4</v>
      </c>
      <c r="AK108" s="342">
        <f t="shared" si="13"/>
        <v>3</v>
      </c>
      <c r="AL108" s="342">
        <f t="shared" si="14"/>
        <v>5</v>
      </c>
      <c r="AM108" s="342">
        <f t="shared" si="15"/>
        <v>7</v>
      </c>
      <c r="AN108" s="342">
        <f t="shared" si="16"/>
        <v>0</v>
      </c>
      <c r="AO108" s="60">
        <f t="shared" si="17"/>
        <v>19</v>
      </c>
    </row>
    <row r="109" spans="2:42">
      <c r="B109" s="64"/>
      <c r="C109" s="20"/>
      <c r="D109" s="20"/>
      <c r="E109" s="20"/>
      <c r="F109" s="64"/>
      <c r="G109" s="64"/>
      <c r="H109" s="64"/>
      <c r="I109" s="20"/>
      <c r="J109" s="20"/>
      <c r="K109" s="20"/>
      <c r="L109" s="20"/>
      <c r="M109" s="20"/>
      <c r="N109" s="20"/>
      <c r="O109" s="320"/>
      <c r="P109" s="320"/>
      <c r="Z109" s="60" t="s">
        <v>89</v>
      </c>
      <c r="AA109" s="342">
        <v>0</v>
      </c>
      <c r="AB109" s="342">
        <f>5+6+2</f>
        <v>13</v>
      </c>
      <c r="AC109" s="342">
        <f>1</f>
        <v>1</v>
      </c>
      <c r="AD109" s="342">
        <f>1</f>
        <v>1</v>
      </c>
      <c r="AE109" s="342">
        <v>0</v>
      </c>
      <c r="AF109" s="60">
        <f t="shared" si="18"/>
        <v>15</v>
      </c>
      <c r="AI109" s="347" t="s">
        <v>505</v>
      </c>
      <c r="AJ109" s="342">
        <f t="shared" si="12"/>
        <v>0</v>
      </c>
      <c r="AK109" s="342">
        <f t="shared" si="13"/>
        <v>3</v>
      </c>
      <c r="AL109" s="342">
        <f t="shared" si="14"/>
        <v>3</v>
      </c>
      <c r="AM109" s="342">
        <f t="shared" si="15"/>
        <v>0</v>
      </c>
      <c r="AN109" s="342">
        <f t="shared" si="16"/>
        <v>0</v>
      </c>
      <c r="AO109" s="347">
        <f t="shared" si="17"/>
        <v>6</v>
      </c>
    </row>
    <row r="110" spans="2:42">
      <c r="B110" s="64"/>
      <c r="C110" s="20"/>
      <c r="D110" s="20"/>
      <c r="E110" s="20"/>
      <c r="F110" s="64"/>
      <c r="G110" s="64"/>
      <c r="H110" s="64"/>
      <c r="I110" s="20"/>
      <c r="J110" s="20"/>
      <c r="K110" s="20"/>
      <c r="L110" s="20"/>
      <c r="M110" s="20"/>
      <c r="N110" s="20"/>
      <c r="O110" s="320"/>
      <c r="P110" s="320"/>
      <c r="Z110" s="60" t="s">
        <v>90</v>
      </c>
      <c r="AA110" s="342">
        <v>0</v>
      </c>
      <c r="AB110" s="340">
        <v>0</v>
      </c>
      <c r="AC110" s="340">
        <f>1</f>
        <v>1</v>
      </c>
      <c r="AD110" s="342">
        <f>2</f>
        <v>2</v>
      </c>
      <c r="AE110" s="342">
        <f>2</f>
        <v>2</v>
      </c>
      <c r="AF110" s="60">
        <f t="shared" si="18"/>
        <v>5</v>
      </c>
      <c r="AI110" s="312" t="s">
        <v>515</v>
      </c>
      <c r="AJ110" s="349">
        <f t="shared" ref="AJ110:AO110" si="19">SUM(AJ98:AJ109)</f>
        <v>16</v>
      </c>
      <c r="AK110" s="349">
        <f t="shared" si="19"/>
        <v>91</v>
      </c>
      <c r="AL110" s="349">
        <f t="shared" si="19"/>
        <v>96</v>
      </c>
      <c r="AM110" s="349">
        <f t="shared" si="19"/>
        <v>38</v>
      </c>
      <c r="AN110" s="349">
        <f t="shared" si="19"/>
        <v>8</v>
      </c>
      <c r="AO110" s="350">
        <f t="shared" si="19"/>
        <v>249</v>
      </c>
      <c r="AP110" s="409"/>
    </row>
    <row r="111" spans="2:42">
      <c r="B111" s="64"/>
      <c r="C111" s="20"/>
      <c r="D111" s="20"/>
      <c r="E111" s="20"/>
      <c r="F111" s="64"/>
      <c r="G111" s="64"/>
      <c r="H111" s="64"/>
      <c r="I111" s="20"/>
      <c r="J111" s="20"/>
      <c r="K111" s="20"/>
      <c r="L111" s="20"/>
      <c r="M111" s="20"/>
      <c r="N111" s="20"/>
      <c r="O111" s="320"/>
      <c r="P111" s="320"/>
      <c r="Z111" s="60" t="s">
        <v>91</v>
      </c>
      <c r="AA111" s="342">
        <v>0</v>
      </c>
      <c r="AB111" s="340">
        <f>3+6+2+3+2+1</f>
        <v>17</v>
      </c>
      <c r="AC111" s="342">
        <f>1+2</f>
        <v>3</v>
      </c>
      <c r="AD111" s="342">
        <f>2</f>
        <v>2</v>
      </c>
      <c r="AE111" s="342">
        <v>0</v>
      </c>
      <c r="AF111" s="60">
        <f t="shared" si="18"/>
        <v>22</v>
      </c>
      <c r="AI111" s="312" t="s">
        <v>514</v>
      </c>
      <c r="AJ111" s="351">
        <f>PRODUCT(AJ110*AK89)</f>
        <v>240</v>
      </c>
      <c r="AK111" s="414">
        <f>PRODUCT(AK110*AK90)</f>
        <v>1489.5699</v>
      </c>
      <c r="AL111" s="414">
        <f>PRODUCT(AL110*AK91)</f>
        <v>1607.6831999999999</v>
      </c>
      <c r="AM111" s="414">
        <f>PRODUCT(AM110*AK92)</f>
        <v>641.69080000000008</v>
      </c>
      <c r="AN111" s="414">
        <f>PRODUCT(AN110*AK93)</f>
        <v>136</v>
      </c>
      <c r="AO111" s="415">
        <f>SUM(AJ111:AN111)</f>
        <v>4114.9439000000002</v>
      </c>
      <c r="AP111" s="405"/>
    </row>
    <row r="112" spans="2:42">
      <c r="B112" s="64"/>
      <c r="C112" s="20"/>
      <c r="D112" s="20"/>
      <c r="E112" s="20"/>
      <c r="F112" s="64"/>
      <c r="G112" s="64"/>
      <c r="H112" s="64"/>
      <c r="I112" s="20"/>
      <c r="J112" s="20"/>
      <c r="K112" s="20"/>
      <c r="L112" s="20"/>
      <c r="M112" s="20"/>
      <c r="N112" s="20"/>
      <c r="O112" s="320"/>
      <c r="P112" s="320"/>
      <c r="Z112" s="60" t="s">
        <v>92</v>
      </c>
      <c r="AA112" s="342">
        <v>0</v>
      </c>
      <c r="AB112" s="340">
        <f>3+3</f>
        <v>6</v>
      </c>
      <c r="AC112" s="342">
        <f>11+2</f>
        <v>13</v>
      </c>
      <c r="AD112" s="342">
        <v>0</v>
      </c>
      <c r="AE112" s="342">
        <v>0</v>
      </c>
      <c r="AF112" s="60">
        <f t="shared" si="18"/>
        <v>19</v>
      </c>
      <c r="AI112" s="312" t="s">
        <v>559</v>
      </c>
      <c r="AJ112" s="351">
        <f>AJ110*AJ89</f>
        <v>1600</v>
      </c>
      <c r="AK112" s="351">
        <f>AK110*AJ90</f>
        <v>13650</v>
      </c>
      <c r="AL112" s="351">
        <f>AL110*AJ91</f>
        <v>19200</v>
      </c>
      <c r="AM112" s="351">
        <f>AM110*AJ92</f>
        <v>9500</v>
      </c>
      <c r="AN112" s="351">
        <f>AN110*AJ93</f>
        <v>2400</v>
      </c>
      <c r="AO112" s="312">
        <f>SUM(AJ112:AN112)</f>
        <v>46350</v>
      </c>
      <c r="AP112" s="409"/>
    </row>
    <row r="113" spans="1:32">
      <c r="B113" s="64"/>
      <c r="C113" s="20"/>
      <c r="D113" s="20"/>
      <c r="E113" s="20"/>
      <c r="F113" s="64"/>
      <c r="G113" s="64"/>
      <c r="H113" s="64"/>
      <c r="I113" s="20"/>
      <c r="J113" s="20"/>
      <c r="K113" s="20"/>
      <c r="L113" s="20"/>
      <c r="M113" s="20"/>
      <c r="N113" s="20"/>
      <c r="O113" s="320"/>
      <c r="P113" s="320"/>
      <c r="Z113" s="60" t="s">
        <v>93</v>
      </c>
      <c r="AA113" s="342">
        <v>0</v>
      </c>
      <c r="AB113" s="340">
        <v>0</v>
      </c>
      <c r="AC113" s="342">
        <f>2+1</f>
        <v>3</v>
      </c>
      <c r="AD113" s="342">
        <f>6</f>
        <v>6</v>
      </c>
      <c r="AE113" s="342">
        <v>0</v>
      </c>
      <c r="AF113" s="60">
        <f t="shared" si="18"/>
        <v>9</v>
      </c>
    </row>
    <row r="114" spans="1:32">
      <c r="B114" s="64"/>
      <c r="C114" s="20"/>
      <c r="D114" s="20"/>
      <c r="E114" s="20"/>
      <c r="F114" s="64"/>
      <c r="G114" s="64"/>
      <c r="H114" s="64"/>
      <c r="I114" s="20"/>
      <c r="J114" s="20"/>
      <c r="K114" s="20"/>
      <c r="L114" s="20"/>
      <c r="M114" s="20"/>
      <c r="N114" s="20"/>
      <c r="O114" s="320"/>
      <c r="P114" s="320"/>
      <c r="Z114" s="60" t="s">
        <v>94</v>
      </c>
      <c r="AA114" s="342">
        <v>0</v>
      </c>
      <c r="AB114" s="413">
        <f>2</f>
        <v>2</v>
      </c>
      <c r="AC114" s="342">
        <f>2+1</f>
        <v>3</v>
      </c>
      <c r="AD114" s="342">
        <f>7</f>
        <v>7</v>
      </c>
      <c r="AE114" s="342">
        <v>0</v>
      </c>
      <c r="AF114" s="60">
        <f t="shared" si="18"/>
        <v>12</v>
      </c>
    </row>
    <row r="115" spans="1:32">
      <c r="B115" s="64"/>
      <c r="C115" s="20"/>
      <c r="D115" s="20"/>
      <c r="E115" s="20"/>
      <c r="F115" s="64"/>
      <c r="G115" s="64"/>
      <c r="H115" s="64"/>
      <c r="I115" s="20"/>
      <c r="J115" s="20"/>
      <c r="K115" s="20"/>
      <c r="L115" s="20"/>
      <c r="M115" s="20"/>
      <c r="N115" s="20"/>
      <c r="O115" s="320"/>
      <c r="P115" s="320"/>
      <c r="Z115" s="347" t="s">
        <v>505</v>
      </c>
      <c r="AA115" s="342">
        <v>0</v>
      </c>
      <c r="AB115" s="348">
        <f>1</f>
        <v>1</v>
      </c>
      <c r="AC115" s="348">
        <f>3</f>
        <v>3</v>
      </c>
      <c r="AD115" s="348">
        <v>0</v>
      </c>
      <c r="AE115" s="342">
        <v>0</v>
      </c>
      <c r="AF115" s="347">
        <f t="shared" si="18"/>
        <v>4</v>
      </c>
    </row>
    <row r="116" spans="1:32">
      <c r="B116" s="64"/>
      <c r="C116" s="20"/>
      <c r="D116" s="20"/>
      <c r="E116" s="20"/>
      <c r="F116" s="64"/>
      <c r="G116" s="64"/>
      <c r="H116" s="64"/>
      <c r="I116" s="20"/>
      <c r="J116" s="20"/>
      <c r="K116" s="20"/>
      <c r="L116" s="20"/>
      <c r="M116" s="20"/>
      <c r="N116" s="20"/>
      <c r="O116" s="320"/>
      <c r="P116" s="320"/>
      <c r="Z116" s="312" t="s">
        <v>515</v>
      </c>
      <c r="AA116" s="349">
        <f t="shared" ref="AA116:AF116" si="20">SUM(AA104:AA115)</f>
        <v>0</v>
      </c>
      <c r="AB116" s="349">
        <f t="shared" si="20"/>
        <v>78</v>
      </c>
      <c r="AC116" s="349">
        <f t="shared" si="20"/>
        <v>80</v>
      </c>
      <c r="AD116" s="349">
        <f t="shared" si="20"/>
        <v>36</v>
      </c>
      <c r="AE116" s="349">
        <f t="shared" si="20"/>
        <v>8</v>
      </c>
      <c r="AF116" s="350">
        <f t="shared" si="20"/>
        <v>202</v>
      </c>
    </row>
    <row r="117" spans="1:32">
      <c r="B117" s="64"/>
      <c r="C117" s="20"/>
      <c r="D117" s="20"/>
      <c r="E117" s="20"/>
      <c r="F117" s="64"/>
      <c r="G117" s="64"/>
      <c r="H117" s="64"/>
      <c r="I117" s="20"/>
      <c r="J117" s="20"/>
      <c r="K117" s="20"/>
      <c r="L117" s="20"/>
      <c r="M117" s="20"/>
      <c r="N117" s="20"/>
      <c r="O117" s="320"/>
      <c r="P117" s="320"/>
      <c r="Z117" s="312" t="s">
        <v>514</v>
      </c>
      <c r="AA117" s="414">
        <f>PRODUCT(AA116*AK89)</f>
        <v>0</v>
      </c>
      <c r="AB117" s="414">
        <f>PRODUCT(AB116*AK90)</f>
        <v>1276.7742000000001</v>
      </c>
      <c r="AC117" s="414">
        <f>PRODUCT(AC116*AK91)</f>
        <v>1339.7360000000001</v>
      </c>
      <c r="AD117" s="414">
        <f>PRODUCT(AD116*AK92)</f>
        <v>607.91759999999999</v>
      </c>
      <c r="AE117" s="414">
        <f>PRODUCT(AE116*AK93)</f>
        <v>136</v>
      </c>
      <c r="AF117" s="415">
        <f>SUM(AA117:AE117)</f>
        <v>3360.4278000000004</v>
      </c>
    </row>
    <row r="118" spans="1:32">
      <c r="B118" s="64"/>
      <c r="C118" s="20"/>
      <c r="D118" s="20"/>
      <c r="E118" s="20"/>
      <c r="F118" s="64"/>
      <c r="G118" s="64"/>
      <c r="H118" s="64"/>
      <c r="I118" s="20"/>
      <c r="J118" s="20"/>
      <c r="K118" s="20"/>
      <c r="L118" s="20"/>
      <c r="M118" s="20"/>
      <c r="N118" s="20"/>
      <c r="O118" s="320"/>
      <c r="P118" s="320"/>
      <c r="Z118" s="312" t="s">
        <v>559</v>
      </c>
      <c r="AA118" s="351">
        <f>AA116*AJ89</f>
        <v>0</v>
      </c>
      <c r="AB118" s="351">
        <f>AB116*AJ90</f>
        <v>11700</v>
      </c>
      <c r="AC118" s="351">
        <f>AC116*AJ91</f>
        <v>16000</v>
      </c>
      <c r="AD118" s="351">
        <f>AD116*AJ92</f>
        <v>9000</v>
      </c>
      <c r="AE118" s="351">
        <f>AE116*AJ93</f>
        <v>2400</v>
      </c>
      <c r="AF118" s="312">
        <f>SUM(AA118:AE118)</f>
        <v>39100</v>
      </c>
    </row>
    <row r="119" spans="1:32">
      <c r="B119" s="64"/>
      <c r="C119" s="20"/>
      <c r="D119" s="20"/>
      <c r="E119" s="20"/>
      <c r="F119" s="64"/>
      <c r="G119" s="64"/>
      <c r="H119" s="64"/>
      <c r="I119" s="20"/>
      <c r="J119" s="20"/>
      <c r="K119" s="20"/>
      <c r="L119" s="20"/>
      <c r="M119" s="20"/>
      <c r="N119" s="20"/>
      <c r="O119" s="320"/>
      <c r="P119" s="320"/>
    </row>
    <row r="120" spans="1:32">
      <c r="B120" s="64"/>
      <c r="C120" s="20"/>
      <c r="D120" s="20"/>
      <c r="E120" s="20"/>
      <c r="F120" s="64"/>
      <c r="G120" s="64"/>
      <c r="H120" s="64"/>
      <c r="I120" s="20"/>
      <c r="J120" s="20"/>
      <c r="K120" s="20"/>
      <c r="L120" s="20"/>
      <c r="M120" s="20"/>
      <c r="N120" s="20"/>
      <c r="O120" s="320"/>
      <c r="P120" s="320"/>
    </row>
    <row r="121" spans="1:32">
      <c r="B121" s="64"/>
      <c r="C121" s="20"/>
      <c r="D121" s="20"/>
      <c r="E121" s="20"/>
      <c r="F121" s="64"/>
      <c r="G121" s="64"/>
      <c r="H121" s="64"/>
      <c r="I121" s="20"/>
      <c r="J121" s="20"/>
      <c r="K121" s="20"/>
      <c r="L121" s="20"/>
      <c r="M121" s="20"/>
      <c r="N121" s="20"/>
      <c r="O121" s="320"/>
      <c r="P121" s="320"/>
      <c r="Z121" s="523"/>
      <c r="AA121" s="523"/>
      <c r="AB121" s="523"/>
      <c r="AC121" s="523"/>
      <c r="AD121" s="523"/>
      <c r="AE121" s="523"/>
      <c r="AF121" s="320"/>
    </row>
    <row r="122" spans="1:32">
      <c r="B122" s="64"/>
      <c r="C122" s="20"/>
      <c r="D122" s="20"/>
      <c r="E122" s="20"/>
      <c r="F122" s="64"/>
      <c r="G122" s="64"/>
      <c r="H122" s="64"/>
      <c r="I122" s="20"/>
      <c r="J122" s="20"/>
      <c r="K122" s="20"/>
      <c r="L122" s="20"/>
      <c r="M122" s="20"/>
      <c r="N122" s="20"/>
      <c r="O122" s="320"/>
      <c r="P122" s="320"/>
      <c r="Z122" s="367"/>
      <c r="AA122" s="405"/>
      <c r="AB122" s="405"/>
      <c r="AC122" s="405"/>
      <c r="AD122" s="405"/>
      <c r="AE122" s="405"/>
      <c r="AF122" s="405"/>
    </row>
    <row r="123" spans="1:32">
      <c r="B123" s="64"/>
      <c r="C123" s="20"/>
      <c r="D123" s="20"/>
      <c r="E123" s="20"/>
      <c r="F123" s="64"/>
      <c r="G123" s="64"/>
      <c r="H123" s="64"/>
      <c r="I123" s="20"/>
      <c r="J123" s="20"/>
      <c r="K123" s="20"/>
      <c r="L123" s="20"/>
      <c r="M123" s="20"/>
      <c r="N123" s="20"/>
      <c r="O123" s="320"/>
      <c r="P123" s="320"/>
      <c r="Z123" s="409"/>
      <c r="AA123" s="342"/>
      <c r="AB123" s="342"/>
      <c r="AC123" s="342"/>
      <c r="AD123" s="342"/>
      <c r="AE123" s="342"/>
      <c r="AF123" s="409"/>
    </row>
    <row r="124" spans="1:32">
      <c r="A124" s="20"/>
      <c r="B124" s="64"/>
      <c r="C124" s="20"/>
      <c r="D124" s="20"/>
      <c r="E124" s="20"/>
      <c r="F124" s="64"/>
      <c r="G124" s="64"/>
      <c r="H124" s="64"/>
      <c r="I124" s="20"/>
      <c r="J124" s="20"/>
      <c r="K124" s="20"/>
      <c r="L124" s="20"/>
      <c r="M124" s="20"/>
      <c r="N124" s="20"/>
      <c r="O124" s="320"/>
      <c r="P124" s="320"/>
      <c r="Z124" s="409"/>
      <c r="AA124" s="342"/>
      <c r="AB124" s="342"/>
      <c r="AC124" s="342"/>
      <c r="AD124" s="342"/>
      <c r="AE124" s="342"/>
      <c r="AF124" s="409"/>
    </row>
    <row r="125" spans="1:32">
      <c r="A125" s="20"/>
      <c r="B125" s="64"/>
      <c r="C125" s="20"/>
      <c r="D125" s="20"/>
      <c r="E125" s="20"/>
      <c r="F125" s="64"/>
      <c r="G125" s="64"/>
      <c r="H125" s="64"/>
      <c r="I125" s="20"/>
      <c r="J125" s="20"/>
      <c r="K125" s="20"/>
      <c r="L125" s="20"/>
      <c r="M125" s="20"/>
      <c r="N125" s="20"/>
      <c r="O125" s="320"/>
      <c r="P125" s="320"/>
      <c r="Z125" s="409"/>
      <c r="AA125" s="342"/>
      <c r="AB125" s="342"/>
      <c r="AC125" s="340"/>
      <c r="AD125" s="342"/>
      <c r="AE125" s="342"/>
      <c r="AF125" s="409"/>
    </row>
    <row r="126" spans="1:32">
      <c r="A126" s="20"/>
      <c r="B126" s="64"/>
      <c r="C126" s="20"/>
      <c r="D126" s="20"/>
      <c r="E126" s="20"/>
      <c r="F126" s="64"/>
      <c r="G126" s="64"/>
      <c r="H126" s="64"/>
      <c r="I126" s="20"/>
      <c r="J126" s="20"/>
      <c r="K126" s="20"/>
      <c r="L126" s="20"/>
      <c r="M126" s="20"/>
      <c r="N126" s="20"/>
      <c r="O126" s="320"/>
      <c r="P126" s="320"/>
      <c r="Z126" s="409"/>
      <c r="AA126" s="342"/>
      <c r="AB126" s="413"/>
      <c r="AC126" s="342"/>
      <c r="AD126" s="342"/>
      <c r="AE126" s="342"/>
      <c r="AF126" s="409"/>
    </row>
    <row r="127" spans="1:32">
      <c r="A127" s="20"/>
      <c r="B127" s="64"/>
      <c r="C127" s="20"/>
      <c r="D127" s="20"/>
      <c r="E127" s="20"/>
      <c r="F127" s="64"/>
      <c r="G127" s="64"/>
      <c r="H127" s="64"/>
      <c r="I127" s="20"/>
      <c r="J127" s="20"/>
      <c r="K127" s="20"/>
      <c r="L127" s="20"/>
      <c r="M127" s="20"/>
      <c r="N127" s="20"/>
      <c r="O127" s="320"/>
      <c r="P127" s="320"/>
      <c r="Z127" s="409"/>
      <c r="AA127" s="342"/>
      <c r="AB127" s="342"/>
      <c r="AC127" s="342"/>
      <c r="AD127" s="342"/>
      <c r="AE127" s="342"/>
      <c r="AF127" s="409"/>
    </row>
    <row r="128" spans="1:32">
      <c r="A128" s="20"/>
      <c r="B128" s="64"/>
      <c r="C128" s="20"/>
      <c r="D128" s="20"/>
      <c r="E128" s="20"/>
      <c r="F128" s="64"/>
      <c r="G128" s="64"/>
      <c r="H128" s="64"/>
      <c r="I128" s="20"/>
      <c r="J128" s="20"/>
      <c r="K128" s="20"/>
      <c r="L128" s="20"/>
      <c r="M128" s="20"/>
      <c r="N128" s="20"/>
      <c r="O128" s="320"/>
      <c r="P128" s="320"/>
      <c r="Z128" s="409"/>
      <c r="AA128" s="342"/>
      <c r="AB128" s="342"/>
      <c r="AC128" s="342"/>
      <c r="AD128" s="342"/>
      <c r="AE128" s="342"/>
      <c r="AF128" s="409"/>
    </row>
    <row r="129" spans="1:32">
      <c r="A129" s="20"/>
      <c r="B129" s="64"/>
      <c r="C129" s="20"/>
      <c r="D129" s="20"/>
      <c r="E129" s="20"/>
      <c r="F129" s="64"/>
      <c r="G129" s="64"/>
      <c r="H129" s="64"/>
      <c r="I129" s="20"/>
      <c r="J129" s="20"/>
      <c r="K129" s="20"/>
      <c r="L129" s="20"/>
      <c r="M129" s="20"/>
      <c r="N129" s="20"/>
      <c r="O129" s="320"/>
      <c r="P129" s="320"/>
      <c r="Z129" s="409"/>
      <c r="AA129" s="342"/>
      <c r="AB129" s="340"/>
      <c r="AC129" s="340"/>
      <c r="AD129" s="342"/>
      <c r="AE129" s="342"/>
      <c r="AF129" s="409"/>
    </row>
    <row r="130" spans="1:32">
      <c r="A130" s="20"/>
      <c r="B130" s="64"/>
      <c r="C130" s="20"/>
      <c r="D130" s="20"/>
      <c r="E130" s="20"/>
      <c r="F130" s="64"/>
      <c r="G130" s="64"/>
      <c r="H130" s="64"/>
      <c r="I130" s="20"/>
      <c r="J130" s="20"/>
      <c r="K130" s="20"/>
      <c r="L130" s="20"/>
      <c r="M130" s="20"/>
      <c r="N130" s="20"/>
      <c r="O130" s="320"/>
      <c r="P130" s="320"/>
      <c r="Z130" s="409"/>
      <c r="AA130" s="342"/>
      <c r="AB130" s="340"/>
      <c r="AC130" s="342"/>
      <c r="AD130" s="342"/>
      <c r="AE130" s="342"/>
      <c r="AF130" s="409"/>
    </row>
    <row r="131" spans="1:32">
      <c r="A131" s="20"/>
      <c r="B131" s="64"/>
      <c r="C131" s="20"/>
      <c r="D131" s="20"/>
      <c r="E131" s="20"/>
      <c r="F131" s="64"/>
      <c r="G131" s="64"/>
      <c r="H131" s="64"/>
      <c r="I131" s="20"/>
      <c r="J131" s="20"/>
      <c r="K131" s="20"/>
      <c r="L131" s="20"/>
      <c r="M131" s="20"/>
      <c r="N131" s="20"/>
      <c r="O131" s="320"/>
      <c r="P131" s="320"/>
      <c r="Z131" s="409"/>
      <c r="AA131" s="342"/>
      <c r="AB131" s="340"/>
      <c r="AC131" s="342"/>
      <c r="AD131" s="342"/>
      <c r="AE131" s="342"/>
      <c r="AF131" s="409"/>
    </row>
    <row r="132" spans="1:32">
      <c r="A132" s="20"/>
      <c r="B132" s="64"/>
      <c r="C132" s="20"/>
      <c r="D132" s="20"/>
      <c r="E132" s="20"/>
      <c r="F132" s="64"/>
      <c r="G132" s="64"/>
      <c r="H132" s="64"/>
      <c r="I132" s="20"/>
      <c r="J132" s="20"/>
      <c r="K132" s="20"/>
      <c r="L132" s="20"/>
      <c r="M132" s="20"/>
      <c r="N132" s="20"/>
      <c r="O132" s="320"/>
      <c r="P132" s="320"/>
      <c r="Z132" s="409"/>
      <c r="AA132" s="342"/>
      <c r="AB132" s="340"/>
      <c r="AC132" s="342"/>
      <c r="AD132" s="342"/>
      <c r="AE132" s="342"/>
      <c r="AF132" s="409"/>
    </row>
    <row r="133" spans="1:32">
      <c r="A133" s="20"/>
      <c r="B133" s="64"/>
      <c r="C133" s="20"/>
      <c r="D133" s="20"/>
      <c r="E133" s="20"/>
      <c r="F133" s="64"/>
      <c r="G133" s="64"/>
      <c r="H133" s="64"/>
      <c r="I133" s="20"/>
      <c r="J133" s="20"/>
      <c r="K133" s="20"/>
      <c r="L133" s="20"/>
      <c r="M133" s="20"/>
      <c r="N133" s="20"/>
      <c r="O133" s="320"/>
      <c r="P133" s="320"/>
      <c r="Z133" s="409"/>
      <c r="AA133" s="342"/>
      <c r="AB133" s="413"/>
      <c r="AC133" s="342"/>
      <c r="AD133" s="342"/>
      <c r="AE133" s="342"/>
      <c r="AF133" s="409"/>
    </row>
    <row r="134" spans="1:32">
      <c r="A134" s="20"/>
      <c r="B134" s="64"/>
      <c r="C134" s="20"/>
      <c r="D134" s="20"/>
      <c r="E134" s="20"/>
      <c r="F134" s="64"/>
      <c r="G134" s="64"/>
      <c r="H134" s="64"/>
      <c r="I134" s="20"/>
      <c r="J134" s="20"/>
      <c r="K134" s="20"/>
      <c r="L134" s="20"/>
      <c r="M134" s="20"/>
      <c r="N134" s="20"/>
      <c r="O134" s="320"/>
      <c r="P134" s="320"/>
      <c r="Z134" s="409"/>
      <c r="AA134" s="342"/>
      <c r="AB134" s="342"/>
      <c r="AC134" s="342"/>
      <c r="AD134" s="342"/>
      <c r="AE134" s="342"/>
      <c r="AF134" s="409"/>
    </row>
    <row r="135" spans="1:32">
      <c r="A135" s="20"/>
      <c r="B135" s="64"/>
      <c r="C135" s="20"/>
      <c r="D135" s="20"/>
      <c r="E135" s="20"/>
      <c r="F135" s="64"/>
      <c r="G135" s="64"/>
      <c r="H135" s="64"/>
      <c r="I135" s="20"/>
      <c r="J135" s="20"/>
      <c r="K135" s="20"/>
      <c r="L135" s="20"/>
      <c r="M135" s="20"/>
      <c r="N135" s="20"/>
      <c r="O135" s="320"/>
      <c r="P135" s="320"/>
      <c r="Z135" s="405"/>
      <c r="AA135" s="342"/>
      <c r="AB135" s="342"/>
      <c r="AC135" s="342"/>
      <c r="AD135" s="342"/>
      <c r="AE135" s="342"/>
      <c r="AF135" s="407"/>
    </row>
    <row r="136" spans="1:32">
      <c r="A136" s="20"/>
      <c r="B136" s="64"/>
      <c r="C136" s="20"/>
      <c r="D136" s="20"/>
      <c r="E136" s="20"/>
      <c r="F136" s="64"/>
      <c r="G136" s="64"/>
      <c r="H136" s="64"/>
      <c r="I136" s="20"/>
      <c r="J136" s="20"/>
      <c r="K136" s="20"/>
      <c r="L136" s="20"/>
      <c r="M136" s="20"/>
      <c r="N136" s="20"/>
      <c r="O136" s="320"/>
      <c r="P136" s="320"/>
      <c r="Z136" s="405"/>
      <c r="AA136" s="419"/>
      <c r="AB136" s="419"/>
      <c r="AC136" s="419"/>
      <c r="AD136" s="419"/>
      <c r="AE136" s="419"/>
      <c r="AF136" s="420"/>
    </row>
    <row r="137" spans="1:32">
      <c r="A137" s="20"/>
      <c r="B137" s="64"/>
      <c r="C137" s="20"/>
      <c r="D137" s="20"/>
      <c r="E137" s="20"/>
      <c r="F137" s="64"/>
      <c r="G137" s="64"/>
      <c r="H137" s="64"/>
      <c r="I137" s="20"/>
      <c r="J137" s="20"/>
      <c r="K137" s="20"/>
      <c r="L137" s="20"/>
      <c r="M137" s="20"/>
      <c r="N137" s="20"/>
      <c r="O137" s="320"/>
      <c r="P137" s="320"/>
      <c r="Z137" s="405"/>
      <c r="AA137" s="409"/>
      <c r="AB137" s="409"/>
      <c r="AC137" s="409"/>
      <c r="AD137" s="409"/>
      <c r="AE137" s="409"/>
      <c r="AF137" s="405"/>
    </row>
    <row r="138" spans="1:32">
      <c r="A138" s="20"/>
      <c r="B138" s="64"/>
      <c r="C138" s="20"/>
      <c r="D138" s="20"/>
      <c r="E138" s="20"/>
      <c r="F138" s="64"/>
      <c r="G138" s="64"/>
      <c r="H138" s="64"/>
      <c r="I138" s="20"/>
      <c r="J138" s="20"/>
      <c r="K138" s="20"/>
      <c r="L138" s="20"/>
      <c r="M138" s="20"/>
      <c r="N138" s="20"/>
      <c r="O138" s="320"/>
      <c r="P138" s="320"/>
      <c r="Z138" s="320"/>
      <c r="AA138" s="320"/>
      <c r="AB138" s="320"/>
      <c r="AC138" s="320"/>
      <c r="AD138" s="320"/>
      <c r="AE138" s="320"/>
      <c r="AF138" s="320"/>
    </row>
    <row r="139" spans="1:32">
      <c r="A139" s="20"/>
      <c r="B139" s="64"/>
      <c r="C139" s="20"/>
      <c r="D139" s="20"/>
      <c r="E139" s="20"/>
      <c r="F139" s="64"/>
      <c r="G139" s="64"/>
      <c r="H139" s="64"/>
      <c r="I139" s="20"/>
      <c r="J139" s="20"/>
      <c r="K139" s="20"/>
      <c r="L139" s="20"/>
      <c r="M139" s="20"/>
      <c r="N139" s="20"/>
      <c r="O139" s="320"/>
      <c r="P139" s="320"/>
    </row>
    <row r="140" spans="1:32">
      <c r="A140" s="20"/>
      <c r="B140" s="64"/>
      <c r="C140" s="20"/>
      <c r="D140" s="20"/>
      <c r="E140" s="20"/>
      <c r="F140" s="64"/>
      <c r="G140" s="64"/>
      <c r="H140" s="64"/>
      <c r="I140" s="20"/>
      <c r="J140" s="20"/>
      <c r="K140" s="20"/>
      <c r="L140" s="20"/>
      <c r="M140" s="20"/>
      <c r="N140" s="20"/>
      <c r="O140" s="320"/>
      <c r="P140" s="320"/>
    </row>
    <row r="141" spans="1:32">
      <c r="A141" s="20"/>
      <c r="B141" s="64"/>
      <c r="C141" s="20"/>
      <c r="D141" s="20"/>
      <c r="E141" s="20"/>
      <c r="F141" s="64"/>
      <c r="G141" s="64"/>
      <c r="H141" s="64"/>
      <c r="I141" s="20"/>
      <c r="J141" s="20"/>
      <c r="K141" s="20"/>
      <c r="L141" s="20"/>
      <c r="M141" s="20"/>
      <c r="N141" s="20"/>
      <c r="O141" s="320"/>
      <c r="P141" s="320"/>
    </row>
    <row r="142" spans="1:32">
      <c r="A142" s="20"/>
      <c r="B142" s="64"/>
      <c r="C142" s="20"/>
      <c r="D142" s="20"/>
      <c r="E142" s="20"/>
      <c r="F142" s="64"/>
      <c r="G142" s="64"/>
      <c r="H142" s="64"/>
      <c r="I142" s="20"/>
      <c r="J142" s="20"/>
      <c r="K142" s="20"/>
      <c r="L142" s="20"/>
      <c r="M142" s="20"/>
      <c r="N142" s="20"/>
      <c r="O142" s="320"/>
      <c r="P142" s="320"/>
    </row>
    <row r="143" spans="1:32">
      <c r="A143" s="20"/>
      <c r="B143" s="64"/>
      <c r="C143" s="20"/>
      <c r="D143" s="20"/>
      <c r="E143" s="20"/>
      <c r="F143" s="64"/>
      <c r="G143" s="64"/>
      <c r="H143" s="64"/>
      <c r="I143" s="20"/>
      <c r="J143" s="20"/>
      <c r="K143" s="20"/>
      <c r="L143" s="20"/>
      <c r="M143" s="20"/>
      <c r="N143" s="20"/>
      <c r="O143" s="320"/>
      <c r="P143" s="320"/>
    </row>
    <row r="144" spans="1:32">
      <c r="A144" s="20"/>
      <c r="B144" s="64"/>
      <c r="C144" s="20"/>
      <c r="D144" s="20"/>
      <c r="E144" s="20"/>
      <c r="F144" s="64"/>
      <c r="G144" s="64"/>
      <c r="H144" s="64"/>
      <c r="I144" s="20"/>
      <c r="J144" s="20"/>
      <c r="K144" s="20"/>
      <c r="L144" s="20"/>
      <c r="M144" s="20"/>
      <c r="N144" s="20"/>
      <c r="O144" s="320"/>
      <c r="P144" s="320"/>
    </row>
    <row r="145" spans="1:16">
      <c r="A145" s="20"/>
      <c r="B145" s="64"/>
      <c r="C145" s="20"/>
      <c r="D145" s="20"/>
      <c r="E145" s="20"/>
      <c r="F145" s="64"/>
      <c r="G145" s="64"/>
      <c r="H145" s="64"/>
      <c r="I145" s="20"/>
      <c r="J145" s="20"/>
      <c r="K145" s="20"/>
      <c r="L145" s="20"/>
      <c r="M145" s="20"/>
      <c r="N145" s="20"/>
      <c r="O145" s="320"/>
      <c r="P145" s="320"/>
    </row>
    <row r="146" spans="1:16">
      <c r="A146" s="20"/>
      <c r="B146" s="64"/>
      <c r="C146" s="20"/>
      <c r="D146" s="20"/>
      <c r="E146" s="20"/>
      <c r="F146" s="64"/>
      <c r="G146" s="64"/>
      <c r="H146" s="64"/>
      <c r="I146" s="20"/>
      <c r="J146" s="20"/>
      <c r="K146" s="20"/>
      <c r="L146" s="20"/>
      <c r="M146" s="20"/>
      <c r="N146" s="20"/>
      <c r="O146" s="320"/>
      <c r="P146" s="320"/>
    </row>
    <row r="147" spans="1:16">
      <c r="A147" s="20"/>
      <c r="B147" s="64"/>
      <c r="C147" s="20"/>
      <c r="D147" s="20"/>
      <c r="E147" s="20"/>
      <c r="F147" s="64"/>
      <c r="G147" s="64"/>
      <c r="H147" s="64"/>
      <c r="I147" s="20"/>
      <c r="J147" s="20"/>
      <c r="K147" s="20"/>
      <c r="L147" s="20"/>
      <c r="M147" s="20"/>
      <c r="N147" s="20"/>
      <c r="O147" s="320"/>
      <c r="P147" s="320"/>
    </row>
    <row r="148" spans="1:16">
      <c r="A148" s="20"/>
      <c r="B148" s="64"/>
      <c r="C148" s="20"/>
      <c r="D148" s="20"/>
      <c r="E148" s="20"/>
      <c r="F148" s="64"/>
      <c r="G148" s="64"/>
      <c r="H148" s="64"/>
      <c r="I148" s="20"/>
      <c r="J148" s="20"/>
      <c r="K148" s="20"/>
      <c r="L148" s="20"/>
      <c r="M148" s="20"/>
      <c r="N148" s="20"/>
      <c r="O148" s="320"/>
      <c r="P148" s="320"/>
    </row>
    <row r="149" spans="1:16">
      <c r="A149" s="20"/>
      <c r="B149" s="64"/>
      <c r="C149" s="20"/>
      <c r="D149" s="20"/>
      <c r="E149" s="20"/>
      <c r="F149" s="64"/>
      <c r="G149" s="64"/>
      <c r="H149" s="64"/>
      <c r="I149" s="20"/>
      <c r="J149" s="20"/>
      <c r="K149" s="20"/>
      <c r="L149" s="20"/>
      <c r="M149" s="20"/>
      <c r="N149" s="20"/>
      <c r="O149" s="320"/>
      <c r="P149" s="320"/>
    </row>
    <row r="150" spans="1:16">
      <c r="A150" s="20"/>
      <c r="B150" s="64"/>
      <c r="C150" s="20"/>
      <c r="D150" s="20"/>
      <c r="E150" s="20"/>
      <c r="F150" s="64"/>
      <c r="G150" s="64"/>
      <c r="H150" s="64"/>
      <c r="I150" s="20"/>
      <c r="J150" s="20"/>
      <c r="K150" s="20"/>
      <c r="L150" s="20"/>
      <c r="M150" s="20"/>
      <c r="N150" s="20"/>
      <c r="O150" s="320"/>
      <c r="P150" s="320"/>
    </row>
    <row r="151" spans="1:16">
      <c r="A151" s="20"/>
      <c r="B151" s="64"/>
      <c r="C151" s="20"/>
      <c r="D151" s="20"/>
      <c r="E151" s="20"/>
      <c r="F151" s="64"/>
      <c r="G151" s="64"/>
      <c r="H151" s="64"/>
      <c r="I151" s="20"/>
      <c r="J151" s="20"/>
      <c r="K151" s="20"/>
      <c r="L151" s="20"/>
      <c r="M151" s="20"/>
      <c r="N151" s="20"/>
      <c r="O151" s="320"/>
      <c r="P151" s="320"/>
    </row>
    <row r="152" spans="1:16">
      <c r="A152" s="20"/>
      <c r="B152" s="64"/>
      <c r="C152" s="20"/>
      <c r="D152" s="20"/>
      <c r="E152" s="20"/>
      <c r="F152" s="64"/>
      <c r="G152" s="64"/>
      <c r="H152" s="64"/>
      <c r="I152" s="20"/>
      <c r="J152" s="20"/>
      <c r="K152" s="20"/>
      <c r="L152" s="20"/>
      <c r="M152" s="20"/>
      <c r="N152" s="20"/>
      <c r="O152" s="320"/>
      <c r="P152" s="320"/>
    </row>
    <row r="153" spans="1:16">
      <c r="A153" s="20"/>
      <c r="B153" s="64"/>
      <c r="C153" s="20"/>
      <c r="D153" s="20"/>
      <c r="E153" s="20"/>
      <c r="F153" s="64"/>
      <c r="G153" s="64"/>
      <c r="H153" s="64"/>
      <c r="I153" s="20"/>
      <c r="J153" s="20"/>
      <c r="K153" s="20"/>
      <c r="L153" s="20"/>
      <c r="M153" s="20"/>
      <c r="N153" s="20"/>
      <c r="O153" s="320"/>
      <c r="P153" s="320"/>
    </row>
    <row r="154" spans="1:16">
      <c r="A154" s="20"/>
      <c r="B154" s="64"/>
      <c r="C154" s="20"/>
      <c r="D154" s="20"/>
      <c r="E154" s="20"/>
      <c r="F154" s="64"/>
      <c r="G154" s="64"/>
      <c r="H154" s="64"/>
      <c r="I154" s="20"/>
      <c r="J154" s="20"/>
      <c r="K154" s="20"/>
      <c r="L154" s="20"/>
      <c r="M154" s="20"/>
      <c r="N154" s="20"/>
      <c r="O154" s="320"/>
      <c r="P154" s="320"/>
    </row>
    <row r="155" spans="1:16">
      <c r="A155" s="20"/>
      <c r="B155" s="64"/>
      <c r="C155" s="20"/>
      <c r="D155" s="20"/>
      <c r="E155" s="20"/>
      <c r="F155" s="64"/>
      <c r="G155" s="64"/>
      <c r="H155" s="64"/>
      <c r="I155" s="20"/>
      <c r="J155" s="20"/>
      <c r="K155" s="20"/>
      <c r="L155" s="20"/>
      <c r="M155" s="20"/>
      <c r="N155" s="20"/>
      <c r="O155" s="320"/>
      <c r="P155" s="320"/>
    </row>
    <row r="156" spans="1:16">
      <c r="A156" s="20"/>
      <c r="B156" s="64"/>
      <c r="C156" s="20"/>
      <c r="D156" s="20"/>
      <c r="E156" s="20"/>
      <c r="F156" s="64"/>
      <c r="G156" s="64"/>
      <c r="H156" s="64"/>
      <c r="I156" s="20"/>
      <c r="J156" s="20"/>
      <c r="K156" s="20"/>
      <c r="L156" s="20"/>
      <c r="M156" s="20"/>
      <c r="N156" s="20"/>
      <c r="O156" s="320"/>
      <c r="P156" s="320"/>
    </row>
    <row r="157" spans="1:16">
      <c r="A157" s="20"/>
      <c r="B157" s="64"/>
      <c r="C157" s="20"/>
      <c r="D157" s="20"/>
      <c r="E157" s="20"/>
      <c r="F157" s="64"/>
      <c r="G157" s="64"/>
      <c r="H157" s="64"/>
      <c r="I157" s="20"/>
      <c r="J157" s="20"/>
      <c r="K157" s="20"/>
      <c r="L157" s="20"/>
      <c r="M157" s="20"/>
      <c r="N157" s="20"/>
      <c r="O157" s="320"/>
      <c r="P157" s="320"/>
    </row>
    <row r="158" spans="1:16">
      <c r="A158" s="20"/>
      <c r="B158" s="64"/>
      <c r="C158" s="20"/>
      <c r="D158" s="20"/>
      <c r="E158" s="20"/>
      <c r="F158" s="64"/>
      <c r="G158" s="64"/>
      <c r="H158" s="64"/>
      <c r="I158" s="20"/>
      <c r="J158" s="20"/>
      <c r="K158" s="20"/>
      <c r="L158" s="20"/>
      <c r="M158" s="20"/>
      <c r="N158" s="20"/>
      <c r="O158" s="320"/>
      <c r="P158" s="320"/>
    </row>
    <row r="159" spans="1:16">
      <c r="A159" s="20"/>
      <c r="B159" s="64"/>
      <c r="C159" s="20"/>
      <c r="D159" s="20"/>
      <c r="E159" s="20"/>
      <c r="F159" s="64"/>
      <c r="G159" s="64"/>
      <c r="H159" s="64"/>
      <c r="I159" s="20"/>
      <c r="J159" s="20"/>
      <c r="K159" s="20"/>
      <c r="L159" s="20"/>
      <c r="M159" s="20"/>
      <c r="N159" s="20"/>
      <c r="O159" s="320"/>
      <c r="P159" s="320"/>
    </row>
    <row r="160" spans="1:16">
      <c r="A160" s="20"/>
      <c r="B160" s="64"/>
      <c r="C160" s="20"/>
      <c r="D160" s="20"/>
      <c r="E160" s="20"/>
      <c r="F160" s="64"/>
      <c r="G160" s="64"/>
      <c r="H160" s="64"/>
      <c r="I160" s="20"/>
      <c r="J160" s="20"/>
      <c r="K160" s="20"/>
      <c r="L160" s="20"/>
      <c r="M160" s="20"/>
      <c r="N160" s="20"/>
      <c r="O160" s="320"/>
      <c r="P160" s="320"/>
    </row>
    <row r="161" spans="1:16">
      <c r="A161" s="20"/>
      <c r="B161" s="64"/>
      <c r="C161" s="20"/>
      <c r="D161" s="20"/>
      <c r="E161" s="20"/>
      <c r="F161" s="64"/>
      <c r="G161" s="64"/>
      <c r="H161" s="64"/>
      <c r="I161" s="20"/>
      <c r="J161" s="20"/>
      <c r="K161" s="20"/>
      <c r="L161" s="20"/>
      <c r="M161" s="20"/>
      <c r="N161" s="20"/>
      <c r="O161" s="320"/>
      <c r="P161" s="320"/>
    </row>
    <row r="162" spans="1:16">
      <c r="A162" s="20"/>
      <c r="B162" s="64"/>
      <c r="C162" s="20"/>
      <c r="D162" s="20"/>
      <c r="E162" s="20"/>
      <c r="F162" s="64"/>
      <c r="G162" s="64"/>
      <c r="H162" s="64"/>
      <c r="I162" s="20"/>
      <c r="J162" s="20"/>
      <c r="K162" s="20"/>
      <c r="L162" s="20"/>
      <c r="M162" s="20"/>
      <c r="N162" s="20"/>
      <c r="O162" s="320"/>
      <c r="P162" s="320"/>
    </row>
    <row r="163" spans="1:16">
      <c r="A163" s="20"/>
      <c r="B163" s="64"/>
      <c r="C163" s="20"/>
      <c r="D163" s="20"/>
      <c r="E163" s="20"/>
      <c r="F163" s="64"/>
      <c r="G163" s="64"/>
      <c r="H163" s="64"/>
      <c r="I163" s="20"/>
      <c r="J163" s="20"/>
      <c r="K163" s="20"/>
      <c r="L163" s="20"/>
      <c r="M163" s="20"/>
      <c r="N163" s="20"/>
      <c r="O163" s="320"/>
      <c r="P163" s="320"/>
    </row>
    <row r="164" spans="1:16">
      <c r="A164" s="20"/>
      <c r="B164" s="64"/>
      <c r="C164" s="20"/>
      <c r="D164" s="20"/>
      <c r="E164" s="20"/>
      <c r="F164" s="64"/>
      <c r="G164" s="64"/>
      <c r="H164" s="64"/>
      <c r="I164" s="20"/>
      <c r="J164" s="20"/>
      <c r="K164" s="20"/>
      <c r="L164" s="20"/>
      <c r="M164" s="20"/>
      <c r="N164" s="20"/>
      <c r="O164" s="320"/>
      <c r="P164" s="320"/>
    </row>
    <row r="165" spans="1:16">
      <c r="A165" s="20"/>
      <c r="B165" s="64"/>
      <c r="C165" s="20"/>
      <c r="D165" s="20"/>
      <c r="E165" s="20"/>
      <c r="F165" s="64"/>
      <c r="G165" s="64"/>
      <c r="H165" s="64"/>
      <c r="I165" s="20"/>
      <c r="J165" s="20"/>
      <c r="K165" s="20"/>
      <c r="L165" s="20"/>
      <c r="M165" s="20"/>
      <c r="N165" s="20"/>
      <c r="O165" s="320"/>
      <c r="P165" s="320"/>
    </row>
    <row r="166" spans="1:16">
      <c r="A166" s="20"/>
      <c r="B166" s="64"/>
      <c r="C166" s="20"/>
      <c r="D166" s="20"/>
      <c r="E166" s="20"/>
      <c r="F166" s="64"/>
      <c r="G166" s="64"/>
      <c r="H166" s="64"/>
      <c r="I166" s="20"/>
      <c r="J166" s="20"/>
      <c r="K166" s="20"/>
      <c r="L166" s="20"/>
      <c r="M166" s="20"/>
      <c r="N166" s="20"/>
      <c r="O166" s="320"/>
      <c r="P166" s="320"/>
    </row>
    <row r="167" spans="1:16">
      <c r="A167" s="20"/>
      <c r="B167" s="64"/>
      <c r="C167" s="20"/>
      <c r="D167" s="20"/>
      <c r="E167" s="20"/>
      <c r="F167" s="64"/>
      <c r="G167" s="64"/>
      <c r="H167" s="64"/>
      <c r="I167" s="20"/>
      <c r="J167" s="20"/>
      <c r="K167" s="20"/>
      <c r="L167" s="20"/>
      <c r="M167" s="20"/>
      <c r="N167" s="20"/>
      <c r="O167" s="320"/>
      <c r="P167" s="320"/>
    </row>
    <row r="168" spans="1:16">
      <c r="A168" s="20"/>
      <c r="B168" s="64"/>
      <c r="C168" s="20"/>
      <c r="D168" s="20"/>
      <c r="E168" s="20"/>
      <c r="F168" s="64"/>
      <c r="G168" s="64"/>
      <c r="H168" s="64"/>
      <c r="I168" s="20"/>
      <c r="J168" s="20"/>
      <c r="K168" s="20"/>
      <c r="L168" s="20"/>
      <c r="M168" s="20"/>
      <c r="N168" s="20"/>
      <c r="O168" s="320"/>
      <c r="P168" s="320"/>
    </row>
    <row r="169" spans="1:16">
      <c r="A169" s="20"/>
      <c r="B169" s="64"/>
      <c r="C169" s="20"/>
      <c r="D169" s="20"/>
      <c r="E169" s="20"/>
      <c r="F169" s="64"/>
      <c r="G169" s="64"/>
      <c r="H169" s="64"/>
      <c r="I169" s="20"/>
      <c r="J169" s="20"/>
      <c r="K169" s="20"/>
      <c r="L169" s="20"/>
      <c r="M169" s="20"/>
      <c r="N169" s="20"/>
      <c r="O169" s="320"/>
      <c r="P169" s="320"/>
    </row>
    <row r="170" spans="1:16">
      <c r="A170" s="20"/>
      <c r="B170" s="64"/>
      <c r="C170" s="20"/>
      <c r="D170" s="20"/>
      <c r="E170" s="20"/>
      <c r="F170" s="64"/>
      <c r="G170" s="64"/>
      <c r="H170" s="64"/>
      <c r="I170" s="20"/>
      <c r="J170" s="20"/>
      <c r="K170" s="20"/>
      <c r="L170" s="20"/>
      <c r="M170" s="20"/>
      <c r="N170" s="20"/>
      <c r="O170" s="320"/>
      <c r="P170" s="320"/>
    </row>
    <row r="171" spans="1:16">
      <c r="A171" s="20"/>
      <c r="B171" s="64"/>
      <c r="C171" s="20"/>
      <c r="D171" s="20"/>
      <c r="E171" s="20"/>
      <c r="F171" s="64"/>
      <c r="G171" s="64"/>
      <c r="H171" s="64"/>
      <c r="I171" s="20"/>
      <c r="J171" s="20"/>
      <c r="K171" s="20"/>
      <c r="L171" s="20"/>
      <c r="M171" s="20"/>
      <c r="N171" s="20"/>
      <c r="O171" s="320"/>
      <c r="P171" s="320"/>
    </row>
    <row r="172" spans="1:16">
      <c r="A172" s="20"/>
      <c r="B172" s="64"/>
      <c r="C172" s="20"/>
      <c r="D172" s="20"/>
      <c r="E172" s="20"/>
      <c r="F172" s="64"/>
      <c r="G172" s="64"/>
      <c r="H172" s="64"/>
      <c r="I172" s="20"/>
      <c r="J172" s="20"/>
      <c r="K172" s="20"/>
      <c r="L172" s="20"/>
      <c r="M172" s="20"/>
      <c r="N172" s="20"/>
      <c r="O172" s="320"/>
      <c r="P172" s="320"/>
    </row>
    <row r="173" spans="1:16">
      <c r="A173" s="20"/>
      <c r="B173" s="64"/>
      <c r="C173" s="20"/>
      <c r="D173" s="20"/>
      <c r="E173" s="20"/>
      <c r="F173" s="64"/>
      <c r="G173" s="64"/>
      <c r="H173" s="64"/>
      <c r="I173" s="20"/>
      <c r="J173" s="20"/>
      <c r="K173" s="20"/>
      <c r="L173" s="20"/>
      <c r="M173" s="20"/>
      <c r="N173" s="20"/>
      <c r="O173" s="320"/>
      <c r="P173" s="320"/>
    </row>
    <row r="174" spans="1:16">
      <c r="A174" s="20"/>
      <c r="B174" s="64"/>
      <c r="C174" s="20"/>
      <c r="D174" s="20"/>
      <c r="E174" s="20"/>
      <c r="F174" s="64"/>
      <c r="G174" s="64"/>
      <c r="H174" s="64"/>
      <c r="I174" s="20"/>
      <c r="J174" s="20"/>
      <c r="K174" s="20"/>
      <c r="L174" s="20"/>
      <c r="M174" s="20"/>
      <c r="N174" s="20"/>
      <c r="O174" s="320"/>
      <c r="P174" s="320"/>
    </row>
    <row r="175" spans="1:16">
      <c r="A175" s="20"/>
      <c r="B175" s="64"/>
      <c r="C175" s="20"/>
      <c r="D175" s="20"/>
      <c r="E175" s="20"/>
      <c r="F175" s="64"/>
      <c r="G175" s="64"/>
      <c r="H175" s="64"/>
      <c r="I175" s="20"/>
      <c r="J175" s="20"/>
      <c r="K175" s="20"/>
      <c r="L175" s="20"/>
      <c r="M175" s="20"/>
      <c r="N175" s="20"/>
      <c r="O175" s="320"/>
      <c r="P175" s="320"/>
    </row>
    <row r="176" spans="1:16">
      <c r="A176" s="20"/>
      <c r="B176" s="64"/>
      <c r="C176" s="20"/>
      <c r="D176" s="20"/>
      <c r="E176" s="20"/>
      <c r="F176" s="64"/>
      <c r="G176" s="64"/>
      <c r="H176" s="64"/>
      <c r="I176" s="20"/>
      <c r="J176" s="20"/>
      <c r="K176" s="20"/>
      <c r="L176" s="20"/>
      <c r="M176" s="20"/>
      <c r="N176" s="20"/>
      <c r="O176" s="320"/>
      <c r="P176" s="320"/>
    </row>
    <row r="177" spans="1:16">
      <c r="A177" s="20"/>
      <c r="B177" s="64"/>
      <c r="C177" s="20"/>
      <c r="D177" s="20"/>
      <c r="E177" s="20"/>
      <c r="F177" s="64"/>
      <c r="G177" s="64"/>
      <c r="H177" s="64"/>
      <c r="I177" s="20"/>
      <c r="J177" s="20"/>
      <c r="K177" s="20"/>
      <c r="L177" s="20"/>
      <c r="M177" s="20"/>
      <c r="N177" s="20"/>
      <c r="O177" s="320"/>
      <c r="P177" s="320"/>
    </row>
    <row r="178" spans="1:16">
      <c r="A178" s="20"/>
      <c r="B178" s="64"/>
      <c r="C178" s="20"/>
      <c r="D178" s="20"/>
      <c r="E178" s="20"/>
      <c r="F178" s="64"/>
      <c r="G178" s="64"/>
      <c r="H178" s="64"/>
      <c r="I178" s="20"/>
      <c r="J178" s="20"/>
      <c r="K178" s="20"/>
      <c r="L178" s="20"/>
      <c r="M178" s="20"/>
      <c r="N178" s="20"/>
      <c r="O178" s="320"/>
      <c r="P178" s="320"/>
    </row>
    <row r="179" spans="1:16">
      <c r="A179" s="20"/>
      <c r="B179" s="64"/>
      <c r="C179" s="20"/>
      <c r="D179" s="20"/>
      <c r="E179" s="20"/>
      <c r="F179" s="64"/>
      <c r="G179" s="64"/>
      <c r="H179" s="64"/>
      <c r="I179" s="20"/>
      <c r="J179" s="20"/>
      <c r="K179" s="20"/>
      <c r="L179" s="20"/>
      <c r="M179" s="20"/>
      <c r="N179" s="20"/>
      <c r="O179" s="320"/>
      <c r="P179" s="320"/>
    </row>
  </sheetData>
  <dataConsolidate/>
  <mergeCells count="44">
    <mergeCell ref="Z102:AE102"/>
    <mergeCell ref="AI96:AN96"/>
    <mergeCell ref="Z121:AE121"/>
    <mergeCell ref="R63:W63"/>
    <mergeCell ref="R82:W82"/>
    <mergeCell ref="Z82:AE82"/>
    <mergeCell ref="AB42:AD42"/>
    <mergeCell ref="R25:T25"/>
    <mergeCell ref="X42:Z42"/>
    <mergeCell ref="R36:T36"/>
    <mergeCell ref="U37:V37"/>
    <mergeCell ref="R1:T1"/>
    <mergeCell ref="A55:A56"/>
    <mergeCell ref="A36:A37"/>
    <mergeCell ref="A39:A40"/>
    <mergeCell ref="A41:A43"/>
    <mergeCell ref="J1:N1"/>
    <mergeCell ref="A28:A32"/>
    <mergeCell ref="A49:A50"/>
    <mergeCell ref="A51:A52"/>
    <mergeCell ref="A53:A54"/>
    <mergeCell ref="A33:A35"/>
    <mergeCell ref="A45:A48"/>
    <mergeCell ref="C1:I1"/>
    <mergeCell ref="A4:A5"/>
    <mergeCell ref="R50:T50"/>
    <mergeCell ref="A26:A27"/>
    <mergeCell ref="A6:A8"/>
    <mergeCell ref="A9:A13"/>
    <mergeCell ref="A15:A20"/>
    <mergeCell ref="A21:A24"/>
    <mergeCell ref="O1:P1"/>
    <mergeCell ref="O3:P3"/>
    <mergeCell ref="O4:P5"/>
    <mergeCell ref="O6:P8"/>
    <mergeCell ref="O21:P24"/>
    <mergeCell ref="O44:P44"/>
    <mergeCell ref="O45:O48"/>
    <mergeCell ref="P45:P48"/>
    <mergeCell ref="O33:O35"/>
    <mergeCell ref="P33:P35"/>
    <mergeCell ref="O36:O37"/>
    <mergeCell ref="P36:P37"/>
    <mergeCell ref="O41:P43"/>
  </mergeCells>
  <conditionalFormatting sqref="L3:L56">
    <cfRule type="expression" dxfId="121" priority="13">
      <formula>(L3&lt;E3)</formula>
    </cfRule>
  </conditionalFormatting>
  <conditionalFormatting sqref="L3">
    <cfRule type="cellIs" dxfId="120" priority="12" operator="lessThan">
      <formula>$E$3</formula>
    </cfRule>
  </conditionalFormatting>
  <conditionalFormatting sqref="N3:N56">
    <cfRule type="cellIs" dxfId="119" priority="11" operator="lessThan">
      <formula>0</formula>
    </cfRule>
  </conditionalFormatting>
  <conditionalFormatting sqref="S84:X95">
    <cfRule type="cellIs" dxfId="118" priority="9" operator="greaterThan">
      <formula>0</formula>
    </cfRule>
  </conditionalFormatting>
  <conditionalFormatting sqref="S65:X76">
    <cfRule type="cellIs" dxfId="117" priority="10" operator="greaterThan">
      <formula>0</formula>
    </cfRule>
  </conditionalFormatting>
  <conditionalFormatting sqref="AA84:AF95">
    <cfRule type="cellIs" dxfId="116" priority="8" operator="greaterThan">
      <formula>0</formula>
    </cfRule>
  </conditionalFormatting>
  <conditionalFormatting sqref="AF104:AF115">
    <cfRule type="cellIs" dxfId="115" priority="7" operator="greaterThan">
      <formula>0</formula>
    </cfRule>
  </conditionalFormatting>
  <conditionalFormatting sqref="AB123:AF134">
    <cfRule type="cellIs" dxfId="114" priority="4" operator="greaterThan">
      <formula>0</formula>
    </cfRule>
  </conditionalFormatting>
  <conditionalFormatting sqref="AJ98:AO109">
    <cfRule type="cellIs" dxfId="113" priority="5" operator="greaterThan">
      <formula>0</formula>
    </cfRule>
  </conditionalFormatting>
  <conditionalFormatting sqref="AA123:AA134">
    <cfRule type="cellIs" dxfId="112" priority="3" operator="greaterThan">
      <formula>0</formula>
    </cfRule>
  </conditionalFormatting>
  <conditionalFormatting sqref="AB104:AE115">
    <cfRule type="cellIs" dxfId="111" priority="2" operator="greaterThan">
      <formula>0</formula>
    </cfRule>
  </conditionalFormatting>
  <conditionalFormatting sqref="AA104:AA115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9"/>
  <sheetViews>
    <sheetView topLeftCell="U51" zoomScale="80" zoomScaleNormal="80" workbookViewId="0">
      <selection activeCell="AD103" sqref="AD103"/>
    </sheetView>
  </sheetViews>
  <sheetFormatPr defaultColWidth="9" defaultRowHeight="1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26.140625" style="59" customWidth="1"/>
    <col min="14" max="14" width="23.28515625" style="59" customWidth="1"/>
    <col min="15" max="15" width="30.7109375" style="12" customWidth="1"/>
    <col min="16" max="16" width="28.140625" style="320" customWidth="1"/>
    <col min="17" max="17" width="26.42578125" style="59" customWidth="1"/>
    <col min="18" max="18" width="48.42578125" style="381" customWidth="1"/>
    <col min="22" max="22" width="23" style="58" customWidth="1"/>
    <col min="23" max="23" width="22.85546875" style="5" customWidth="1"/>
    <col min="24" max="24" width="23.7109375" style="5" customWidth="1"/>
    <col min="25" max="25" width="21.5703125" style="5" customWidth="1"/>
    <col min="26" max="26" width="15.42578125" style="5" customWidth="1"/>
    <col min="27" max="29" width="9" style="5"/>
    <col min="30" max="30" width="28.28515625" style="5" customWidth="1"/>
    <col min="31" max="31" width="18.42578125" style="5" customWidth="1"/>
    <col min="32" max="32" width="21.5703125" style="5" customWidth="1"/>
    <col min="33" max="33" width="19.7109375" style="5" customWidth="1"/>
    <col min="34" max="34" width="10.42578125" style="5" customWidth="1"/>
    <col min="35" max="35" width="12" style="5" customWidth="1"/>
    <col min="36" max="16384" width="9" style="5"/>
  </cols>
  <sheetData>
    <row r="1" spans="1:25" ht="14.25" customHeight="1">
      <c r="A1" s="380"/>
      <c r="B1" s="198"/>
      <c r="C1" s="514" t="s">
        <v>452</v>
      </c>
      <c r="D1" s="515"/>
      <c r="E1" s="515"/>
      <c r="F1" s="515"/>
      <c r="G1" s="515"/>
      <c r="H1" s="515"/>
      <c r="I1" s="516"/>
      <c r="J1" s="512" t="s">
        <v>451</v>
      </c>
      <c r="K1" s="513"/>
      <c r="L1" s="513"/>
      <c r="M1" s="513"/>
      <c r="N1" s="513"/>
      <c r="O1" s="542" t="s">
        <v>518</v>
      </c>
      <c r="P1" s="543"/>
      <c r="Q1" s="543"/>
      <c r="R1" s="378"/>
      <c r="W1" s="510"/>
      <c r="X1" s="510"/>
      <c r="Y1" s="510"/>
    </row>
    <row r="2" spans="1:25" ht="15.75" thickBot="1">
      <c r="A2" s="380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192" t="s">
        <v>446</v>
      </c>
      <c r="K2" s="192" t="s">
        <v>34</v>
      </c>
      <c r="L2" s="192" t="s">
        <v>33</v>
      </c>
      <c r="M2" s="191" t="s">
        <v>502</v>
      </c>
      <c r="N2" s="190" t="s">
        <v>444</v>
      </c>
      <c r="O2" s="186" t="s">
        <v>441</v>
      </c>
      <c r="P2" s="187" t="s">
        <v>440</v>
      </c>
      <c r="Q2" s="186" t="s">
        <v>439</v>
      </c>
      <c r="R2" s="378"/>
      <c r="W2" s="381"/>
      <c r="X2" s="381"/>
      <c r="Y2" s="381"/>
    </row>
    <row r="3" spans="1:25" ht="15" customHeight="1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1" t="s">
        <v>435</v>
      </c>
      <c r="K3" s="181">
        <v>598.85</v>
      </c>
      <c r="L3" s="297">
        <v>300</v>
      </c>
      <c r="M3" s="180">
        <f>H3</f>
        <v>197.93100000000001</v>
      </c>
      <c r="N3" s="179">
        <f>L3-H3</f>
        <v>102.06899999999999</v>
      </c>
      <c r="O3" s="129"/>
      <c r="P3" s="538"/>
      <c r="Q3" s="539"/>
      <c r="R3" s="342"/>
      <c r="W3" s="378"/>
      <c r="X3" s="378"/>
      <c r="Y3" s="378"/>
    </row>
    <row r="4" spans="1:25" ht="15" customHeight="1" thickBot="1">
      <c r="A4" s="506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83">
        <v>1.5</v>
      </c>
      <c r="H4" s="183">
        <f t="shared" ref="H4:H56" si="1">G4*F4</f>
        <v>119.63775</v>
      </c>
      <c r="I4" s="175">
        <f t="shared" si="0"/>
        <v>120.2415</v>
      </c>
      <c r="J4" s="174" t="s">
        <v>434</v>
      </c>
      <c r="K4" s="174">
        <v>561.44000000000005</v>
      </c>
      <c r="L4" s="296">
        <v>150</v>
      </c>
      <c r="M4" s="180">
        <f t="shared" ref="M4:M13" si="2">H4</f>
        <v>119.63775</v>
      </c>
      <c r="N4" s="179">
        <f t="shared" ref="N4:N13" si="3">L4-H4</f>
        <v>30.362250000000003</v>
      </c>
      <c r="O4" s="392"/>
      <c r="P4" s="540"/>
      <c r="Q4" s="541"/>
      <c r="R4" s="342"/>
      <c r="W4" s="381"/>
      <c r="X4" s="381"/>
      <c r="Y4" s="381"/>
    </row>
    <row r="5" spans="1:25" ht="14.25" customHeight="1" thickBot="1">
      <c r="A5" s="511"/>
      <c r="B5" s="171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183">
        <v>1.5</v>
      </c>
      <c r="H5" s="183">
        <f t="shared" si="1"/>
        <v>152.28555</v>
      </c>
      <c r="I5" s="95">
        <f t="shared" si="0"/>
        <v>198.47629999999998</v>
      </c>
      <c r="J5" s="94" t="s">
        <v>429</v>
      </c>
      <c r="K5" s="94">
        <v>691.82</v>
      </c>
      <c r="L5" s="94">
        <v>300</v>
      </c>
      <c r="M5" s="180">
        <f t="shared" si="2"/>
        <v>152.28555</v>
      </c>
      <c r="N5" s="179">
        <f t="shared" si="3"/>
        <v>147.71445</v>
      </c>
      <c r="O5" s="129"/>
      <c r="P5" s="150"/>
      <c r="Q5" s="117"/>
      <c r="R5" s="342"/>
      <c r="W5" s="381"/>
      <c r="X5" s="381"/>
      <c r="Y5" s="381"/>
    </row>
    <row r="6" spans="1:25" ht="14.25" customHeight="1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183">
        <v>1.5</v>
      </c>
      <c r="H6" s="183">
        <f t="shared" si="1"/>
        <v>890.08500000000004</v>
      </c>
      <c r="I6" s="85">
        <f t="shared" si="0"/>
        <v>606.61</v>
      </c>
      <c r="J6" s="84" t="s">
        <v>431</v>
      </c>
      <c r="K6" s="84">
        <v>778.62</v>
      </c>
      <c r="L6" s="84">
        <v>1200</v>
      </c>
      <c r="M6" s="180">
        <f t="shared" si="2"/>
        <v>890.08500000000004</v>
      </c>
      <c r="N6" s="179">
        <f t="shared" si="3"/>
        <v>309.91499999999996</v>
      </c>
      <c r="O6" s="123"/>
      <c r="P6" s="529"/>
      <c r="Q6" s="530"/>
      <c r="R6" s="342"/>
      <c r="W6" s="381"/>
      <c r="X6" s="381"/>
      <c r="Y6" s="381"/>
    </row>
    <row r="7" spans="1:25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83">
        <v>1.5</v>
      </c>
      <c r="H7" s="183">
        <f t="shared" si="1"/>
        <v>248.31</v>
      </c>
      <c r="I7" s="109">
        <f t="shared" si="0"/>
        <v>334.46000000000004</v>
      </c>
      <c r="J7" s="108" t="s">
        <v>430</v>
      </c>
      <c r="K7" s="108">
        <v>904.18</v>
      </c>
      <c r="L7" s="298">
        <v>300</v>
      </c>
      <c r="M7" s="180">
        <f t="shared" si="2"/>
        <v>248.31</v>
      </c>
      <c r="N7" s="179">
        <f t="shared" si="3"/>
        <v>51.69</v>
      </c>
      <c r="O7" s="123"/>
      <c r="P7" s="531"/>
      <c r="Q7" s="532"/>
      <c r="R7" s="342"/>
      <c r="W7" s="381"/>
      <c r="X7" s="381"/>
      <c r="Y7" s="381"/>
    </row>
    <row r="8" spans="1:25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183">
        <v>1.5</v>
      </c>
      <c r="H8" s="183">
        <f t="shared" si="1"/>
        <v>152.28555</v>
      </c>
      <c r="I8" s="95">
        <f t="shared" si="0"/>
        <v>198.47629999999998</v>
      </c>
      <c r="J8" s="94" t="s">
        <v>429</v>
      </c>
      <c r="K8" s="94">
        <v>691.82</v>
      </c>
      <c r="L8" s="94">
        <v>300</v>
      </c>
      <c r="M8" s="180">
        <f t="shared" si="2"/>
        <v>152.28555</v>
      </c>
      <c r="N8" s="179">
        <f t="shared" si="3"/>
        <v>147.71445</v>
      </c>
      <c r="O8" s="129"/>
      <c r="P8" s="533"/>
      <c r="Q8" s="534"/>
      <c r="R8" s="342"/>
      <c r="W8" s="381"/>
      <c r="X8" s="381"/>
      <c r="Y8" s="381"/>
    </row>
    <row r="9" spans="1:25" ht="14.25" customHeight="1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183">
        <v>1.5</v>
      </c>
      <c r="H9" s="183">
        <f t="shared" si="1"/>
        <v>495.05579999999998</v>
      </c>
      <c r="I9" s="85">
        <f t="shared" si="0"/>
        <v>269.96280000000002</v>
      </c>
      <c r="J9" s="84" t="s">
        <v>428</v>
      </c>
      <c r="K9" s="84">
        <v>243.73500000000001</v>
      </c>
      <c r="L9" s="299">
        <v>500</v>
      </c>
      <c r="M9" s="180">
        <f t="shared" si="2"/>
        <v>495.05579999999998</v>
      </c>
      <c r="N9" s="179">
        <f t="shared" si="3"/>
        <v>4.9442000000000235</v>
      </c>
      <c r="O9" s="392"/>
      <c r="P9" s="535"/>
      <c r="Q9" s="530"/>
      <c r="W9" s="381"/>
      <c r="X9" s="381"/>
      <c r="Y9" s="381"/>
    </row>
    <row r="10" spans="1:25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83">
        <v>1.5</v>
      </c>
      <c r="H10" s="183">
        <f t="shared" si="1"/>
        <v>300.16500000000002</v>
      </c>
      <c r="I10" s="109">
        <f t="shared" si="0"/>
        <v>199.89</v>
      </c>
      <c r="J10" s="108" t="s">
        <v>427</v>
      </c>
      <c r="K10" s="108">
        <v>614.06500000000005</v>
      </c>
      <c r="L10" s="298">
        <v>300</v>
      </c>
      <c r="M10" s="180">
        <f t="shared" si="2"/>
        <v>300.16500000000002</v>
      </c>
      <c r="N10" s="179">
        <f t="shared" si="3"/>
        <v>-0.16500000000002046</v>
      </c>
      <c r="O10" s="123"/>
      <c r="P10" s="536"/>
      <c r="Q10" s="532"/>
      <c r="W10" s="381"/>
      <c r="X10" s="381"/>
      <c r="Y10" s="381"/>
    </row>
    <row r="11" spans="1:25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83">
        <v>1.5</v>
      </c>
      <c r="H11" s="183">
        <f t="shared" si="1"/>
        <v>624.22170000000006</v>
      </c>
      <c r="I11" s="109">
        <f t="shared" si="0"/>
        <v>333.85219999999998</v>
      </c>
      <c r="J11" s="108" t="s">
        <v>426</v>
      </c>
      <c r="K11" s="108">
        <v>692.19500000000005</v>
      </c>
      <c r="L11" s="108">
        <v>750</v>
      </c>
      <c r="M11" s="180">
        <f t="shared" si="2"/>
        <v>624.22170000000006</v>
      </c>
      <c r="N11" s="179">
        <f t="shared" si="3"/>
        <v>125.77829999999994</v>
      </c>
      <c r="O11" s="123"/>
      <c r="P11" s="536"/>
      <c r="Q11" s="532"/>
      <c r="W11" s="381"/>
      <c r="X11" s="381"/>
      <c r="Y11" s="381"/>
    </row>
    <row r="12" spans="1:25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83">
        <v>1.5</v>
      </c>
      <c r="H12" s="183">
        <f t="shared" si="1"/>
        <v>481.16999999999996</v>
      </c>
      <c r="I12" s="109">
        <f t="shared" si="0"/>
        <v>279.22000000000003</v>
      </c>
      <c r="J12" s="108" t="s">
        <v>420</v>
      </c>
      <c r="K12" s="108">
        <v>440.09</v>
      </c>
      <c r="L12" s="108">
        <v>600</v>
      </c>
      <c r="M12" s="180">
        <f t="shared" si="2"/>
        <v>481.16999999999996</v>
      </c>
      <c r="N12" s="179">
        <f t="shared" si="3"/>
        <v>118.83000000000004</v>
      </c>
      <c r="O12" s="123"/>
      <c r="P12" s="536"/>
      <c r="Q12" s="532"/>
      <c r="W12" s="381"/>
      <c r="X12" s="381"/>
      <c r="Y12" s="381"/>
    </row>
    <row r="13" spans="1:25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183">
        <v>1.5</v>
      </c>
      <c r="H13" s="183">
        <f t="shared" si="1"/>
        <v>33.525000000000006</v>
      </c>
      <c r="I13" s="95">
        <f t="shared" si="0"/>
        <v>177.65</v>
      </c>
      <c r="J13" s="94" t="s">
        <v>418</v>
      </c>
      <c r="K13" s="94">
        <v>541.49</v>
      </c>
      <c r="L13" s="291">
        <v>150</v>
      </c>
      <c r="M13" s="180">
        <f t="shared" si="2"/>
        <v>33.525000000000006</v>
      </c>
      <c r="N13" s="179">
        <f t="shared" si="3"/>
        <v>116.47499999999999</v>
      </c>
      <c r="O13" s="129"/>
      <c r="P13" s="537"/>
      <c r="Q13" s="534"/>
      <c r="W13" s="381"/>
      <c r="X13" s="381"/>
      <c r="Y13" s="381"/>
    </row>
    <row r="14" spans="1:25" ht="15.75" thickBot="1">
      <c r="A14" s="376" t="s">
        <v>426</v>
      </c>
      <c r="B14" s="88" t="s">
        <v>351</v>
      </c>
      <c r="C14" s="161"/>
      <c r="D14" s="86"/>
      <c r="E14" s="86"/>
      <c r="F14" s="86"/>
      <c r="G14" s="183">
        <v>1.5</v>
      </c>
      <c r="H14" s="183">
        <f t="shared" si="1"/>
        <v>0</v>
      </c>
      <c r="I14" s="85"/>
      <c r="J14" s="84"/>
      <c r="K14" s="84"/>
      <c r="L14" s="84"/>
      <c r="M14" s="83"/>
      <c r="N14" s="101"/>
      <c r="O14" s="159"/>
      <c r="P14" s="170"/>
      <c r="Q14" s="374"/>
      <c r="W14" s="381"/>
      <c r="X14" s="381"/>
      <c r="Y14" s="381"/>
    </row>
    <row r="15" spans="1:25" ht="14.25" customHeight="1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183">
        <v>1.5</v>
      </c>
      <c r="H15" s="183">
        <f t="shared" si="1"/>
        <v>621.76125000000002</v>
      </c>
      <c r="I15" s="85">
        <f t="shared" ref="I15:I24" si="4">E15-F15</f>
        <v>385.49250000000001</v>
      </c>
      <c r="J15" s="84" t="s">
        <v>424</v>
      </c>
      <c r="K15" s="84">
        <v>527.53499999999997</v>
      </c>
      <c r="L15" s="84">
        <v>800</v>
      </c>
      <c r="M15" s="83">
        <f>H15</f>
        <v>621.76125000000002</v>
      </c>
      <c r="N15" s="101">
        <f>L15-H15</f>
        <v>178.23874999999998</v>
      </c>
      <c r="O15" s="123"/>
      <c r="P15" s="529"/>
      <c r="Q15" s="530"/>
      <c r="W15" s="381"/>
      <c r="X15" s="381"/>
      <c r="Y15" s="381"/>
    </row>
    <row r="16" spans="1:25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83">
        <v>1.5</v>
      </c>
      <c r="H16" s="183">
        <f t="shared" si="1"/>
        <v>373.59030000000001</v>
      </c>
      <c r="I16" s="109">
        <f t="shared" si="4"/>
        <v>350.93979999999999</v>
      </c>
      <c r="J16" s="108" t="s">
        <v>422</v>
      </c>
      <c r="K16" s="108">
        <v>258.625</v>
      </c>
      <c r="L16" s="298">
        <v>500</v>
      </c>
      <c r="M16" s="83">
        <f t="shared" ref="M16:M24" si="5">H16</f>
        <v>373.59030000000001</v>
      </c>
      <c r="N16" s="101">
        <f t="shared" ref="N16:N24" si="6">L16-H16</f>
        <v>126.40969999999999</v>
      </c>
      <c r="O16" s="123"/>
      <c r="P16" s="531"/>
      <c r="Q16" s="532"/>
      <c r="W16" s="381"/>
      <c r="X16" s="381"/>
      <c r="Y16" s="381"/>
    </row>
    <row r="17" spans="1:27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83">
        <v>1.5</v>
      </c>
      <c r="H17" s="183">
        <f t="shared" si="1"/>
        <v>278.15129999999999</v>
      </c>
      <c r="I17" s="109">
        <f t="shared" si="4"/>
        <v>264.56579999999997</v>
      </c>
      <c r="J17" s="108" t="s">
        <v>385</v>
      </c>
      <c r="K17" s="108">
        <v>975.03499999999997</v>
      </c>
      <c r="L17" s="108">
        <v>450</v>
      </c>
      <c r="M17" s="83">
        <f t="shared" si="5"/>
        <v>278.15129999999999</v>
      </c>
      <c r="N17" s="101">
        <f t="shared" si="6"/>
        <v>171.84870000000001</v>
      </c>
      <c r="O17" s="123"/>
      <c r="P17" s="531"/>
      <c r="Q17" s="532"/>
      <c r="W17" s="381"/>
      <c r="X17" s="381"/>
      <c r="Y17" s="381"/>
    </row>
    <row r="18" spans="1:27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83">
        <v>1.5</v>
      </c>
      <c r="H18" s="183">
        <f t="shared" si="1"/>
        <v>320.77244999999999</v>
      </c>
      <c r="I18" s="109">
        <f t="shared" si="4"/>
        <v>236.15170000000001</v>
      </c>
      <c r="J18" s="108" t="s">
        <v>421</v>
      </c>
      <c r="K18" s="108">
        <v>1025.3</v>
      </c>
      <c r="L18" s="108">
        <v>450</v>
      </c>
      <c r="M18" s="83">
        <f t="shared" si="5"/>
        <v>320.77244999999999</v>
      </c>
      <c r="N18" s="101">
        <f t="shared" si="6"/>
        <v>129.22755000000001</v>
      </c>
      <c r="O18" s="123"/>
      <c r="P18" s="531"/>
      <c r="Q18" s="532"/>
      <c r="W18" s="381"/>
      <c r="X18" s="381"/>
      <c r="Y18" s="381"/>
    </row>
    <row r="19" spans="1:27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83">
        <v>1.5</v>
      </c>
      <c r="H19" s="183">
        <f t="shared" si="1"/>
        <v>481.17255</v>
      </c>
      <c r="I19" s="109">
        <f t="shared" si="4"/>
        <v>279.2183</v>
      </c>
      <c r="J19" s="108" t="s">
        <v>420</v>
      </c>
      <c r="K19" s="108">
        <v>440.09</v>
      </c>
      <c r="L19" s="108">
        <v>600</v>
      </c>
      <c r="M19" s="83">
        <f t="shared" si="5"/>
        <v>481.17255</v>
      </c>
      <c r="N19" s="101">
        <f t="shared" si="6"/>
        <v>118.82745</v>
      </c>
      <c r="O19" s="123"/>
      <c r="P19" s="531"/>
      <c r="Q19" s="532"/>
      <c r="W19" s="381"/>
      <c r="X19" s="381"/>
      <c r="Y19" s="381"/>
    </row>
    <row r="20" spans="1:27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183">
        <v>1.5</v>
      </c>
      <c r="H20" s="183">
        <f t="shared" si="1"/>
        <v>33.525000000000006</v>
      </c>
      <c r="I20" s="95">
        <f t="shared" si="4"/>
        <v>177.65</v>
      </c>
      <c r="J20" s="94" t="s">
        <v>418</v>
      </c>
      <c r="K20" s="94">
        <v>541.49</v>
      </c>
      <c r="L20" s="291">
        <v>150</v>
      </c>
      <c r="M20" s="83">
        <f t="shared" si="5"/>
        <v>33.525000000000006</v>
      </c>
      <c r="N20" s="101">
        <f t="shared" si="6"/>
        <v>116.47499999999999</v>
      </c>
      <c r="O20" s="129"/>
      <c r="P20" s="533"/>
      <c r="Q20" s="534"/>
      <c r="W20" s="18"/>
      <c r="X20" s="381"/>
      <c r="Y20" s="381"/>
    </row>
    <row r="21" spans="1:27" ht="14.25" customHeight="1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183">
        <v>1.5</v>
      </c>
      <c r="H21" s="183">
        <f t="shared" si="1"/>
        <v>300.16829999999999</v>
      </c>
      <c r="I21" s="85">
        <f t="shared" si="4"/>
        <v>199.8878</v>
      </c>
      <c r="J21" s="84" t="s">
        <v>416</v>
      </c>
      <c r="K21" s="84">
        <v>733.18499999999995</v>
      </c>
      <c r="L21" s="299">
        <v>300</v>
      </c>
      <c r="M21" s="83">
        <f t="shared" si="5"/>
        <v>300.16829999999999</v>
      </c>
      <c r="N21" s="101">
        <f t="shared" si="6"/>
        <v>-0.1682999999999879</v>
      </c>
      <c r="O21" s="123"/>
      <c r="P21" s="535"/>
      <c r="Q21" s="530"/>
      <c r="R21" s="342"/>
      <c r="W21" s="18"/>
      <c r="X21" s="381"/>
      <c r="Y21" s="381"/>
    </row>
    <row r="22" spans="1:27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83">
        <v>1.5</v>
      </c>
      <c r="H22" s="183">
        <f t="shared" si="1"/>
        <v>624.22170000000006</v>
      </c>
      <c r="I22" s="109">
        <f t="shared" si="4"/>
        <v>333.85219999999998</v>
      </c>
      <c r="J22" s="108" t="s">
        <v>361</v>
      </c>
      <c r="K22" s="108">
        <v>692.19500000000005</v>
      </c>
      <c r="L22" s="108">
        <v>750</v>
      </c>
      <c r="M22" s="83">
        <f t="shared" si="5"/>
        <v>624.22170000000006</v>
      </c>
      <c r="N22" s="101">
        <f t="shared" si="6"/>
        <v>125.77829999999994</v>
      </c>
      <c r="O22" s="123"/>
      <c r="P22" s="536"/>
      <c r="Q22" s="532"/>
      <c r="R22" s="342"/>
      <c r="W22" s="381"/>
      <c r="X22" s="381"/>
      <c r="Y22" s="381"/>
    </row>
    <row r="23" spans="1:27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83">
        <v>1.5</v>
      </c>
      <c r="H23" s="183">
        <f t="shared" si="1"/>
        <v>36.154499999999999</v>
      </c>
      <c r="I23" s="109">
        <f t="shared" si="4"/>
        <v>175.89699999999999</v>
      </c>
      <c r="J23" s="108" t="s">
        <v>412</v>
      </c>
      <c r="K23" s="108">
        <v>820.63</v>
      </c>
      <c r="L23" s="298">
        <v>150</v>
      </c>
      <c r="M23" s="83">
        <f t="shared" si="5"/>
        <v>36.154499999999999</v>
      </c>
      <c r="N23" s="101">
        <f t="shared" si="6"/>
        <v>113.8455</v>
      </c>
      <c r="O23" s="123"/>
      <c r="P23" s="536"/>
      <c r="Q23" s="532"/>
      <c r="R23" s="342"/>
      <c r="W23" s="320"/>
      <c r="X23" s="58"/>
    </row>
    <row r="24" spans="1:27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183">
        <v>1.5</v>
      </c>
      <c r="H24" s="183">
        <f t="shared" si="1"/>
        <v>33.525000000000006</v>
      </c>
      <c r="I24" s="95">
        <f t="shared" si="4"/>
        <v>177.65</v>
      </c>
      <c r="J24" s="94" t="s">
        <v>410</v>
      </c>
      <c r="K24" s="94">
        <v>660.63</v>
      </c>
      <c r="L24" s="291">
        <v>150</v>
      </c>
      <c r="M24" s="83">
        <f t="shared" si="5"/>
        <v>33.525000000000006</v>
      </c>
      <c r="N24" s="101">
        <f t="shared" si="6"/>
        <v>116.47499999999999</v>
      </c>
      <c r="O24" s="129"/>
      <c r="P24" s="537"/>
      <c r="Q24" s="534"/>
      <c r="R24" s="342"/>
      <c r="W24" s="320"/>
    </row>
    <row r="25" spans="1:27" ht="15" customHeight="1" thickBot="1">
      <c r="A25" s="162" t="s">
        <v>409</v>
      </c>
      <c r="B25" s="88" t="s">
        <v>408</v>
      </c>
      <c r="C25" s="161"/>
      <c r="D25" s="86"/>
      <c r="E25" s="86"/>
      <c r="F25" s="86"/>
      <c r="G25" s="183">
        <v>1.5</v>
      </c>
      <c r="H25" s="183">
        <f t="shared" si="1"/>
        <v>0</v>
      </c>
      <c r="I25" s="85"/>
      <c r="J25" s="84"/>
      <c r="K25" s="84"/>
      <c r="L25" s="84"/>
      <c r="M25" s="83"/>
      <c r="N25" s="101"/>
      <c r="O25" s="159"/>
      <c r="P25" s="527"/>
      <c r="Q25" s="528"/>
      <c r="W25" s="510"/>
      <c r="X25" s="510"/>
      <c r="Y25" s="510"/>
      <c r="Z25" s="381"/>
      <c r="AA25" s="381"/>
    </row>
    <row r="26" spans="1:27" ht="15.75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183">
        <v>1.5</v>
      </c>
      <c r="H26" s="183">
        <f t="shared" si="1"/>
        <v>996.77129999999988</v>
      </c>
      <c r="I26" s="85">
        <f t="shared" ref="I26:I56" si="7">E26-F26</f>
        <v>535.48580000000004</v>
      </c>
      <c r="J26" s="84" t="s">
        <v>405</v>
      </c>
      <c r="K26" s="84">
        <v>799.22</v>
      </c>
      <c r="L26" s="299">
        <v>900</v>
      </c>
      <c r="M26" s="83">
        <f>H26</f>
        <v>996.77129999999988</v>
      </c>
      <c r="N26" s="82">
        <f>L26-H26</f>
        <v>-96.771299999999883</v>
      </c>
      <c r="O26" s="123">
        <f>L26/E26</f>
        <v>0.75</v>
      </c>
      <c r="P26" s="157" t="s">
        <v>384</v>
      </c>
      <c r="Q26" s="156">
        <v>80.89</v>
      </c>
      <c r="W26" s="381"/>
      <c r="X26" s="381"/>
      <c r="Y26" s="381"/>
      <c r="Z26" s="381"/>
      <c r="AA26" s="381"/>
    </row>
    <row r="27" spans="1:27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83">
        <v>1.5</v>
      </c>
      <c r="H27" s="183">
        <f t="shared" si="1"/>
        <v>637.00244999999995</v>
      </c>
      <c r="I27" s="154">
        <f t="shared" si="7"/>
        <v>475.33170000000001</v>
      </c>
      <c r="J27" s="153" t="s">
        <v>404</v>
      </c>
      <c r="K27" s="153">
        <v>973.76</v>
      </c>
      <c r="L27" s="153">
        <v>900</v>
      </c>
      <c r="M27" s="83">
        <f t="shared" ref="M27:M56" si="8">H27</f>
        <v>637.00244999999995</v>
      </c>
      <c r="N27" s="82">
        <f t="shared" ref="N27:N56" si="9">L27-H27</f>
        <v>262.99755000000005</v>
      </c>
      <c r="O27" s="129"/>
      <c r="P27" s="150"/>
      <c r="Q27" s="149"/>
      <c r="W27" s="378"/>
      <c r="X27" s="378"/>
      <c r="Y27" s="378"/>
      <c r="Z27" s="381"/>
      <c r="AA27" s="381"/>
    </row>
    <row r="28" spans="1:27" ht="15.7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183">
        <v>1.5</v>
      </c>
      <c r="H28" s="183">
        <f t="shared" si="1"/>
        <v>621.76125000000002</v>
      </c>
      <c r="I28" s="95">
        <f t="shared" si="7"/>
        <v>385.49250000000001</v>
      </c>
      <c r="J28" s="94" t="s">
        <v>402</v>
      </c>
      <c r="K28" s="94">
        <v>849.47500000000002</v>
      </c>
      <c r="L28" s="291">
        <v>600</v>
      </c>
      <c r="M28" s="83">
        <f t="shared" si="8"/>
        <v>621.76125000000002</v>
      </c>
      <c r="N28" s="82">
        <f t="shared" si="9"/>
        <v>-21.761250000000018</v>
      </c>
      <c r="O28" s="123">
        <f>L28/E28</f>
        <v>0.75</v>
      </c>
      <c r="P28" s="375" t="s">
        <v>503</v>
      </c>
      <c r="Q28" s="142"/>
      <c r="W28" s="381"/>
      <c r="X28" s="381"/>
      <c r="Y28" s="18"/>
      <c r="Z28" s="381"/>
      <c r="AA28" s="381"/>
    </row>
    <row r="29" spans="1:27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183">
        <v>1.5</v>
      </c>
      <c r="H29" s="183">
        <f t="shared" si="1"/>
        <v>278.15129999999999</v>
      </c>
      <c r="I29" s="95">
        <f t="shared" si="7"/>
        <v>264.56579999999997</v>
      </c>
      <c r="J29" s="94" t="s">
        <v>385</v>
      </c>
      <c r="K29" s="94">
        <v>975.03499999999997</v>
      </c>
      <c r="L29" s="94">
        <v>450</v>
      </c>
      <c r="M29" s="83">
        <f t="shared" si="8"/>
        <v>278.15129999999999</v>
      </c>
      <c r="N29" s="82">
        <f t="shared" si="9"/>
        <v>171.84870000000001</v>
      </c>
      <c r="O29" s="123"/>
      <c r="P29" s="143"/>
      <c r="Q29" s="142"/>
      <c r="W29" s="381"/>
      <c r="X29" s="381"/>
      <c r="Y29" s="18"/>
      <c r="Z29" s="381"/>
      <c r="AA29" s="381"/>
    </row>
    <row r="30" spans="1:27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83">
        <v>1.5</v>
      </c>
      <c r="H30" s="183">
        <f t="shared" si="1"/>
        <v>320.77244999999999</v>
      </c>
      <c r="I30" s="109">
        <f t="shared" si="7"/>
        <v>236.15170000000001</v>
      </c>
      <c r="J30" s="108" t="s">
        <v>399</v>
      </c>
      <c r="K30" s="108">
        <v>1347.24</v>
      </c>
      <c r="L30" s="298">
        <v>300</v>
      </c>
      <c r="M30" s="83">
        <f t="shared" si="8"/>
        <v>320.77244999999999</v>
      </c>
      <c r="N30" s="82">
        <f t="shared" si="9"/>
        <v>-20.772449999999992</v>
      </c>
      <c r="O30" s="123">
        <f>L30/E30</f>
        <v>0.66666666666666663</v>
      </c>
      <c r="P30" s="146" t="s">
        <v>12</v>
      </c>
      <c r="Q30" s="145">
        <v>16.11</v>
      </c>
      <c r="W30" s="381"/>
      <c r="X30" s="381"/>
      <c r="Y30" s="18"/>
      <c r="Z30" s="381"/>
      <c r="AA30" s="381"/>
    </row>
    <row r="31" spans="1:27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183">
        <v>1.5</v>
      </c>
      <c r="H31" s="183">
        <f t="shared" si="1"/>
        <v>481.17255</v>
      </c>
      <c r="I31" s="95">
        <f t="shared" si="7"/>
        <v>279.2183</v>
      </c>
      <c r="J31" s="94" t="s">
        <v>397</v>
      </c>
      <c r="K31" s="94">
        <v>762.03</v>
      </c>
      <c r="L31" s="291">
        <v>450</v>
      </c>
      <c r="M31" s="83">
        <f t="shared" si="8"/>
        <v>481.17255</v>
      </c>
      <c r="N31" s="82">
        <f t="shared" si="9"/>
        <v>-31.172550000000001</v>
      </c>
      <c r="O31" s="123">
        <f>L31/E31</f>
        <v>0.75</v>
      </c>
      <c r="P31" s="326" t="s">
        <v>395</v>
      </c>
      <c r="Q31" s="327">
        <v>96.69</v>
      </c>
      <c r="W31" s="381"/>
      <c r="X31" s="381"/>
      <c r="Y31" s="18"/>
      <c r="Z31" s="381"/>
      <c r="AA31" s="18"/>
    </row>
    <row r="32" spans="1:27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183">
        <v>1.5</v>
      </c>
      <c r="H32" s="183">
        <f t="shared" si="1"/>
        <v>416.36130000000003</v>
      </c>
      <c r="I32" s="95">
        <f t="shared" si="7"/>
        <v>222.42579999999998</v>
      </c>
      <c r="J32" s="94" t="s">
        <v>394</v>
      </c>
      <c r="K32" s="94">
        <v>922.03</v>
      </c>
      <c r="L32" s="291">
        <v>300</v>
      </c>
      <c r="M32" s="83">
        <f t="shared" si="8"/>
        <v>416.36130000000003</v>
      </c>
      <c r="N32" s="82">
        <f t="shared" si="9"/>
        <v>-116.36130000000003</v>
      </c>
      <c r="O32" s="129">
        <f>L32/E32</f>
        <v>0.6</v>
      </c>
      <c r="P32" s="141"/>
      <c r="Q32" s="140"/>
      <c r="W32" s="18"/>
      <c r="X32" s="381"/>
      <c r="Y32" s="381"/>
      <c r="Z32" s="381"/>
      <c r="AA32" s="381"/>
    </row>
    <row r="33" spans="1:47" ht="15.7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183">
        <v>1.5</v>
      </c>
      <c r="H33" s="183">
        <f t="shared" si="1"/>
        <v>890.08500000000004</v>
      </c>
      <c r="I33" s="85">
        <f t="shared" si="7"/>
        <v>606.61</v>
      </c>
      <c r="J33" s="84" t="s">
        <v>391</v>
      </c>
      <c r="K33" s="84">
        <v>778.62</v>
      </c>
      <c r="L33" s="84">
        <v>1200</v>
      </c>
      <c r="M33" s="83">
        <f t="shared" si="8"/>
        <v>890.08500000000004</v>
      </c>
      <c r="N33" s="82">
        <f t="shared" si="9"/>
        <v>309.91499999999996</v>
      </c>
      <c r="O33" s="393"/>
      <c r="P33" s="139"/>
      <c r="Q33" s="106"/>
      <c r="R33" s="342"/>
      <c r="W33" s="18"/>
      <c r="X33" s="381"/>
      <c r="Y33" s="381"/>
      <c r="Z33" s="381"/>
      <c r="AA33" s="381"/>
    </row>
    <row r="34" spans="1:47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83">
        <v>1.5</v>
      </c>
      <c r="H34" s="183">
        <f t="shared" si="1"/>
        <v>278.15129999999999</v>
      </c>
      <c r="I34" s="109">
        <f t="shared" si="7"/>
        <v>264.56579999999997</v>
      </c>
      <c r="J34" s="108" t="s">
        <v>385</v>
      </c>
      <c r="K34" s="108">
        <v>975.03499999999997</v>
      </c>
      <c r="L34" s="108">
        <v>450</v>
      </c>
      <c r="M34" s="83">
        <f t="shared" si="8"/>
        <v>278.15129999999999</v>
      </c>
      <c r="N34" s="82">
        <f t="shared" si="9"/>
        <v>171.84870000000001</v>
      </c>
      <c r="O34" s="79"/>
      <c r="P34" s="115"/>
      <c r="Q34" s="105"/>
      <c r="R34" s="342"/>
      <c r="W34" s="381"/>
      <c r="X34" s="381"/>
      <c r="Y34" s="381"/>
      <c r="Z34" s="320"/>
    </row>
    <row r="35" spans="1:47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183">
        <v>1.5</v>
      </c>
      <c r="H35" s="183">
        <f t="shared" si="1"/>
        <v>737.21355000000005</v>
      </c>
      <c r="I35" s="95">
        <f t="shared" si="7"/>
        <v>408.52429999999998</v>
      </c>
      <c r="J35" s="94" t="s">
        <v>381</v>
      </c>
      <c r="K35" s="94">
        <v>660.12</v>
      </c>
      <c r="L35" s="94">
        <v>900</v>
      </c>
      <c r="M35" s="83">
        <f t="shared" si="8"/>
        <v>737.21355000000005</v>
      </c>
      <c r="N35" s="82">
        <f t="shared" si="9"/>
        <v>162.78644999999995</v>
      </c>
      <c r="O35" s="113"/>
      <c r="P35" s="135"/>
      <c r="Q35" s="134"/>
      <c r="R35" s="342"/>
      <c r="W35" s="381"/>
      <c r="X35" s="381"/>
      <c r="Y35" s="381"/>
    </row>
    <row r="36" spans="1:47" ht="15.7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183">
        <v>1.5</v>
      </c>
      <c r="H36" s="183">
        <f t="shared" si="1"/>
        <v>320.77244999999999</v>
      </c>
      <c r="I36" s="85">
        <f t="shared" si="7"/>
        <v>236.15170000000001</v>
      </c>
      <c r="J36" s="84" t="s">
        <v>377</v>
      </c>
      <c r="K36" s="84">
        <v>844.89</v>
      </c>
      <c r="L36" s="84">
        <v>450</v>
      </c>
      <c r="M36" s="83">
        <f t="shared" si="8"/>
        <v>320.77244999999999</v>
      </c>
      <c r="N36" s="82">
        <f t="shared" si="9"/>
        <v>129.22755000000001</v>
      </c>
      <c r="O36" s="79"/>
      <c r="P36" s="78"/>
      <c r="Q36" s="77"/>
      <c r="R36" s="342"/>
      <c r="W36" s="510"/>
      <c r="X36" s="510"/>
      <c r="Y36" s="510"/>
      <c r="Z36" s="381"/>
      <c r="AA36" s="381"/>
    </row>
    <row r="37" spans="1:47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183">
        <v>1.5</v>
      </c>
      <c r="H37" s="183">
        <f t="shared" si="1"/>
        <v>1726.992</v>
      </c>
      <c r="I37" s="95">
        <f t="shared" si="7"/>
        <v>1048.672</v>
      </c>
      <c r="J37" s="94" t="s">
        <v>374</v>
      </c>
      <c r="K37" s="94">
        <v>503.42500000000001</v>
      </c>
      <c r="L37" s="94">
        <v>2200</v>
      </c>
      <c r="M37" s="83">
        <f t="shared" si="8"/>
        <v>1726.992</v>
      </c>
      <c r="N37" s="82">
        <f t="shared" si="9"/>
        <v>473.00800000000004</v>
      </c>
      <c r="O37" s="113"/>
      <c r="P37" s="67"/>
      <c r="Q37" s="66"/>
      <c r="R37" s="342"/>
      <c r="W37" s="381"/>
      <c r="X37" s="381"/>
      <c r="Y37" s="381"/>
      <c r="Z37" s="510"/>
      <c r="AA37" s="510"/>
    </row>
    <row r="38" spans="1:47" ht="15.75" thickBot="1">
      <c r="A38" s="376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183">
        <v>1.5</v>
      </c>
      <c r="H38" s="183">
        <f t="shared" si="1"/>
        <v>1169.28495</v>
      </c>
      <c r="I38" s="85">
        <f t="shared" si="7"/>
        <v>720.47670000000005</v>
      </c>
      <c r="J38" s="84" t="s">
        <v>371</v>
      </c>
      <c r="K38" s="84">
        <v>539.80499999999995</v>
      </c>
      <c r="L38" s="299">
        <v>900</v>
      </c>
      <c r="M38" s="83">
        <f t="shared" si="8"/>
        <v>1169.28495</v>
      </c>
      <c r="N38" s="82">
        <f t="shared" si="9"/>
        <v>-269.28494999999998</v>
      </c>
      <c r="O38" s="129">
        <f>L38/E38</f>
        <v>0.6</v>
      </c>
      <c r="P38" s="128" t="s">
        <v>370</v>
      </c>
      <c r="Q38" s="127">
        <v>217.37</v>
      </c>
      <c r="W38" s="378"/>
      <c r="X38" s="378"/>
      <c r="Y38" s="378"/>
      <c r="Z38" s="378"/>
      <c r="AA38" s="378"/>
    </row>
    <row r="39" spans="1:47" ht="15.7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183">
        <v>1.5</v>
      </c>
      <c r="H39" s="183">
        <f t="shared" si="1"/>
        <v>1329.2317499999999</v>
      </c>
      <c r="I39" s="85">
        <f t="shared" si="7"/>
        <v>863.84550000000002</v>
      </c>
      <c r="J39" s="84" t="s">
        <v>366</v>
      </c>
      <c r="K39" s="84">
        <v>585.61500000000001</v>
      </c>
      <c r="L39" s="299">
        <v>1050</v>
      </c>
      <c r="M39" s="83">
        <f t="shared" si="8"/>
        <v>1329.2317499999999</v>
      </c>
      <c r="N39" s="82">
        <f t="shared" si="9"/>
        <v>-279.23174999999992</v>
      </c>
      <c r="O39" s="123">
        <f>L39/E39</f>
        <v>0.6</v>
      </c>
      <c r="P39" s="122" t="s">
        <v>20</v>
      </c>
      <c r="Q39" s="121">
        <v>244.27</v>
      </c>
      <c r="W39" s="381"/>
      <c r="X39" s="381"/>
      <c r="Y39" s="18"/>
      <c r="Z39" s="381"/>
      <c r="AA39" s="381"/>
    </row>
    <row r="40" spans="1:47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183">
        <v>1.5</v>
      </c>
      <c r="H40" s="183">
        <f t="shared" si="1"/>
        <v>350.71049999999997</v>
      </c>
      <c r="I40" s="73">
        <f t="shared" si="7"/>
        <v>366.19299999999998</v>
      </c>
      <c r="J40" s="72" t="s">
        <v>328</v>
      </c>
      <c r="K40" s="72">
        <v>673.16499999999996</v>
      </c>
      <c r="L40" s="300">
        <v>450</v>
      </c>
      <c r="M40" s="83">
        <f t="shared" si="8"/>
        <v>350.71049999999997</v>
      </c>
      <c r="N40" s="82">
        <f t="shared" si="9"/>
        <v>99.289500000000032</v>
      </c>
      <c r="O40" s="129"/>
      <c r="P40" s="118"/>
      <c r="Q40" s="117"/>
      <c r="W40" s="381"/>
      <c r="X40" s="381"/>
      <c r="Y40" s="18"/>
      <c r="Z40" s="381"/>
      <c r="AA40" s="381"/>
    </row>
    <row r="41" spans="1:47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183">
        <v>1.5</v>
      </c>
      <c r="H41" s="183">
        <f t="shared" si="1"/>
        <v>624.22170000000006</v>
      </c>
      <c r="I41" s="95">
        <f t="shared" si="7"/>
        <v>333.85219999999998</v>
      </c>
      <c r="J41" s="94" t="s">
        <v>361</v>
      </c>
      <c r="K41" s="94">
        <v>692.19500000000005</v>
      </c>
      <c r="L41" s="94">
        <v>750</v>
      </c>
      <c r="M41" s="83">
        <f t="shared" si="8"/>
        <v>624.22170000000006</v>
      </c>
      <c r="N41" s="82">
        <f t="shared" si="9"/>
        <v>125.77829999999994</v>
      </c>
      <c r="O41" s="79"/>
      <c r="P41" s="115"/>
      <c r="Q41" s="105"/>
      <c r="R41" s="342"/>
      <c r="W41" s="381"/>
      <c r="X41" s="381"/>
      <c r="Y41" s="18"/>
      <c r="Z41" s="381"/>
      <c r="AA41" s="381"/>
    </row>
    <row r="42" spans="1:47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83">
        <v>1.5</v>
      </c>
      <c r="H42" s="183">
        <f t="shared" si="1"/>
        <v>637.00244999999995</v>
      </c>
      <c r="I42" s="109">
        <f t="shared" si="7"/>
        <v>475.33170000000001</v>
      </c>
      <c r="J42" s="108" t="s">
        <v>359</v>
      </c>
      <c r="K42" s="108">
        <v>1033.6600000000001</v>
      </c>
      <c r="L42" s="108">
        <v>900</v>
      </c>
      <c r="M42" s="83">
        <f t="shared" si="8"/>
        <v>637.00244999999995</v>
      </c>
      <c r="N42" s="82">
        <f t="shared" si="9"/>
        <v>262.99755000000005</v>
      </c>
      <c r="O42" s="79"/>
      <c r="P42" s="115"/>
      <c r="Q42" s="105"/>
      <c r="R42" s="342"/>
      <c r="W42" s="381"/>
      <c r="X42" s="381"/>
      <c r="Y42" s="18"/>
      <c r="Z42" s="381"/>
      <c r="AA42" s="381"/>
      <c r="AC42" s="519"/>
      <c r="AD42" s="519"/>
      <c r="AE42" s="519"/>
      <c r="AF42" s="381"/>
      <c r="AG42" s="519"/>
      <c r="AH42" s="519"/>
      <c r="AI42" s="519"/>
      <c r="AJ42" s="320"/>
    </row>
    <row r="43" spans="1:47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183">
        <v>1.5</v>
      </c>
      <c r="H43" s="183">
        <f t="shared" si="1"/>
        <v>120.505005</v>
      </c>
      <c r="I43" s="95">
        <f t="shared" si="7"/>
        <v>169.66333</v>
      </c>
      <c r="J43" s="94" t="s">
        <v>357</v>
      </c>
      <c r="K43" s="94">
        <v>811.21</v>
      </c>
      <c r="L43" s="291">
        <v>150</v>
      </c>
      <c r="M43" s="83">
        <f t="shared" si="8"/>
        <v>120.505005</v>
      </c>
      <c r="N43" s="82">
        <f t="shared" si="9"/>
        <v>29.494995000000003</v>
      </c>
      <c r="O43" s="113"/>
      <c r="P43" s="12"/>
      <c r="Q43" s="89"/>
      <c r="R43" s="342"/>
      <c r="W43" s="18"/>
      <c r="X43" s="381"/>
      <c r="Y43" s="381"/>
      <c r="Z43" s="381"/>
      <c r="AA43" s="381"/>
      <c r="AC43" s="320"/>
      <c r="AD43" s="320"/>
      <c r="AE43" s="320"/>
      <c r="AF43" s="381"/>
      <c r="AG43" s="320"/>
      <c r="AH43" s="320"/>
      <c r="AI43" s="320"/>
      <c r="AJ43" s="320"/>
    </row>
    <row r="44" spans="1:47" ht="15.75" thickBot="1">
      <c r="A44" s="376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183">
        <v>1.5</v>
      </c>
      <c r="H44" s="183">
        <f t="shared" si="1"/>
        <v>100.86274499999999</v>
      </c>
      <c r="I44" s="85">
        <f t="shared" si="7"/>
        <v>132.75817000000001</v>
      </c>
      <c r="J44" s="84" t="s">
        <v>354</v>
      </c>
      <c r="K44" s="84">
        <v>607.995</v>
      </c>
      <c r="L44" s="299">
        <v>150</v>
      </c>
      <c r="M44" s="83">
        <f t="shared" si="8"/>
        <v>100.86274499999999</v>
      </c>
      <c r="N44" s="82">
        <f t="shared" si="9"/>
        <v>49.13725500000001</v>
      </c>
      <c r="O44" s="113"/>
      <c r="P44" s="112"/>
      <c r="Q44" s="374"/>
      <c r="R44" s="342"/>
      <c r="W44" s="18"/>
      <c r="X44" s="381"/>
      <c r="Y44" s="381"/>
      <c r="Z44" s="381"/>
      <c r="AA44" s="381"/>
      <c r="AC44" s="320"/>
      <c r="AD44" s="320"/>
      <c r="AE44" s="520" t="s">
        <v>537</v>
      </c>
      <c r="AF44" s="521"/>
      <c r="AG44" s="521"/>
      <c r="AH44" s="521"/>
      <c r="AI44" s="521"/>
      <c r="AJ44" s="522"/>
      <c r="AK44" s="164"/>
      <c r="AO44" s="520" t="s">
        <v>519</v>
      </c>
      <c r="AP44" s="521"/>
      <c r="AQ44" s="521"/>
      <c r="AR44" s="521"/>
      <c r="AS44" s="521"/>
      <c r="AT44" s="522"/>
      <c r="AU44" s="164"/>
    </row>
    <row r="45" spans="1:47" ht="15.7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183">
        <v>1.5</v>
      </c>
      <c r="H45" s="183">
        <f t="shared" si="1"/>
        <v>263.87879999999996</v>
      </c>
      <c r="I45" s="85">
        <f t="shared" si="7"/>
        <v>274.08080000000001</v>
      </c>
      <c r="J45" s="84" t="s">
        <v>352</v>
      </c>
      <c r="K45" s="84">
        <v>1051.23</v>
      </c>
      <c r="L45" s="84">
        <v>450</v>
      </c>
      <c r="M45" s="83">
        <f t="shared" si="8"/>
        <v>263.87879999999996</v>
      </c>
      <c r="N45" s="82">
        <f t="shared" si="9"/>
        <v>186.12120000000004</v>
      </c>
      <c r="O45" s="79"/>
      <c r="P45" s="78"/>
      <c r="Q45" s="77"/>
      <c r="R45" s="342"/>
      <c r="Y45" s="320"/>
      <c r="AC45" s="320"/>
      <c r="AD45" s="320"/>
      <c r="AE45" s="336" t="s">
        <v>506</v>
      </c>
      <c r="AF45" s="337" t="s">
        <v>507</v>
      </c>
      <c r="AG45" s="337" t="s">
        <v>508</v>
      </c>
      <c r="AH45" s="337" t="s">
        <v>509</v>
      </c>
      <c r="AI45" s="338" t="s">
        <v>510</v>
      </c>
      <c r="AJ45" s="339" t="s">
        <v>511</v>
      </c>
      <c r="AK45" s="312" t="s">
        <v>417</v>
      </c>
      <c r="AO45" s="336" t="s">
        <v>506</v>
      </c>
      <c r="AP45" s="337" t="s">
        <v>507</v>
      </c>
      <c r="AQ45" s="337" t="s">
        <v>508</v>
      </c>
      <c r="AR45" s="337" t="s">
        <v>509</v>
      </c>
      <c r="AS45" s="338" t="s">
        <v>510</v>
      </c>
      <c r="AT45" s="339" t="s">
        <v>511</v>
      </c>
      <c r="AU45" s="312" t="s">
        <v>417</v>
      </c>
    </row>
    <row r="46" spans="1:47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83">
        <v>1.5</v>
      </c>
      <c r="H46" s="183">
        <f t="shared" si="1"/>
        <v>172.67144999999999</v>
      </c>
      <c r="I46" s="109">
        <f t="shared" si="7"/>
        <v>284.88569999999999</v>
      </c>
      <c r="J46" s="108" t="s">
        <v>348</v>
      </c>
      <c r="K46" s="108">
        <v>838.745</v>
      </c>
      <c r="L46" s="298">
        <v>300</v>
      </c>
      <c r="M46" s="83">
        <f t="shared" si="8"/>
        <v>172.67144999999999</v>
      </c>
      <c r="N46" s="82">
        <f t="shared" si="9"/>
        <v>127.32855000000001</v>
      </c>
      <c r="O46" s="79"/>
      <c r="P46" s="104"/>
      <c r="Q46" s="103"/>
      <c r="R46" s="342"/>
      <c r="AC46" s="320"/>
      <c r="AD46" s="320"/>
      <c r="AE46" s="60" t="s">
        <v>84</v>
      </c>
      <c r="AF46" s="340">
        <v>0</v>
      </c>
      <c r="AG46" s="340">
        <v>0</v>
      </c>
      <c r="AH46" s="341">
        <v>0</v>
      </c>
      <c r="AI46" s="341">
        <v>0</v>
      </c>
      <c r="AJ46" s="342">
        <v>0</v>
      </c>
      <c r="AK46" s="343">
        <f>SUM(AF46:AJ46)</f>
        <v>0</v>
      </c>
      <c r="AO46" s="60" t="s">
        <v>84</v>
      </c>
      <c r="AP46" s="340">
        <v>0</v>
      </c>
      <c r="AQ46" s="340">
        <v>0</v>
      </c>
      <c r="AR46" s="341">
        <v>0</v>
      </c>
      <c r="AS46" s="341">
        <v>0</v>
      </c>
      <c r="AT46" s="342">
        <v>0</v>
      </c>
      <c r="AU46" s="343">
        <f>SUM(AP46:AT46)</f>
        <v>0</v>
      </c>
    </row>
    <row r="47" spans="1:47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83">
        <v>1.5</v>
      </c>
      <c r="H47" s="183">
        <f t="shared" si="1"/>
        <v>131.35275000000001</v>
      </c>
      <c r="I47" s="109">
        <f t="shared" si="7"/>
        <v>212.4315</v>
      </c>
      <c r="J47" s="108" t="s">
        <v>346</v>
      </c>
      <c r="K47" s="108">
        <v>792.93499999999995</v>
      </c>
      <c r="L47" s="108">
        <v>300</v>
      </c>
      <c r="M47" s="83">
        <f t="shared" si="8"/>
        <v>131.35275000000001</v>
      </c>
      <c r="N47" s="82">
        <f t="shared" si="9"/>
        <v>168.64724999999999</v>
      </c>
      <c r="O47" s="79"/>
      <c r="P47" s="104"/>
      <c r="Q47" s="103"/>
      <c r="R47" s="342"/>
      <c r="AC47" s="320"/>
      <c r="AD47" s="320"/>
      <c r="AE47" s="60" t="s">
        <v>85</v>
      </c>
      <c r="AF47" s="340">
        <v>3</v>
      </c>
      <c r="AG47" s="340">
        <v>1</v>
      </c>
      <c r="AH47" s="340">
        <v>0</v>
      </c>
      <c r="AI47" s="340">
        <v>0</v>
      </c>
      <c r="AJ47" s="342">
        <v>0</v>
      </c>
      <c r="AK47" s="60">
        <f t="shared" ref="AK47:AK57" si="10">SUM(AF47:AJ47)</f>
        <v>4</v>
      </c>
      <c r="AO47" s="60" t="s">
        <v>85</v>
      </c>
      <c r="AP47" s="340">
        <v>0</v>
      </c>
      <c r="AQ47" s="340">
        <v>0</v>
      </c>
      <c r="AR47" s="340">
        <v>0</v>
      </c>
      <c r="AS47" s="340">
        <v>0</v>
      </c>
      <c r="AT47" s="342">
        <v>0</v>
      </c>
      <c r="AU47" s="60">
        <f t="shared" ref="AU47:AU57" si="11">SUM(AP47:AT47)</f>
        <v>0</v>
      </c>
    </row>
    <row r="48" spans="1:47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183">
        <v>1.5</v>
      </c>
      <c r="H48" s="183">
        <f t="shared" si="1"/>
        <v>69.246000000000009</v>
      </c>
      <c r="I48" s="95">
        <f t="shared" si="7"/>
        <v>103.836</v>
      </c>
      <c r="J48" s="94" t="s">
        <v>345</v>
      </c>
      <c r="K48" s="94">
        <v>934.80499999999995</v>
      </c>
      <c r="L48" s="94">
        <v>150</v>
      </c>
      <c r="M48" s="83">
        <f t="shared" si="8"/>
        <v>69.246000000000009</v>
      </c>
      <c r="N48" s="82">
        <f t="shared" si="9"/>
        <v>80.753999999999991</v>
      </c>
      <c r="O48" s="113"/>
      <c r="P48" s="12"/>
      <c r="Q48" s="89"/>
      <c r="R48" s="342"/>
      <c r="AC48" s="320"/>
      <c r="AD48" s="320"/>
      <c r="AE48" s="60" t="s">
        <v>86</v>
      </c>
      <c r="AF48" s="340">
        <v>0</v>
      </c>
      <c r="AG48" s="340">
        <v>0</v>
      </c>
      <c r="AH48" s="340">
        <v>2</v>
      </c>
      <c r="AI48" s="340">
        <v>0</v>
      </c>
      <c r="AJ48" s="342">
        <v>0</v>
      </c>
      <c r="AK48" s="60">
        <f t="shared" si="10"/>
        <v>2</v>
      </c>
      <c r="AO48" s="60" t="s">
        <v>86</v>
      </c>
      <c r="AP48" s="340">
        <v>0</v>
      </c>
      <c r="AQ48" s="340">
        <v>0</v>
      </c>
      <c r="AR48" s="340">
        <v>0</v>
      </c>
      <c r="AS48" s="340">
        <v>0</v>
      </c>
      <c r="AT48" s="342">
        <v>0</v>
      </c>
      <c r="AU48" s="60">
        <f t="shared" si="11"/>
        <v>0</v>
      </c>
    </row>
    <row r="49" spans="1:47" ht="15.7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183">
        <v>1.5</v>
      </c>
      <c r="H49" s="183">
        <f t="shared" si="1"/>
        <v>263.87879999999996</v>
      </c>
      <c r="I49" s="85">
        <f t="shared" si="7"/>
        <v>274.08080000000001</v>
      </c>
      <c r="J49" s="84" t="s">
        <v>341</v>
      </c>
      <c r="K49" s="84">
        <v>992.44500000000005</v>
      </c>
      <c r="L49" s="84">
        <v>450</v>
      </c>
      <c r="M49" s="83">
        <f t="shared" si="8"/>
        <v>263.87879999999996</v>
      </c>
      <c r="N49" s="82">
        <f t="shared" si="9"/>
        <v>186.12120000000004</v>
      </c>
      <c r="O49" s="79"/>
      <c r="P49" s="78"/>
      <c r="Q49" s="77"/>
      <c r="AC49" s="320"/>
      <c r="AD49" s="320"/>
      <c r="AE49" s="60" t="s">
        <v>87</v>
      </c>
      <c r="AF49" s="340">
        <v>0</v>
      </c>
      <c r="AG49" s="340">
        <v>0</v>
      </c>
      <c r="AH49" s="340">
        <v>3</v>
      </c>
      <c r="AI49" s="340">
        <v>1</v>
      </c>
      <c r="AJ49" s="342">
        <v>0</v>
      </c>
      <c r="AK49" s="60">
        <f t="shared" si="10"/>
        <v>4</v>
      </c>
      <c r="AO49" s="60" t="s">
        <v>87</v>
      </c>
      <c r="AP49" s="340">
        <v>1</v>
      </c>
      <c r="AQ49" s="340">
        <v>1</v>
      </c>
      <c r="AR49" s="340">
        <v>0</v>
      </c>
      <c r="AS49" s="340">
        <v>0</v>
      </c>
      <c r="AT49" s="342">
        <v>0</v>
      </c>
      <c r="AU49" s="60">
        <f t="shared" si="11"/>
        <v>2</v>
      </c>
    </row>
    <row r="50" spans="1:47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183">
        <v>1.5</v>
      </c>
      <c r="H50" s="183">
        <f t="shared" si="1"/>
        <v>69.246000000000009</v>
      </c>
      <c r="I50" s="95">
        <f t="shared" si="7"/>
        <v>103.836</v>
      </c>
      <c r="J50" s="94" t="s">
        <v>337</v>
      </c>
      <c r="K50" s="94">
        <v>817.04499999999996</v>
      </c>
      <c r="L50" s="94">
        <v>150</v>
      </c>
      <c r="M50" s="83">
        <f t="shared" si="8"/>
        <v>69.246000000000009</v>
      </c>
      <c r="N50" s="82">
        <f t="shared" si="9"/>
        <v>80.753999999999991</v>
      </c>
      <c r="O50" s="79"/>
      <c r="P50" s="104"/>
      <c r="Q50" s="103"/>
      <c r="W50" s="524" t="s">
        <v>552</v>
      </c>
      <c r="X50" s="525"/>
      <c r="Y50" s="526"/>
      <c r="AC50" s="320"/>
      <c r="AD50" s="320"/>
      <c r="AE50" s="60" t="s">
        <v>88</v>
      </c>
      <c r="AF50" s="340">
        <v>2</v>
      </c>
      <c r="AG50" s="340">
        <v>2</v>
      </c>
      <c r="AH50" s="340">
        <v>5</v>
      </c>
      <c r="AI50" s="340">
        <v>0</v>
      </c>
      <c r="AJ50" s="342">
        <v>0</v>
      </c>
      <c r="AK50" s="60">
        <f t="shared" si="10"/>
        <v>9</v>
      </c>
      <c r="AO50" s="60" t="s">
        <v>88</v>
      </c>
      <c r="AP50" s="340">
        <v>1</v>
      </c>
      <c r="AQ50" s="340">
        <v>0</v>
      </c>
      <c r="AR50" s="340">
        <v>0</v>
      </c>
      <c r="AS50" s="340">
        <v>0</v>
      </c>
      <c r="AT50" s="342">
        <v>0</v>
      </c>
      <c r="AU50" s="60">
        <f t="shared" si="11"/>
        <v>1</v>
      </c>
    </row>
    <row r="51" spans="1:47" ht="15.7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183">
        <v>1.5</v>
      </c>
      <c r="H51" s="183">
        <f t="shared" si="1"/>
        <v>69.246000000000009</v>
      </c>
      <c r="I51" s="85">
        <f t="shared" si="7"/>
        <v>103.836</v>
      </c>
      <c r="J51" s="84" t="s">
        <v>337</v>
      </c>
      <c r="K51" s="84">
        <v>817.04499999999996</v>
      </c>
      <c r="L51" s="84">
        <v>150</v>
      </c>
      <c r="M51" s="83">
        <f t="shared" si="8"/>
        <v>69.246000000000009</v>
      </c>
      <c r="N51" s="82">
        <f t="shared" si="9"/>
        <v>80.753999999999991</v>
      </c>
      <c r="O51" s="79"/>
      <c r="P51" s="60"/>
      <c r="Q51" s="99"/>
      <c r="W51" s="91"/>
      <c r="X51" s="320"/>
      <c r="Y51" s="100"/>
      <c r="AC51" s="320"/>
      <c r="AD51" s="320"/>
      <c r="AE51" s="60" t="s">
        <v>89</v>
      </c>
      <c r="AF51" s="340">
        <v>1</v>
      </c>
      <c r="AG51" s="340">
        <v>0</v>
      </c>
      <c r="AH51" s="340">
        <v>0</v>
      </c>
      <c r="AI51" s="340">
        <v>0</v>
      </c>
      <c r="AJ51" s="342">
        <v>0</v>
      </c>
      <c r="AK51" s="60">
        <f t="shared" si="10"/>
        <v>1</v>
      </c>
      <c r="AO51" s="60" t="s">
        <v>89</v>
      </c>
      <c r="AP51" s="340">
        <v>0</v>
      </c>
      <c r="AQ51" s="340">
        <v>0</v>
      </c>
      <c r="AR51" s="340">
        <v>0</v>
      </c>
      <c r="AS51" s="340">
        <v>0</v>
      </c>
      <c r="AT51" s="342">
        <v>0</v>
      </c>
      <c r="AU51" s="60">
        <f t="shared" si="11"/>
        <v>0</v>
      </c>
    </row>
    <row r="52" spans="1:47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183">
        <v>1.5</v>
      </c>
      <c r="H52" s="183">
        <f t="shared" si="1"/>
        <v>205.31295</v>
      </c>
      <c r="I52" s="95">
        <f t="shared" si="7"/>
        <v>263.12469999999996</v>
      </c>
      <c r="J52" s="94" t="s">
        <v>325</v>
      </c>
      <c r="K52" s="94">
        <v>518.48</v>
      </c>
      <c r="L52" s="94">
        <v>400</v>
      </c>
      <c r="M52" s="83">
        <f t="shared" si="8"/>
        <v>205.31295</v>
      </c>
      <c r="N52" s="82">
        <f t="shared" si="9"/>
        <v>194.68705</v>
      </c>
      <c r="O52" s="79"/>
      <c r="P52" s="60"/>
      <c r="Q52" s="89"/>
      <c r="W52" s="138" t="s">
        <v>390</v>
      </c>
      <c r="X52" s="137" t="s">
        <v>389</v>
      </c>
      <c r="Y52" s="136" t="s">
        <v>388</v>
      </c>
      <c r="AC52" s="320"/>
      <c r="AD52" s="320"/>
      <c r="AE52" s="60" t="s">
        <v>90</v>
      </c>
      <c r="AF52" s="340">
        <v>1</v>
      </c>
      <c r="AG52" s="340">
        <v>0</v>
      </c>
      <c r="AH52" s="340">
        <v>0</v>
      </c>
      <c r="AI52" s="340">
        <v>1</v>
      </c>
      <c r="AJ52" s="342">
        <v>0</v>
      </c>
      <c r="AK52" s="60">
        <f t="shared" si="10"/>
        <v>2</v>
      </c>
      <c r="AO52" s="60" t="s">
        <v>90</v>
      </c>
      <c r="AP52" s="340">
        <v>1</v>
      </c>
      <c r="AQ52" s="340">
        <v>0</v>
      </c>
      <c r="AR52" s="340">
        <v>0</v>
      </c>
      <c r="AS52" s="340">
        <v>0</v>
      </c>
      <c r="AT52" s="342">
        <v>0</v>
      </c>
      <c r="AU52" s="60">
        <f t="shared" si="11"/>
        <v>1</v>
      </c>
    </row>
    <row r="53" spans="1:47" ht="15.7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183">
        <v>1.5</v>
      </c>
      <c r="H53" s="183">
        <f t="shared" si="1"/>
        <v>131.35275000000001</v>
      </c>
      <c r="I53" s="85">
        <f t="shared" si="7"/>
        <v>212.4315</v>
      </c>
      <c r="J53" s="84" t="s">
        <v>334</v>
      </c>
      <c r="K53" s="84">
        <v>792.93499999999995</v>
      </c>
      <c r="L53" s="84">
        <v>300</v>
      </c>
      <c r="M53" s="83">
        <f t="shared" si="8"/>
        <v>131.35275000000001</v>
      </c>
      <c r="N53" s="82">
        <f t="shared" si="9"/>
        <v>168.64724999999999</v>
      </c>
      <c r="O53" s="79"/>
      <c r="P53" s="12"/>
      <c r="Q53" s="99"/>
      <c r="W53" s="133" t="s">
        <v>384</v>
      </c>
      <c r="X53" s="132">
        <v>80.89</v>
      </c>
      <c r="Y53" s="100">
        <f>X53/1200*100</f>
        <v>6.7408333333333337</v>
      </c>
      <c r="AC53" s="320"/>
      <c r="AD53" s="320"/>
      <c r="AE53" s="60" t="s">
        <v>91</v>
      </c>
      <c r="AF53" s="340">
        <v>3</v>
      </c>
      <c r="AG53" s="340">
        <v>5</v>
      </c>
      <c r="AH53" s="342">
        <v>1</v>
      </c>
      <c r="AI53" s="342">
        <v>0</v>
      </c>
      <c r="AJ53" s="342">
        <v>0</v>
      </c>
      <c r="AK53" s="60">
        <f t="shared" si="10"/>
        <v>9</v>
      </c>
      <c r="AO53" s="60" t="s">
        <v>91</v>
      </c>
      <c r="AP53" s="340">
        <v>0</v>
      </c>
      <c r="AQ53" s="340">
        <v>0</v>
      </c>
      <c r="AR53" s="342">
        <v>0</v>
      </c>
      <c r="AS53" s="342">
        <v>0</v>
      </c>
      <c r="AT53" s="342">
        <v>0</v>
      </c>
      <c r="AU53" s="60">
        <f t="shared" si="11"/>
        <v>0</v>
      </c>
    </row>
    <row r="54" spans="1:47" ht="15.7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183">
        <v>1.5</v>
      </c>
      <c r="H54" s="183">
        <f t="shared" si="1"/>
        <v>49.947495000000004</v>
      </c>
      <c r="I54" s="95">
        <f t="shared" si="7"/>
        <v>166.70167000000001</v>
      </c>
      <c r="J54" s="94" t="s">
        <v>331</v>
      </c>
      <c r="K54" s="94">
        <v>524.75</v>
      </c>
      <c r="L54" s="94">
        <v>200</v>
      </c>
      <c r="M54" s="83">
        <f t="shared" si="8"/>
        <v>49.947495000000004</v>
      </c>
      <c r="N54" s="82">
        <f t="shared" si="9"/>
        <v>150.052505</v>
      </c>
      <c r="O54" s="113"/>
      <c r="P54" s="12"/>
      <c r="Q54" s="89"/>
      <c r="W54" s="133" t="s">
        <v>380</v>
      </c>
      <c r="X54" s="132">
        <v>16.11</v>
      </c>
      <c r="Y54" s="100">
        <f>X54/600*100</f>
        <v>2.6850000000000001</v>
      </c>
      <c r="AC54" s="320"/>
      <c r="AD54" s="320"/>
      <c r="AE54" s="60" t="s">
        <v>92</v>
      </c>
      <c r="AF54" s="342">
        <v>1</v>
      </c>
      <c r="AG54" s="342">
        <v>1</v>
      </c>
      <c r="AH54" s="342"/>
      <c r="AI54" s="342">
        <v>0</v>
      </c>
      <c r="AJ54" s="342">
        <v>0</v>
      </c>
      <c r="AK54" s="60">
        <f t="shared" si="10"/>
        <v>2</v>
      </c>
      <c r="AO54" s="60" t="s">
        <v>92</v>
      </c>
      <c r="AP54" s="342">
        <v>0</v>
      </c>
      <c r="AQ54" s="342">
        <v>0</v>
      </c>
      <c r="AR54" s="342">
        <v>0</v>
      </c>
      <c r="AS54" s="342">
        <v>0</v>
      </c>
      <c r="AT54" s="342">
        <v>0</v>
      </c>
      <c r="AU54" s="60">
        <f t="shared" si="11"/>
        <v>0</v>
      </c>
    </row>
    <row r="55" spans="1:47" ht="15.7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183">
        <v>1.5</v>
      </c>
      <c r="H55" s="183">
        <f t="shared" si="1"/>
        <v>350.71049999999997</v>
      </c>
      <c r="I55" s="85">
        <f t="shared" si="7"/>
        <v>366.19299999999998</v>
      </c>
      <c r="J55" s="84" t="s">
        <v>328</v>
      </c>
      <c r="K55" s="84">
        <v>673.16499999999996</v>
      </c>
      <c r="L55" s="299">
        <v>450</v>
      </c>
      <c r="M55" s="83">
        <f t="shared" si="8"/>
        <v>350.71049999999997</v>
      </c>
      <c r="N55" s="82">
        <f t="shared" si="9"/>
        <v>99.289500000000032</v>
      </c>
      <c r="O55" s="79"/>
      <c r="P55" s="78"/>
      <c r="Q55" s="77"/>
      <c r="W55" s="133" t="s">
        <v>19</v>
      </c>
      <c r="X55" s="132">
        <v>217.37</v>
      </c>
      <c r="Y55" s="100">
        <f>X55/1500*100</f>
        <v>14.491333333333333</v>
      </c>
      <c r="AC55" s="320"/>
      <c r="AD55" s="320"/>
      <c r="AE55" s="60" t="s">
        <v>93</v>
      </c>
      <c r="AF55" s="342">
        <v>1</v>
      </c>
      <c r="AG55" s="340">
        <v>1</v>
      </c>
      <c r="AH55" s="342">
        <v>3</v>
      </c>
      <c r="AI55" s="342">
        <v>0</v>
      </c>
      <c r="AJ55" s="342">
        <v>0</v>
      </c>
      <c r="AK55" s="60">
        <f t="shared" si="10"/>
        <v>5</v>
      </c>
      <c r="AO55" s="60" t="s">
        <v>93</v>
      </c>
      <c r="AP55" s="342">
        <v>0</v>
      </c>
      <c r="AQ55" s="340">
        <v>1</v>
      </c>
      <c r="AR55" s="342">
        <v>0</v>
      </c>
      <c r="AS55" s="342">
        <v>0</v>
      </c>
      <c r="AT55" s="342">
        <v>0</v>
      </c>
      <c r="AU55" s="60">
        <f t="shared" si="11"/>
        <v>1</v>
      </c>
    </row>
    <row r="56" spans="1:47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183">
        <v>1.5</v>
      </c>
      <c r="H56" s="183">
        <f t="shared" si="1"/>
        <v>205.31295</v>
      </c>
      <c r="I56" s="73">
        <f t="shared" si="7"/>
        <v>263.12469999999996</v>
      </c>
      <c r="J56" s="72" t="s">
        <v>325</v>
      </c>
      <c r="K56" s="72">
        <v>518.48</v>
      </c>
      <c r="L56" s="72">
        <v>400</v>
      </c>
      <c r="M56" s="83">
        <f t="shared" si="8"/>
        <v>205.31295</v>
      </c>
      <c r="N56" s="82">
        <f t="shared" si="9"/>
        <v>194.68705</v>
      </c>
      <c r="O56" s="113"/>
      <c r="P56" s="67"/>
      <c r="Q56" s="66"/>
      <c r="W56" s="133" t="s">
        <v>20</v>
      </c>
      <c r="X56" s="132">
        <v>244.27</v>
      </c>
      <c r="Y56" s="100">
        <f>X56/1750*100</f>
        <v>13.958285714285715</v>
      </c>
      <c r="AC56" s="380"/>
      <c r="AD56" s="320"/>
      <c r="AE56" s="60" t="s">
        <v>94</v>
      </c>
      <c r="AF56" s="342">
        <v>4</v>
      </c>
      <c r="AG56" s="340">
        <v>1</v>
      </c>
      <c r="AH56" s="342">
        <v>2</v>
      </c>
      <c r="AI56" s="342">
        <v>0</v>
      </c>
      <c r="AJ56" s="342">
        <v>0</v>
      </c>
      <c r="AK56" s="60">
        <f t="shared" si="10"/>
        <v>7</v>
      </c>
      <c r="AO56" s="60" t="s">
        <v>94</v>
      </c>
      <c r="AP56" s="342">
        <v>2</v>
      </c>
      <c r="AQ56" s="340">
        <v>0</v>
      </c>
      <c r="AR56" s="342">
        <v>0</v>
      </c>
      <c r="AS56" s="342">
        <v>0</v>
      </c>
      <c r="AT56" s="342">
        <v>0</v>
      </c>
      <c r="AU56" s="60">
        <f t="shared" si="11"/>
        <v>2</v>
      </c>
    </row>
    <row r="57" spans="1:47" ht="15.75" thickBot="1">
      <c r="A57" s="320"/>
      <c r="B57" s="64"/>
      <c r="C57" s="320"/>
      <c r="D57" s="320"/>
      <c r="E57" s="320"/>
      <c r="F57" s="64"/>
      <c r="G57" s="64"/>
      <c r="H57" s="64"/>
      <c r="I57" s="320"/>
      <c r="J57" s="320"/>
      <c r="K57" s="320"/>
      <c r="L57" s="320"/>
      <c r="M57" s="320"/>
      <c r="N57" s="320"/>
      <c r="Q57" s="320"/>
      <c r="W57" s="5" t="s">
        <v>395</v>
      </c>
      <c r="X57" s="5">
        <v>96.69</v>
      </c>
      <c r="Y57" s="90">
        <f>X57/500*100</f>
        <v>19.338000000000001</v>
      </c>
      <c r="AC57" s="381"/>
      <c r="AD57" s="381"/>
      <c r="AE57" s="347" t="s">
        <v>505</v>
      </c>
      <c r="AF57" s="348">
        <v>0</v>
      </c>
      <c r="AG57" s="348">
        <v>2</v>
      </c>
      <c r="AH57" s="348">
        <v>0</v>
      </c>
      <c r="AI57" s="348">
        <v>0</v>
      </c>
      <c r="AJ57" s="348">
        <v>0</v>
      </c>
      <c r="AK57" s="347">
        <f t="shared" si="10"/>
        <v>2</v>
      </c>
      <c r="AO57" s="347" t="s">
        <v>505</v>
      </c>
      <c r="AP57" s="348">
        <v>0</v>
      </c>
      <c r="AQ57" s="348">
        <v>0</v>
      </c>
      <c r="AR57" s="348">
        <v>0</v>
      </c>
      <c r="AS57" s="348">
        <v>0</v>
      </c>
      <c r="AT57" s="348">
        <v>0</v>
      </c>
      <c r="AU57" s="347">
        <f t="shared" si="11"/>
        <v>0</v>
      </c>
    </row>
    <row r="58" spans="1:47" ht="15.75" thickBot="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Q58" s="320"/>
      <c r="W58" s="126" t="s">
        <v>369</v>
      </c>
      <c r="X58" s="125">
        <f>SUM(X53:X57)</f>
        <v>655.32999999999993</v>
      </c>
      <c r="AC58" s="381"/>
      <c r="AD58" s="381"/>
      <c r="AE58" s="312" t="s">
        <v>515</v>
      </c>
      <c r="AF58" s="349">
        <f t="shared" ref="AF58:AK58" si="12">SUM(AF46:AF57)</f>
        <v>16</v>
      </c>
      <c r="AG58" s="349">
        <f t="shared" si="12"/>
        <v>13</v>
      </c>
      <c r="AH58" s="349">
        <f t="shared" si="12"/>
        <v>16</v>
      </c>
      <c r="AI58" s="349">
        <f t="shared" si="12"/>
        <v>2</v>
      </c>
      <c r="AJ58" s="349">
        <f t="shared" si="12"/>
        <v>0</v>
      </c>
      <c r="AK58" s="350">
        <f t="shared" si="12"/>
        <v>47</v>
      </c>
      <c r="AO58" s="312" t="s">
        <v>515</v>
      </c>
      <c r="AP58" s="349">
        <f t="shared" ref="AP58:AU58" si="13">SUM(AP46:AP57)</f>
        <v>5</v>
      </c>
      <c r="AQ58" s="349">
        <f t="shared" si="13"/>
        <v>2</v>
      </c>
      <c r="AR58" s="349">
        <f t="shared" si="13"/>
        <v>0</v>
      </c>
      <c r="AS58" s="349">
        <f t="shared" si="13"/>
        <v>0</v>
      </c>
      <c r="AT58" s="349">
        <f t="shared" si="13"/>
        <v>0</v>
      </c>
      <c r="AU58" s="350">
        <f t="shared" si="13"/>
        <v>7</v>
      </c>
    </row>
    <row r="59" spans="1:47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Q59" s="320"/>
      <c r="W59" s="17" t="s">
        <v>365</v>
      </c>
      <c r="X59" s="17">
        <f>X58/19550*100</f>
        <v>3.352071611253197</v>
      </c>
      <c r="AC59" s="381"/>
      <c r="AD59" s="381"/>
      <c r="AE59" s="312" t="s">
        <v>514</v>
      </c>
      <c r="AF59" s="351">
        <f>PRODUCT(AF58,AG70)</f>
        <v>240</v>
      </c>
      <c r="AG59" s="414">
        <f>PRODUCT(AG58,AG71)</f>
        <v>212.79570000000001</v>
      </c>
      <c r="AH59" s="414">
        <f>PRODUCT(AH58,AG72)</f>
        <v>267.94720000000001</v>
      </c>
      <c r="AI59" s="414">
        <f>PRODUCT(AI58,AG73)</f>
        <v>33.773200000000003</v>
      </c>
      <c r="AJ59" s="414">
        <f>PRODUCT(AJ58,AG74)</f>
        <v>0</v>
      </c>
      <c r="AK59" s="415">
        <f>SUM(AF59:AJ59)</f>
        <v>754.51609999999994</v>
      </c>
      <c r="AO59" s="312" t="s">
        <v>514</v>
      </c>
      <c r="AP59" s="351">
        <f>PRODUCT(AP58*AG70)</f>
        <v>75</v>
      </c>
      <c r="AQ59" s="414">
        <f>PRODUCT(AQ58,AG71)</f>
        <v>32.7378</v>
      </c>
      <c r="AR59" s="414">
        <f>PRODUCT(AR58,AG72)</f>
        <v>0</v>
      </c>
      <c r="AS59" s="414">
        <f>PRODUCT(AS58,AG73)</f>
        <v>0</v>
      </c>
      <c r="AT59" s="414">
        <f>PRODUCT(AT58,AG74)</f>
        <v>0</v>
      </c>
      <c r="AU59" s="415">
        <f>SUM(AP59:AT59)</f>
        <v>107.73779999999999</v>
      </c>
    </row>
    <row r="60" spans="1:47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Q60" s="320"/>
      <c r="AC60" s="381"/>
      <c r="AD60" s="381"/>
      <c r="AE60" s="312" t="s">
        <v>513</v>
      </c>
      <c r="AF60" s="351">
        <f>AF58*AF70</f>
        <v>1600</v>
      </c>
      <c r="AG60" s="351">
        <f>AG58*AF71</f>
        <v>1950</v>
      </c>
      <c r="AH60" s="351">
        <f>AH58*AF72</f>
        <v>3200</v>
      </c>
      <c r="AI60" s="351">
        <f>AI58*AF73</f>
        <v>500</v>
      </c>
      <c r="AJ60" s="351">
        <f>AJ58*AF74</f>
        <v>0</v>
      </c>
      <c r="AK60" s="312">
        <f>SUM(AF60:AJ60)</f>
        <v>7250</v>
      </c>
      <c r="AO60" s="312" t="s">
        <v>513</v>
      </c>
      <c r="AP60" s="351">
        <f>AP58*AF70</f>
        <v>500</v>
      </c>
      <c r="AQ60" s="351">
        <f>AQ58*AF71</f>
        <v>300</v>
      </c>
      <c r="AR60" s="351">
        <f>AR58*AF72</f>
        <v>0</v>
      </c>
      <c r="AS60" s="351">
        <f>AS58*AF73</f>
        <v>0</v>
      </c>
      <c r="AT60" s="351">
        <f>AT58*AF74</f>
        <v>0</v>
      </c>
      <c r="AU60" s="312">
        <f>SUM(AP60:AT60)</f>
        <v>800</v>
      </c>
    </row>
    <row r="61" spans="1:47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Q61" s="320"/>
      <c r="AC61" s="18"/>
      <c r="AD61" s="381"/>
      <c r="AE61" s="381"/>
      <c r="AF61" s="381"/>
      <c r="AG61" s="381"/>
    </row>
    <row r="62" spans="1:47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Q62" s="320"/>
      <c r="AC62" s="18"/>
      <c r="AD62" s="381"/>
      <c r="AE62" s="381"/>
      <c r="AF62" s="381"/>
      <c r="AG62" s="381"/>
      <c r="AH62" s="381"/>
      <c r="AI62" s="381"/>
      <c r="AJ62" s="381"/>
    </row>
    <row r="63" spans="1:47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Q63" s="320"/>
      <c r="W63" s="520" t="s">
        <v>602</v>
      </c>
      <c r="X63" s="521"/>
      <c r="Y63" s="521"/>
      <c r="Z63" s="521"/>
      <c r="AA63" s="521"/>
      <c r="AB63" s="522"/>
      <c r="AC63" s="164"/>
    </row>
    <row r="64" spans="1:47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Q64" s="320"/>
      <c r="W64" s="336" t="s">
        <v>506</v>
      </c>
      <c r="X64" s="338" t="s">
        <v>507</v>
      </c>
      <c r="Y64" s="338" t="s">
        <v>508</v>
      </c>
      <c r="Z64" s="338" t="s">
        <v>509</v>
      </c>
      <c r="AA64" s="338" t="s">
        <v>510</v>
      </c>
      <c r="AB64" s="339" t="s">
        <v>558</v>
      </c>
      <c r="AC64" s="312" t="s">
        <v>417</v>
      </c>
    </row>
    <row r="65" spans="1:37">
      <c r="A65" s="320"/>
      <c r="B65" s="64"/>
      <c r="C65" s="320"/>
      <c r="D65" s="320"/>
      <c r="L65" s="320"/>
      <c r="M65" s="320"/>
      <c r="Q65" s="320"/>
      <c r="W65" s="60" t="s">
        <v>84</v>
      </c>
      <c r="X65" s="340">
        <v>0</v>
      </c>
      <c r="Y65" s="340">
        <v>0</v>
      </c>
      <c r="Z65" s="341">
        <v>0</v>
      </c>
      <c r="AA65" s="341">
        <v>0</v>
      </c>
      <c r="AB65" s="342">
        <v>0</v>
      </c>
      <c r="AC65" s="343">
        <f>SUM(X65:AB65)</f>
        <v>0</v>
      </c>
    </row>
    <row r="66" spans="1:37">
      <c r="A66" s="320"/>
      <c r="B66" s="64"/>
      <c r="C66" s="320"/>
      <c r="D66" s="320"/>
      <c r="L66" s="320"/>
      <c r="M66" s="320"/>
      <c r="Q66" s="320"/>
      <c r="W66" s="60" t="s">
        <v>85</v>
      </c>
      <c r="X66" s="340">
        <v>0</v>
      </c>
      <c r="Y66" s="340">
        <v>0</v>
      </c>
      <c r="Z66" s="340">
        <v>0</v>
      </c>
      <c r="AA66" s="340">
        <v>0</v>
      </c>
      <c r="AB66" s="342">
        <v>0</v>
      </c>
      <c r="AC66" s="60">
        <f t="shared" ref="AC66:AC76" si="14">SUM(X66:AB66)</f>
        <v>0</v>
      </c>
    </row>
    <row r="67" spans="1:37">
      <c r="A67" s="320"/>
      <c r="B67" s="64"/>
      <c r="C67" s="320"/>
      <c r="D67" s="320"/>
      <c r="L67" s="320"/>
      <c r="M67" s="320"/>
      <c r="Q67" s="320"/>
      <c r="W67" s="60" t="s">
        <v>86</v>
      </c>
      <c r="X67" s="340">
        <v>1</v>
      </c>
      <c r="Y67" s="340">
        <v>0</v>
      </c>
      <c r="Z67" s="340">
        <v>0</v>
      </c>
      <c r="AA67" s="340">
        <v>0</v>
      </c>
      <c r="AB67" s="342">
        <v>0</v>
      </c>
      <c r="AC67" s="60">
        <f t="shared" si="14"/>
        <v>1</v>
      </c>
    </row>
    <row r="68" spans="1:37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Q68" s="320"/>
      <c r="W68" s="60" t="s">
        <v>87</v>
      </c>
      <c r="X68" s="340">
        <v>1</v>
      </c>
      <c r="Y68" s="340">
        <v>1</v>
      </c>
      <c r="Z68" s="340">
        <v>0</v>
      </c>
      <c r="AA68" s="340">
        <v>0</v>
      </c>
      <c r="AB68" s="342">
        <v>0</v>
      </c>
      <c r="AC68" s="60">
        <f t="shared" si="14"/>
        <v>2</v>
      </c>
      <c r="AE68" s="411"/>
      <c r="AF68" s="411"/>
    </row>
    <row r="69" spans="1:37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Q69" s="320"/>
      <c r="W69" s="60" t="s">
        <v>88</v>
      </c>
      <c r="X69" s="340">
        <v>1</v>
      </c>
      <c r="Y69" s="340">
        <v>0</v>
      </c>
      <c r="Z69" s="340">
        <v>0</v>
      </c>
      <c r="AA69" s="340">
        <v>0</v>
      </c>
      <c r="AB69" s="342">
        <v>0</v>
      </c>
      <c r="AC69" s="60">
        <f t="shared" si="14"/>
        <v>1</v>
      </c>
      <c r="AD69" s="381"/>
      <c r="AE69" s="410" t="s">
        <v>512</v>
      </c>
      <c r="AF69" s="410" t="s">
        <v>513</v>
      </c>
      <c r="AG69" s="344" t="s">
        <v>514</v>
      </c>
    </row>
    <row r="70" spans="1:37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Q70" s="320"/>
      <c r="W70" s="60" t="s">
        <v>89</v>
      </c>
      <c r="X70" s="340">
        <v>0</v>
      </c>
      <c r="Y70" s="340">
        <v>0</v>
      </c>
      <c r="Z70" s="340">
        <v>0</v>
      </c>
      <c r="AA70" s="340">
        <v>0</v>
      </c>
      <c r="AB70" s="342">
        <v>0</v>
      </c>
      <c r="AC70" s="60">
        <f t="shared" si="14"/>
        <v>0</v>
      </c>
      <c r="AD70" s="378"/>
      <c r="AE70" s="61" t="s">
        <v>507</v>
      </c>
      <c r="AF70" s="61">
        <v>100</v>
      </c>
      <c r="AG70" s="416">
        <v>15</v>
      </c>
    </row>
    <row r="71" spans="1:37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Q71" s="320"/>
      <c r="W71" s="60" t="s">
        <v>90</v>
      </c>
      <c r="X71" s="340">
        <v>1</v>
      </c>
      <c r="Y71" s="340">
        <v>0</v>
      </c>
      <c r="Z71" s="340">
        <v>0</v>
      </c>
      <c r="AA71" s="340">
        <v>0</v>
      </c>
      <c r="AB71" s="342">
        <v>0</v>
      </c>
      <c r="AC71" s="60">
        <f t="shared" si="14"/>
        <v>1</v>
      </c>
      <c r="AD71" s="378"/>
      <c r="AE71" s="345" t="s">
        <v>508</v>
      </c>
      <c r="AF71" s="345">
        <v>150</v>
      </c>
      <c r="AG71" s="417">
        <v>16.3689</v>
      </c>
    </row>
    <row r="72" spans="1:37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Q72" s="320"/>
      <c r="W72" s="60" t="s">
        <v>91</v>
      </c>
      <c r="X72" s="340">
        <v>0</v>
      </c>
      <c r="Y72" s="340">
        <v>0</v>
      </c>
      <c r="Z72" s="342">
        <v>0</v>
      </c>
      <c r="AA72" s="342">
        <v>0</v>
      </c>
      <c r="AB72" s="342">
        <v>0</v>
      </c>
      <c r="AC72" s="60">
        <f t="shared" si="14"/>
        <v>0</v>
      </c>
      <c r="AD72" s="381"/>
      <c r="AE72" s="345" t="s">
        <v>509</v>
      </c>
      <c r="AF72" s="345">
        <v>200</v>
      </c>
      <c r="AG72" s="417">
        <v>16.746700000000001</v>
      </c>
    </row>
    <row r="73" spans="1:37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Q73" s="320"/>
      <c r="W73" s="60" t="s">
        <v>92</v>
      </c>
      <c r="X73" s="342">
        <v>0</v>
      </c>
      <c r="Y73" s="342">
        <v>0</v>
      </c>
      <c r="Z73" s="342">
        <v>0</v>
      </c>
      <c r="AA73" s="342">
        <v>0</v>
      </c>
      <c r="AB73" s="342">
        <v>0</v>
      </c>
      <c r="AC73" s="60">
        <f t="shared" si="14"/>
        <v>0</v>
      </c>
      <c r="AD73" s="381"/>
      <c r="AE73" s="345" t="s">
        <v>510</v>
      </c>
      <c r="AF73" s="345">
        <v>250</v>
      </c>
      <c r="AG73" s="417">
        <v>16.886600000000001</v>
      </c>
    </row>
    <row r="74" spans="1:37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Q74" s="320"/>
      <c r="W74" s="60" t="s">
        <v>93</v>
      </c>
      <c r="X74" s="342">
        <v>1</v>
      </c>
      <c r="Y74" s="340">
        <v>1</v>
      </c>
      <c r="Z74" s="342">
        <v>0</v>
      </c>
      <c r="AA74" s="342">
        <v>0</v>
      </c>
      <c r="AB74" s="342">
        <v>0</v>
      </c>
      <c r="AC74" s="60">
        <f t="shared" si="14"/>
        <v>2</v>
      </c>
      <c r="AD74" s="381"/>
      <c r="AE74" s="346" t="s">
        <v>558</v>
      </c>
      <c r="AF74" s="346">
        <v>300</v>
      </c>
      <c r="AG74" s="418">
        <v>17</v>
      </c>
    </row>
    <row r="75" spans="1:37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Q75" s="320"/>
      <c r="W75" s="60" t="s">
        <v>94</v>
      </c>
      <c r="X75" s="342">
        <v>1</v>
      </c>
      <c r="Y75" s="340">
        <v>1</v>
      </c>
      <c r="Z75" s="342">
        <v>0</v>
      </c>
      <c r="AA75" s="342">
        <v>0</v>
      </c>
      <c r="AB75" s="342">
        <v>0</v>
      </c>
      <c r="AC75" s="60">
        <f t="shared" si="14"/>
        <v>2</v>
      </c>
      <c r="AD75" s="18"/>
    </row>
    <row r="76" spans="1:37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Q76" s="320"/>
      <c r="W76" s="347" t="s">
        <v>505</v>
      </c>
      <c r="X76" s="348">
        <v>0</v>
      </c>
      <c r="Y76" s="348">
        <v>0</v>
      </c>
      <c r="Z76" s="348">
        <v>0</v>
      </c>
      <c r="AA76" s="348">
        <v>0</v>
      </c>
      <c r="AB76" s="348">
        <v>0</v>
      </c>
      <c r="AC76" s="347">
        <f t="shared" si="14"/>
        <v>0</v>
      </c>
      <c r="AD76" s="381"/>
    </row>
    <row r="77" spans="1:37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Q77" s="320"/>
      <c r="W77" s="312" t="s">
        <v>515</v>
      </c>
      <c r="X77" s="349">
        <f t="shared" ref="X77:AC77" si="15">SUM(X65:X76)</f>
        <v>6</v>
      </c>
      <c r="Y77" s="349">
        <f t="shared" si="15"/>
        <v>3</v>
      </c>
      <c r="Z77" s="349">
        <f t="shared" si="15"/>
        <v>0</v>
      </c>
      <c r="AA77" s="349">
        <f t="shared" si="15"/>
        <v>0</v>
      </c>
      <c r="AB77" s="349">
        <f t="shared" si="15"/>
        <v>0</v>
      </c>
      <c r="AC77" s="350">
        <f t="shared" si="15"/>
        <v>9</v>
      </c>
      <c r="AD77" s="381"/>
      <c r="AE77" s="520" t="s">
        <v>604</v>
      </c>
      <c r="AF77" s="521"/>
      <c r="AG77" s="521"/>
      <c r="AH77" s="521"/>
      <c r="AI77" s="521"/>
      <c r="AJ77" s="522"/>
      <c r="AK77" s="164"/>
    </row>
    <row r="78" spans="1:37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Q78" s="320"/>
      <c r="W78" s="312" t="s">
        <v>514</v>
      </c>
      <c r="X78" s="351">
        <f>PRODUCT(X77*AG70)</f>
        <v>90</v>
      </c>
      <c r="Y78" s="414">
        <f>PRODUCT(Y77*AG71)</f>
        <v>49.106700000000004</v>
      </c>
      <c r="Z78" s="414">
        <f>PRODUCT(Z77*AG72)</f>
        <v>0</v>
      </c>
      <c r="AA78" s="414">
        <f>PRODUCT(AA77*AG73)</f>
        <v>0</v>
      </c>
      <c r="AB78" s="414">
        <f>PRODUCT(AB77*AG74)</f>
        <v>0</v>
      </c>
      <c r="AC78" s="415">
        <f>SUM(X78:AB78)</f>
        <v>139.10669999999999</v>
      </c>
      <c r="AD78" s="381"/>
      <c r="AE78" s="336" t="s">
        <v>506</v>
      </c>
      <c r="AF78" s="338" t="s">
        <v>507</v>
      </c>
      <c r="AG78" s="338" t="s">
        <v>508</v>
      </c>
      <c r="AH78" s="338" t="s">
        <v>509</v>
      </c>
      <c r="AI78" s="338" t="s">
        <v>510</v>
      </c>
      <c r="AJ78" s="339" t="s">
        <v>558</v>
      </c>
      <c r="AK78" s="312" t="s">
        <v>417</v>
      </c>
    </row>
    <row r="79" spans="1:37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Q79" s="320"/>
      <c r="W79" s="312" t="s">
        <v>513</v>
      </c>
      <c r="X79" s="351">
        <f>X77*AF70</f>
        <v>600</v>
      </c>
      <c r="Y79" s="351">
        <f>Y77*AF71</f>
        <v>450</v>
      </c>
      <c r="Z79" s="351">
        <f>Z77*AF72</f>
        <v>0</v>
      </c>
      <c r="AA79" s="351">
        <f>AA77*AF73</f>
        <v>0</v>
      </c>
      <c r="AB79" s="351">
        <f>AB77*AF74</f>
        <v>0</v>
      </c>
      <c r="AC79" s="312">
        <f>SUM(X79:AB79)</f>
        <v>1050</v>
      </c>
      <c r="AD79" s="381"/>
      <c r="AE79" s="60" t="s">
        <v>84</v>
      </c>
      <c r="AF79" s="342">
        <f>X65+X85</f>
        <v>0</v>
      </c>
      <c r="AG79" s="342">
        <f t="shared" ref="AG79:AJ90" si="16">Y65+Y85</f>
        <v>8</v>
      </c>
      <c r="AH79" s="342">
        <f t="shared" si="16"/>
        <v>3</v>
      </c>
      <c r="AI79" s="342">
        <f t="shared" si="16"/>
        <v>2</v>
      </c>
      <c r="AJ79" s="342">
        <f t="shared" si="16"/>
        <v>0</v>
      </c>
      <c r="AK79" s="343">
        <f>SUM(AF79:AJ79)</f>
        <v>13</v>
      </c>
    </row>
    <row r="80" spans="1:37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Q80" s="320"/>
      <c r="W80" s="381"/>
      <c r="X80" s="381"/>
      <c r="Y80" s="381"/>
      <c r="Z80" s="381"/>
      <c r="AA80" s="381"/>
      <c r="AB80" s="381"/>
      <c r="AC80" s="381"/>
      <c r="AE80" s="60" t="s">
        <v>85</v>
      </c>
      <c r="AF80" s="342">
        <f t="shared" ref="AF80:AF90" si="17">X66+X86</f>
        <v>0</v>
      </c>
      <c r="AG80" s="342">
        <f t="shared" si="16"/>
        <v>11</v>
      </c>
      <c r="AH80" s="342">
        <f t="shared" si="16"/>
        <v>6</v>
      </c>
      <c r="AI80" s="342">
        <f t="shared" si="16"/>
        <v>0</v>
      </c>
      <c r="AJ80" s="342">
        <f t="shared" si="16"/>
        <v>4</v>
      </c>
      <c r="AK80" s="60">
        <f t="shared" ref="AK80:AK90" si="18">SUM(AF80:AJ80)</f>
        <v>21</v>
      </c>
    </row>
    <row r="81" spans="2:37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Q81" s="320"/>
      <c r="W81" s="381"/>
      <c r="X81" s="381"/>
      <c r="Y81" s="18"/>
      <c r="Z81" s="381"/>
      <c r="AA81" s="381"/>
      <c r="AB81" s="381"/>
      <c r="AC81" s="381"/>
      <c r="AE81" s="60" t="s">
        <v>86</v>
      </c>
      <c r="AF81" s="342">
        <f t="shared" si="17"/>
        <v>1</v>
      </c>
      <c r="AG81" s="342">
        <f t="shared" si="16"/>
        <v>0</v>
      </c>
      <c r="AH81" s="342">
        <f t="shared" si="16"/>
        <v>4</v>
      </c>
      <c r="AI81" s="342">
        <f t="shared" si="16"/>
        <v>0</v>
      </c>
      <c r="AJ81" s="342">
        <f t="shared" si="16"/>
        <v>2</v>
      </c>
      <c r="AK81" s="60">
        <f t="shared" si="18"/>
        <v>7</v>
      </c>
    </row>
    <row r="82" spans="2:37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Q82" s="320"/>
      <c r="AE82" s="60" t="s">
        <v>87</v>
      </c>
      <c r="AF82" s="342">
        <f t="shared" si="17"/>
        <v>1</v>
      </c>
      <c r="AG82" s="342">
        <f t="shared" si="16"/>
        <v>21</v>
      </c>
      <c r="AH82" s="342">
        <f t="shared" si="16"/>
        <v>27</v>
      </c>
      <c r="AI82" s="342">
        <f t="shared" si="16"/>
        <v>15</v>
      </c>
      <c r="AJ82" s="342">
        <f t="shared" si="16"/>
        <v>0</v>
      </c>
      <c r="AK82" s="60">
        <f t="shared" si="18"/>
        <v>64</v>
      </c>
    </row>
    <row r="83" spans="2:37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Q83" s="320"/>
      <c r="W83" s="520" t="s">
        <v>603</v>
      </c>
      <c r="X83" s="521"/>
      <c r="Y83" s="521"/>
      <c r="Z83" s="521"/>
      <c r="AA83" s="521"/>
      <c r="AB83" s="522"/>
      <c r="AC83" s="164"/>
      <c r="AE83" s="60" t="s">
        <v>88</v>
      </c>
      <c r="AF83" s="342">
        <f t="shared" si="17"/>
        <v>1</v>
      </c>
      <c r="AG83" s="342">
        <f t="shared" si="16"/>
        <v>0</v>
      </c>
      <c r="AH83" s="342">
        <f t="shared" si="16"/>
        <v>13</v>
      </c>
      <c r="AI83" s="342">
        <f t="shared" si="16"/>
        <v>1</v>
      </c>
      <c r="AJ83" s="342">
        <f t="shared" si="16"/>
        <v>0</v>
      </c>
      <c r="AK83" s="60">
        <f t="shared" si="18"/>
        <v>15</v>
      </c>
    </row>
    <row r="84" spans="2:37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Q84" s="320"/>
      <c r="W84" s="336" t="s">
        <v>506</v>
      </c>
      <c r="X84" s="338" t="s">
        <v>507</v>
      </c>
      <c r="Y84" s="338" t="s">
        <v>508</v>
      </c>
      <c r="Z84" s="338" t="s">
        <v>509</v>
      </c>
      <c r="AA84" s="338" t="s">
        <v>510</v>
      </c>
      <c r="AB84" s="339" t="s">
        <v>558</v>
      </c>
      <c r="AC84" s="312" t="s">
        <v>417</v>
      </c>
      <c r="AE84" s="60" t="s">
        <v>89</v>
      </c>
      <c r="AF84" s="342">
        <f t="shared" si="17"/>
        <v>0</v>
      </c>
      <c r="AG84" s="342">
        <f t="shared" si="16"/>
        <v>13</v>
      </c>
      <c r="AH84" s="342">
        <f t="shared" si="16"/>
        <v>1</v>
      </c>
      <c r="AI84" s="342">
        <f t="shared" si="16"/>
        <v>1</v>
      </c>
      <c r="AJ84" s="342">
        <f t="shared" si="16"/>
        <v>0</v>
      </c>
      <c r="AK84" s="60">
        <f t="shared" si="18"/>
        <v>15</v>
      </c>
    </row>
    <row r="85" spans="2:37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Q85" s="320"/>
      <c r="W85" s="60" t="s">
        <v>84</v>
      </c>
      <c r="X85" s="342">
        <v>0</v>
      </c>
      <c r="Y85" s="342">
        <f>8</f>
        <v>8</v>
      </c>
      <c r="Z85" s="412">
        <f>2+1</f>
        <v>3</v>
      </c>
      <c r="AA85" s="412">
        <f>2</f>
        <v>2</v>
      </c>
      <c r="AB85" s="342">
        <v>0</v>
      </c>
      <c r="AC85" s="343">
        <f>SUM(X85:AB85)</f>
        <v>13</v>
      </c>
      <c r="AE85" s="60" t="s">
        <v>90</v>
      </c>
      <c r="AF85" s="342">
        <f t="shared" si="17"/>
        <v>1</v>
      </c>
      <c r="AG85" s="342">
        <f t="shared" si="16"/>
        <v>0</v>
      </c>
      <c r="AH85" s="342">
        <f t="shared" si="16"/>
        <v>1</v>
      </c>
      <c r="AI85" s="342">
        <f t="shared" si="16"/>
        <v>2</v>
      </c>
      <c r="AJ85" s="342">
        <f t="shared" si="16"/>
        <v>2</v>
      </c>
      <c r="AK85" s="60">
        <f t="shared" si="18"/>
        <v>6</v>
      </c>
    </row>
    <row r="86" spans="2:37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Q86" s="320"/>
      <c r="W86" s="60" t="s">
        <v>85</v>
      </c>
      <c r="X86" s="342">
        <v>0</v>
      </c>
      <c r="Y86" s="342">
        <f>5+3+3</f>
        <v>11</v>
      </c>
      <c r="Z86" s="342">
        <f>4+2</f>
        <v>6</v>
      </c>
      <c r="AA86" s="342">
        <v>0</v>
      </c>
      <c r="AB86" s="342">
        <f>2+2</f>
        <v>4</v>
      </c>
      <c r="AC86" s="60">
        <f t="shared" ref="AC86:AC96" si="19">SUM(X86:AB86)</f>
        <v>21</v>
      </c>
      <c r="AE86" s="60" t="s">
        <v>91</v>
      </c>
      <c r="AF86" s="342">
        <f t="shared" si="17"/>
        <v>0</v>
      </c>
      <c r="AG86" s="342">
        <f t="shared" si="16"/>
        <v>17</v>
      </c>
      <c r="AH86" s="342">
        <f t="shared" si="16"/>
        <v>3</v>
      </c>
      <c r="AI86" s="342">
        <f t="shared" si="16"/>
        <v>2</v>
      </c>
      <c r="AJ86" s="342">
        <f t="shared" si="16"/>
        <v>0</v>
      </c>
      <c r="AK86" s="60">
        <f t="shared" si="18"/>
        <v>22</v>
      </c>
    </row>
    <row r="87" spans="2:37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Q87" s="320"/>
      <c r="W87" s="60" t="s">
        <v>86</v>
      </c>
      <c r="X87" s="342">
        <v>0</v>
      </c>
      <c r="Y87" s="342">
        <v>0</v>
      </c>
      <c r="Z87" s="340">
        <f>3+1</f>
        <v>4</v>
      </c>
      <c r="AA87" s="342">
        <v>0</v>
      </c>
      <c r="AB87" s="342">
        <f>2</f>
        <v>2</v>
      </c>
      <c r="AC87" s="60">
        <f t="shared" si="19"/>
        <v>6</v>
      </c>
      <c r="AE87" s="60" t="s">
        <v>92</v>
      </c>
      <c r="AF87" s="342">
        <f t="shared" si="17"/>
        <v>0</v>
      </c>
      <c r="AG87" s="342">
        <f t="shared" si="16"/>
        <v>6</v>
      </c>
      <c r="AH87" s="342">
        <f t="shared" si="16"/>
        <v>13</v>
      </c>
      <c r="AI87" s="342">
        <f t="shared" si="16"/>
        <v>0</v>
      </c>
      <c r="AJ87" s="342">
        <f t="shared" si="16"/>
        <v>0</v>
      </c>
      <c r="AK87" s="60">
        <f t="shared" si="18"/>
        <v>19</v>
      </c>
    </row>
    <row r="88" spans="2:37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Q88" s="320"/>
      <c r="W88" s="60" t="s">
        <v>87</v>
      </c>
      <c r="X88" s="342">
        <v>0</v>
      </c>
      <c r="Y88" s="413">
        <f>8+6+6</f>
        <v>20</v>
      </c>
      <c r="Z88" s="342">
        <f>4+3+6+11+3</f>
        <v>27</v>
      </c>
      <c r="AA88" s="342">
        <f>2+6+7</f>
        <v>15</v>
      </c>
      <c r="AB88" s="342">
        <v>0</v>
      </c>
      <c r="AC88" s="60">
        <f t="shared" si="19"/>
        <v>62</v>
      </c>
      <c r="AE88" s="60" t="s">
        <v>93</v>
      </c>
      <c r="AF88" s="342">
        <f t="shared" si="17"/>
        <v>1</v>
      </c>
      <c r="AG88" s="342">
        <f t="shared" si="16"/>
        <v>1</v>
      </c>
      <c r="AH88" s="342">
        <f t="shared" si="16"/>
        <v>3</v>
      </c>
      <c r="AI88" s="342">
        <f t="shared" si="16"/>
        <v>6</v>
      </c>
      <c r="AJ88" s="342">
        <f t="shared" si="16"/>
        <v>0</v>
      </c>
      <c r="AK88" s="60">
        <f t="shared" si="18"/>
        <v>11</v>
      </c>
    </row>
    <row r="89" spans="2:37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Q89" s="320"/>
      <c r="W89" s="60" t="s">
        <v>88</v>
      </c>
      <c r="X89" s="342">
        <v>0</v>
      </c>
      <c r="Y89" s="342">
        <v>0</v>
      </c>
      <c r="Z89" s="342">
        <f>2+2+1+6+1+1</f>
        <v>13</v>
      </c>
      <c r="AA89" s="342">
        <f>1</f>
        <v>1</v>
      </c>
      <c r="AB89" s="342">
        <v>0</v>
      </c>
      <c r="AC89" s="60">
        <f t="shared" si="19"/>
        <v>14</v>
      </c>
      <c r="AE89" s="60" t="s">
        <v>94</v>
      </c>
      <c r="AF89" s="342">
        <f t="shared" si="17"/>
        <v>1</v>
      </c>
      <c r="AG89" s="342">
        <f t="shared" si="16"/>
        <v>3</v>
      </c>
      <c r="AH89" s="342">
        <f t="shared" si="16"/>
        <v>3</v>
      </c>
      <c r="AI89" s="342">
        <f t="shared" si="16"/>
        <v>7</v>
      </c>
      <c r="AJ89" s="342">
        <f t="shared" si="16"/>
        <v>0</v>
      </c>
      <c r="AK89" s="60">
        <f t="shared" si="18"/>
        <v>14</v>
      </c>
    </row>
    <row r="90" spans="2:37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Q90" s="320"/>
      <c r="W90" s="60" t="s">
        <v>89</v>
      </c>
      <c r="X90" s="342">
        <v>0</v>
      </c>
      <c r="Y90" s="342">
        <f>5+6+2</f>
        <v>13</v>
      </c>
      <c r="Z90" s="342">
        <f>1</f>
        <v>1</v>
      </c>
      <c r="AA90" s="342">
        <f>1</f>
        <v>1</v>
      </c>
      <c r="AB90" s="342">
        <v>0</v>
      </c>
      <c r="AC90" s="60">
        <f t="shared" si="19"/>
        <v>15</v>
      </c>
      <c r="AE90" s="347" t="s">
        <v>505</v>
      </c>
      <c r="AF90" s="342">
        <f t="shared" si="17"/>
        <v>0</v>
      </c>
      <c r="AG90" s="342">
        <f t="shared" si="16"/>
        <v>1</v>
      </c>
      <c r="AH90" s="342">
        <f t="shared" si="16"/>
        <v>3</v>
      </c>
      <c r="AI90" s="342">
        <f t="shared" si="16"/>
        <v>0</v>
      </c>
      <c r="AJ90" s="342">
        <f t="shared" si="16"/>
        <v>0</v>
      </c>
      <c r="AK90" s="347">
        <f t="shared" si="18"/>
        <v>4</v>
      </c>
    </row>
    <row r="91" spans="2:37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Q91" s="320"/>
      <c r="W91" s="60" t="s">
        <v>90</v>
      </c>
      <c r="X91" s="342">
        <v>0</v>
      </c>
      <c r="Y91" s="340">
        <v>0</v>
      </c>
      <c r="Z91" s="340">
        <f>1</f>
        <v>1</v>
      </c>
      <c r="AA91" s="342">
        <f>2</f>
        <v>2</v>
      </c>
      <c r="AB91" s="342">
        <f>2</f>
        <v>2</v>
      </c>
      <c r="AC91" s="60">
        <f t="shared" si="19"/>
        <v>5</v>
      </c>
      <c r="AE91" s="312" t="s">
        <v>515</v>
      </c>
      <c r="AF91" s="349">
        <f t="shared" ref="AF91:AK91" si="20">SUM(AF79:AF90)</f>
        <v>6</v>
      </c>
      <c r="AG91" s="349">
        <f t="shared" si="20"/>
        <v>81</v>
      </c>
      <c r="AH91" s="349">
        <f t="shared" si="20"/>
        <v>80</v>
      </c>
      <c r="AI91" s="349">
        <f t="shared" si="20"/>
        <v>36</v>
      </c>
      <c r="AJ91" s="349">
        <f t="shared" si="20"/>
        <v>8</v>
      </c>
      <c r="AK91" s="350">
        <f t="shared" si="20"/>
        <v>211</v>
      </c>
    </row>
    <row r="92" spans="2:37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Q92" s="320"/>
      <c r="W92" s="60" t="s">
        <v>91</v>
      </c>
      <c r="X92" s="342">
        <v>0</v>
      </c>
      <c r="Y92" s="340">
        <f>3+6+2+3+2+1</f>
        <v>17</v>
      </c>
      <c r="Z92" s="342">
        <f>1+2</f>
        <v>3</v>
      </c>
      <c r="AA92" s="342">
        <f>2</f>
        <v>2</v>
      </c>
      <c r="AB92" s="342">
        <v>0</v>
      </c>
      <c r="AC92" s="60">
        <f t="shared" si="19"/>
        <v>22</v>
      </c>
      <c r="AE92" s="312" t="s">
        <v>514</v>
      </c>
      <c r="AF92" s="351">
        <f>PRODUCT(AF91*AG70)</f>
        <v>90</v>
      </c>
      <c r="AG92" s="414">
        <f>PRODUCT(AG91*AG71)</f>
        <v>1325.8809000000001</v>
      </c>
      <c r="AH92" s="414">
        <f>PRODUCT(AH91*AG72)</f>
        <v>1339.7360000000001</v>
      </c>
      <c r="AI92" s="414">
        <f>PRODUCT(AI91*AG73)</f>
        <v>607.91759999999999</v>
      </c>
      <c r="AJ92" s="414">
        <f>PRODUCT(AJ91*AG74)</f>
        <v>136</v>
      </c>
      <c r="AK92" s="415">
        <f>SUM(AF92:AJ92)</f>
        <v>3499.5344999999998</v>
      </c>
    </row>
    <row r="93" spans="2:37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Q93" s="320"/>
      <c r="W93" s="60" t="s">
        <v>92</v>
      </c>
      <c r="X93" s="342">
        <v>0</v>
      </c>
      <c r="Y93" s="340">
        <f>3+3</f>
        <v>6</v>
      </c>
      <c r="Z93" s="342">
        <f>11+2</f>
        <v>13</v>
      </c>
      <c r="AA93" s="342">
        <v>0</v>
      </c>
      <c r="AB93" s="342">
        <v>0</v>
      </c>
      <c r="AC93" s="60">
        <f t="shared" si="19"/>
        <v>19</v>
      </c>
      <c r="AE93" s="312" t="s">
        <v>559</v>
      </c>
      <c r="AF93" s="351">
        <f>AF91*AF70</f>
        <v>600</v>
      </c>
      <c r="AG93" s="351">
        <f>AG91*AF71</f>
        <v>12150</v>
      </c>
      <c r="AH93" s="351">
        <f>AH91*AF72</f>
        <v>16000</v>
      </c>
      <c r="AI93" s="351">
        <f>AI91*AF73</f>
        <v>9000</v>
      </c>
      <c r="AJ93" s="351">
        <f>AJ91*AF74</f>
        <v>2400</v>
      </c>
      <c r="AK93" s="312">
        <f>SUM(AF93:AJ93)</f>
        <v>40150</v>
      </c>
    </row>
    <row r="94" spans="2:37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Q94" s="320"/>
      <c r="W94" s="60" t="s">
        <v>93</v>
      </c>
      <c r="X94" s="342">
        <v>0</v>
      </c>
      <c r="Y94" s="340">
        <v>0</v>
      </c>
      <c r="Z94" s="342">
        <f>2+1</f>
        <v>3</v>
      </c>
      <c r="AA94" s="342">
        <f>6</f>
        <v>6</v>
      </c>
      <c r="AB94" s="342">
        <v>0</v>
      </c>
      <c r="AC94" s="60">
        <f t="shared" si="19"/>
        <v>9</v>
      </c>
    </row>
    <row r="95" spans="2:37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Q95" s="320"/>
      <c r="W95" s="60" t="s">
        <v>94</v>
      </c>
      <c r="X95" s="342">
        <v>0</v>
      </c>
      <c r="Y95" s="413">
        <f>2</f>
        <v>2</v>
      </c>
      <c r="Z95" s="342">
        <f>2+1</f>
        <v>3</v>
      </c>
      <c r="AA95" s="342">
        <f>7</f>
        <v>7</v>
      </c>
      <c r="AB95" s="342">
        <v>0</v>
      </c>
      <c r="AC95" s="60">
        <f t="shared" si="19"/>
        <v>12</v>
      </c>
    </row>
    <row r="96" spans="2:37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Q96" s="320"/>
      <c r="W96" s="347" t="s">
        <v>505</v>
      </c>
      <c r="X96" s="342">
        <v>0</v>
      </c>
      <c r="Y96" s="348">
        <f>1</f>
        <v>1</v>
      </c>
      <c r="Z96" s="348">
        <f>3</f>
        <v>3</v>
      </c>
      <c r="AA96" s="348">
        <v>0</v>
      </c>
      <c r="AB96" s="342">
        <v>0</v>
      </c>
      <c r="AC96" s="347">
        <f t="shared" si="19"/>
        <v>4</v>
      </c>
    </row>
    <row r="97" spans="2:29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Q97" s="320"/>
      <c r="W97" s="312" t="s">
        <v>515</v>
      </c>
      <c r="X97" s="349">
        <f t="shared" ref="X97:AC97" si="21">SUM(X85:X96)</f>
        <v>0</v>
      </c>
      <c r="Y97" s="349">
        <f t="shared" si="21"/>
        <v>78</v>
      </c>
      <c r="Z97" s="349">
        <f t="shared" si="21"/>
        <v>80</v>
      </c>
      <c r="AA97" s="349">
        <f t="shared" si="21"/>
        <v>36</v>
      </c>
      <c r="AB97" s="349">
        <f t="shared" si="21"/>
        <v>8</v>
      </c>
      <c r="AC97" s="350">
        <f t="shared" si="21"/>
        <v>202</v>
      </c>
    </row>
    <row r="98" spans="2:29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Q98" s="320"/>
      <c r="W98" s="312" t="s">
        <v>514</v>
      </c>
      <c r="X98" s="414">
        <f>PRODUCT(X97*AG70)</f>
        <v>0</v>
      </c>
      <c r="Y98" s="414">
        <f>PRODUCT(Y97*AG71)</f>
        <v>1276.7742000000001</v>
      </c>
      <c r="Z98" s="414">
        <f>PRODUCT(Z97*AG72)</f>
        <v>1339.7360000000001</v>
      </c>
      <c r="AA98" s="414">
        <f>PRODUCT(AA97*AG73)</f>
        <v>607.91759999999999</v>
      </c>
      <c r="AB98" s="414">
        <f>PRODUCT(AB97*AG74)</f>
        <v>136</v>
      </c>
      <c r="AC98" s="415">
        <f>SUM(X98:AB98)</f>
        <v>3360.4278000000004</v>
      </c>
    </row>
    <row r="99" spans="2:29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Q99" s="320"/>
      <c r="W99" s="312" t="s">
        <v>559</v>
      </c>
      <c r="X99" s="351">
        <f>X97*AF70</f>
        <v>0</v>
      </c>
      <c r="Y99" s="351">
        <f>Y97*AF71</f>
        <v>11700</v>
      </c>
      <c r="Z99" s="351">
        <f>Z97*AF72</f>
        <v>16000</v>
      </c>
      <c r="AA99" s="351">
        <f>AA97*AF73</f>
        <v>9000</v>
      </c>
      <c r="AB99" s="351">
        <f>AB97*AF74</f>
        <v>2400</v>
      </c>
      <c r="AC99" s="312">
        <f>SUM(X99:AB99)</f>
        <v>39100</v>
      </c>
    </row>
    <row r="100" spans="2:29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Q100" s="320"/>
    </row>
    <row r="101" spans="2:29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Q101" s="320"/>
    </row>
    <row r="102" spans="2:29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Q102" s="320"/>
    </row>
    <row r="103" spans="2:29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Q103" s="320"/>
    </row>
    <row r="104" spans="2:29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Q104" s="320"/>
    </row>
    <row r="105" spans="2:29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Q105" s="320"/>
    </row>
    <row r="106" spans="2:29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Q106" s="320"/>
    </row>
    <row r="107" spans="2:29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Q107" s="320"/>
    </row>
    <row r="108" spans="2:29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Q108" s="320"/>
    </row>
    <row r="109" spans="2:29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Q109" s="320"/>
    </row>
    <row r="110" spans="2:29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Q110" s="320"/>
    </row>
    <row r="111" spans="2:29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Q111" s="320"/>
    </row>
    <row r="112" spans="2:29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Q112" s="320"/>
    </row>
    <row r="113" spans="1:17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Q113" s="320"/>
    </row>
    <row r="114" spans="1:17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Q114" s="320"/>
    </row>
    <row r="115" spans="1:17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Q115" s="320"/>
    </row>
    <row r="116" spans="1:17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Q116" s="320"/>
    </row>
    <row r="117" spans="1:17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Q117" s="320"/>
    </row>
    <row r="118" spans="1:17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Q118" s="320"/>
    </row>
    <row r="119" spans="1:17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Q119" s="320"/>
    </row>
    <row r="120" spans="1:17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Q120" s="320"/>
    </row>
    <row r="121" spans="1:17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Q121" s="320"/>
    </row>
    <row r="122" spans="1:17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Q122" s="320"/>
    </row>
    <row r="123" spans="1:17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Q123" s="320"/>
    </row>
    <row r="124" spans="1:17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Q124" s="320"/>
    </row>
    <row r="125" spans="1:17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Q125" s="320"/>
    </row>
    <row r="126" spans="1:17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Q126" s="320"/>
    </row>
    <row r="127" spans="1:17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Q127" s="320"/>
    </row>
    <row r="128" spans="1:17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Q128" s="320"/>
    </row>
    <row r="129" spans="1:17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Q129" s="320"/>
    </row>
    <row r="130" spans="1:17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Q130" s="320"/>
    </row>
    <row r="131" spans="1:17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Q131" s="320"/>
    </row>
    <row r="132" spans="1:17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Q132" s="320"/>
    </row>
    <row r="133" spans="1:17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Q133" s="320"/>
    </row>
    <row r="134" spans="1:17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Q134" s="320"/>
    </row>
    <row r="135" spans="1:17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Q135" s="320"/>
    </row>
    <row r="136" spans="1:17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Q136" s="320"/>
    </row>
    <row r="137" spans="1:17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Q137" s="320"/>
    </row>
    <row r="138" spans="1:17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Q138" s="320"/>
    </row>
    <row r="139" spans="1:17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Q139" s="320"/>
    </row>
    <row r="140" spans="1:17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Q140" s="320"/>
    </row>
    <row r="141" spans="1:17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Q141" s="320"/>
    </row>
    <row r="142" spans="1:17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Q142" s="320"/>
    </row>
    <row r="143" spans="1:17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Q143" s="320"/>
    </row>
    <row r="144" spans="1:17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Q144" s="320"/>
    </row>
    <row r="145" spans="1:17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Q145" s="320"/>
    </row>
    <row r="146" spans="1:17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Q146" s="320"/>
    </row>
    <row r="147" spans="1:17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Q147" s="320"/>
    </row>
    <row r="148" spans="1:17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Q148" s="320"/>
    </row>
    <row r="149" spans="1:17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Q149" s="320"/>
    </row>
    <row r="150" spans="1:17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Q150" s="320"/>
    </row>
    <row r="151" spans="1:17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Q151" s="320"/>
    </row>
    <row r="152" spans="1:17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Q152" s="320"/>
    </row>
    <row r="153" spans="1:17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Q153" s="320"/>
    </row>
    <row r="154" spans="1:17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Q154" s="320"/>
    </row>
    <row r="155" spans="1:17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Q155" s="320"/>
    </row>
    <row r="156" spans="1:17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Q156" s="320"/>
    </row>
    <row r="157" spans="1:17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Q157" s="320"/>
    </row>
    <row r="158" spans="1:17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Q158" s="320"/>
    </row>
    <row r="159" spans="1:17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Q159" s="320"/>
    </row>
    <row r="160" spans="1:17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Q160" s="320"/>
    </row>
    <row r="161" spans="1:17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Q161" s="320"/>
    </row>
    <row r="162" spans="1:17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Q162" s="320"/>
    </row>
    <row r="163" spans="1:17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Q163" s="320"/>
    </row>
    <row r="164" spans="1:17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Q164" s="320"/>
    </row>
    <row r="165" spans="1:17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Q165" s="320"/>
    </row>
    <row r="166" spans="1:17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Q166" s="320"/>
    </row>
    <row r="167" spans="1:17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Q167" s="320"/>
    </row>
    <row r="168" spans="1:17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Q168" s="320"/>
    </row>
    <row r="169" spans="1:17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Q169" s="320"/>
    </row>
    <row r="170" spans="1:17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Q170" s="320"/>
    </row>
    <row r="171" spans="1:17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Q171" s="320"/>
    </row>
    <row r="172" spans="1:17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Q172" s="320"/>
    </row>
    <row r="173" spans="1:17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Q173" s="320"/>
    </row>
    <row r="174" spans="1:17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Q174" s="320"/>
    </row>
    <row r="175" spans="1:17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Q175" s="320"/>
    </row>
    <row r="176" spans="1:17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Q176" s="320"/>
    </row>
    <row r="177" spans="1:17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Q177" s="320"/>
    </row>
    <row r="178" spans="1:17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Q178" s="320"/>
    </row>
    <row r="179" spans="1:17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Q179" s="320"/>
    </row>
  </sheetData>
  <dataConsolidate/>
  <mergeCells count="38">
    <mergeCell ref="W1:Y1"/>
    <mergeCell ref="P3:Q3"/>
    <mergeCell ref="A4:A5"/>
    <mergeCell ref="P4:Q4"/>
    <mergeCell ref="C1:I1"/>
    <mergeCell ref="J1:N1"/>
    <mergeCell ref="O1:Q1"/>
    <mergeCell ref="A15:A20"/>
    <mergeCell ref="P15:Q20"/>
    <mergeCell ref="A21:A24"/>
    <mergeCell ref="P21:Q24"/>
    <mergeCell ref="A6:A8"/>
    <mergeCell ref="P6:Q8"/>
    <mergeCell ref="A9:A13"/>
    <mergeCell ref="P9:Q13"/>
    <mergeCell ref="P25:Q25"/>
    <mergeCell ref="W25:Y25"/>
    <mergeCell ref="A26:A27"/>
    <mergeCell ref="A28:A32"/>
    <mergeCell ref="A33:A35"/>
    <mergeCell ref="AG42:AI42"/>
    <mergeCell ref="A45:A48"/>
    <mergeCell ref="Z37:AA37"/>
    <mergeCell ref="A39:A40"/>
    <mergeCell ref="A41:A43"/>
    <mergeCell ref="AC42:AE42"/>
    <mergeCell ref="A36:A37"/>
    <mergeCell ref="W36:Y36"/>
    <mergeCell ref="AE77:AJ77"/>
    <mergeCell ref="W83:AB83"/>
    <mergeCell ref="AO44:AT44"/>
    <mergeCell ref="AE44:AJ44"/>
    <mergeCell ref="A49:A50"/>
    <mergeCell ref="W50:Y50"/>
    <mergeCell ref="A51:A52"/>
    <mergeCell ref="A53:A54"/>
    <mergeCell ref="A55:A56"/>
    <mergeCell ref="W63:AB63"/>
  </mergeCells>
  <conditionalFormatting sqref="L3:L56">
    <cfRule type="expression" dxfId="109" priority="10">
      <formula>(L3&lt;E3)</formula>
    </cfRule>
  </conditionalFormatting>
  <conditionalFormatting sqref="L3">
    <cfRule type="cellIs" dxfId="108" priority="9" operator="lessThan">
      <formula>$E$3</formula>
    </cfRule>
  </conditionalFormatting>
  <conditionalFormatting sqref="N3:N56">
    <cfRule type="cellIs" dxfId="107" priority="8" operator="lessThan">
      <formula>0</formula>
    </cfRule>
  </conditionalFormatting>
  <conditionalFormatting sqref="AP46:AU57">
    <cfRule type="cellIs" dxfId="106" priority="6" operator="greaterThan">
      <formula>0</formula>
    </cfRule>
  </conditionalFormatting>
  <conditionalFormatting sqref="X65:AC76">
    <cfRule type="cellIs" dxfId="105" priority="7" operator="greaterThan">
      <formula>0</formula>
    </cfRule>
  </conditionalFormatting>
  <conditionalFormatting sqref="AF46:AK57">
    <cfRule type="cellIs" dxfId="104" priority="5" operator="greaterThan">
      <formula>0</formula>
    </cfRule>
  </conditionalFormatting>
  <conditionalFormatting sqref="AF79:AK90">
    <cfRule type="cellIs" dxfId="103" priority="4" operator="greaterThan">
      <formula>0</formula>
    </cfRule>
  </conditionalFormatting>
  <conditionalFormatting sqref="AC85:AC96">
    <cfRule type="cellIs" dxfId="102" priority="3" operator="greaterThan">
      <formula>0</formula>
    </cfRule>
  </conditionalFormatting>
  <conditionalFormatting sqref="Y85:AB96">
    <cfRule type="cellIs" dxfId="101" priority="2" operator="greaterThan">
      <formula>0</formula>
    </cfRule>
  </conditionalFormatting>
  <conditionalFormatting sqref="X85:X96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9"/>
  <sheetViews>
    <sheetView topLeftCell="P68" zoomScale="80" zoomScaleNormal="80" workbookViewId="0">
      <selection activeCell="S127" sqref="S127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3" width="26.140625" style="59" customWidth="1"/>
    <col min="14" max="14" width="23.28515625" style="59" customWidth="1"/>
    <col min="15" max="15" width="26.42578125" style="59" customWidth="1"/>
    <col min="16" max="16" width="48.42578125" style="59" customWidth="1"/>
    <col min="17" max="17" width="23" style="309" customWidth="1"/>
    <col min="18" max="18" width="22.85546875" style="381" customWidth="1"/>
    <col min="19" max="19" width="23.7109375" style="381" customWidth="1"/>
    <col min="20" max="20" width="21.5703125" style="381" customWidth="1"/>
    <col min="21" max="21" width="15.42578125" style="381" customWidth="1"/>
    <col min="22" max="24" width="9" style="5"/>
    <col min="25" max="25" width="19.5703125" style="5" customWidth="1"/>
    <col min="26" max="26" width="18.42578125" style="5" customWidth="1"/>
    <col min="27" max="27" width="21.5703125" style="5" customWidth="1"/>
    <col min="28" max="28" width="19.7109375" style="5" customWidth="1"/>
    <col min="29" max="29" width="10.42578125" style="5" customWidth="1"/>
    <col min="30" max="30" width="12" style="5" customWidth="1"/>
    <col min="31" max="16384" width="9" style="5"/>
  </cols>
  <sheetData>
    <row r="1" spans="1:20" ht="14.25" customHeight="1">
      <c r="A1" s="380"/>
      <c r="B1" s="198"/>
      <c r="C1" s="514" t="s">
        <v>452</v>
      </c>
      <c r="D1" s="515"/>
      <c r="E1" s="515"/>
      <c r="F1" s="515"/>
      <c r="G1" s="515"/>
      <c r="H1" s="515"/>
      <c r="I1" s="516"/>
      <c r="J1" s="512" t="s">
        <v>451</v>
      </c>
      <c r="K1" s="513"/>
      <c r="L1" s="513"/>
      <c r="M1" s="513"/>
      <c r="N1" s="513"/>
      <c r="O1" s="508" t="s">
        <v>517</v>
      </c>
      <c r="P1" s="509"/>
      <c r="R1" s="510"/>
      <c r="S1" s="510"/>
      <c r="T1" s="510"/>
    </row>
    <row r="2" spans="1:20" ht="13.5" thickBot="1">
      <c r="A2" s="380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192" t="s">
        <v>446</v>
      </c>
      <c r="K2" s="192" t="s">
        <v>34</v>
      </c>
      <c r="L2" s="192" t="s">
        <v>33</v>
      </c>
      <c r="M2" s="191" t="s">
        <v>502</v>
      </c>
      <c r="N2" s="190" t="s">
        <v>444</v>
      </c>
      <c r="O2" s="189" t="s">
        <v>443</v>
      </c>
      <c r="P2" s="188" t="s">
        <v>442</v>
      </c>
    </row>
    <row r="3" spans="1:20" ht="15" customHeight="1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1" t="s">
        <v>435</v>
      </c>
      <c r="K3" s="181">
        <v>598.85</v>
      </c>
      <c r="L3" s="297">
        <v>300</v>
      </c>
      <c r="M3" s="180">
        <f>H3</f>
        <v>197.93100000000001</v>
      </c>
      <c r="N3" s="179">
        <f>L3-H3</f>
        <v>102.06899999999999</v>
      </c>
      <c r="O3" s="504" t="s">
        <v>351</v>
      </c>
      <c r="P3" s="505"/>
      <c r="R3" s="378"/>
      <c r="S3" s="378"/>
      <c r="T3" s="378"/>
    </row>
    <row r="4" spans="1:20" ht="15" customHeight="1" thickBot="1">
      <c r="A4" s="506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83">
        <v>1.5</v>
      </c>
      <c r="H4" s="183">
        <f t="shared" ref="H4:H56" si="1">G4*F4</f>
        <v>119.63775</v>
      </c>
      <c r="I4" s="175">
        <f t="shared" si="0"/>
        <v>120.2415</v>
      </c>
      <c r="J4" s="174" t="s">
        <v>434</v>
      </c>
      <c r="K4" s="174">
        <v>561.44000000000005</v>
      </c>
      <c r="L4" s="296">
        <v>150</v>
      </c>
      <c r="M4" s="180">
        <f t="shared" ref="M4:M13" si="2">H4</f>
        <v>119.63775</v>
      </c>
      <c r="N4" s="179">
        <f t="shared" ref="N4:N13" si="3">L4-H4</f>
        <v>30.362250000000003</v>
      </c>
      <c r="O4" s="500" t="s">
        <v>351</v>
      </c>
      <c r="P4" s="501"/>
    </row>
    <row r="5" spans="1:20" ht="14.25" customHeight="1" thickBot="1">
      <c r="A5" s="511"/>
      <c r="B5" s="171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183">
        <v>1.5</v>
      </c>
      <c r="H5" s="183">
        <f t="shared" si="1"/>
        <v>152.28555</v>
      </c>
      <c r="I5" s="95">
        <f t="shared" si="0"/>
        <v>198.47629999999998</v>
      </c>
      <c r="J5" s="94" t="s">
        <v>429</v>
      </c>
      <c r="K5" s="94">
        <v>691.82</v>
      </c>
      <c r="L5" s="94">
        <v>300</v>
      </c>
      <c r="M5" s="180">
        <f t="shared" si="2"/>
        <v>152.28555</v>
      </c>
      <c r="N5" s="179">
        <f t="shared" si="3"/>
        <v>147.71445</v>
      </c>
      <c r="O5" s="504"/>
      <c r="P5" s="505"/>
    </row>
    <row r="6" spans="1:20" ht="14.25" customHeight="1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183">
        <v>1.5</v>
      </c>
      <c r="H6" s="183">
        <f t="shared" si="1"/>
        <v>890.08500000000004</v>
      </c>
      <c r="I6" s="85">
        <f t="shared" si="0"/>
        <v>606.61</v>
      </c>
      <c r="J6" s="84" t="s">
        <v>431</v>
      </c>
      <c r="K6" s="84">
        <v>778.62</v>
      </c>
      <c r="L6" s="84">
        <v>1200</v>
      </c>
      <c r="M6" s="180">
        <f t="shared" si="2"/>
        <v>890.08500000000004</v>
      </c>
      <c r="N6" s="179">
        <f t="shared" si="3"/>
        <v>309.91499999999996</v>
      </c>
      <c r="O6" s="500" t="s">
        <v>351</v>
      </c>
      <c r="P6" s="501"/>
    </row>
    <row r="7" spans="1:20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83">
        <v>1.5</v>
      </c>
      <c r="H7" s="183">
        <f t="shared" si="1"/>
        <v>248.31</v>
      </c>
      <c r="I7" s="109">
        <f t="shared" si="0"/>
        <v>334.46000000000004</v>
      </c>
      <c r="J7" s="108" t="s">
        <v>430</v>
      </c>
      <c r="K7" s="108">
        <v>904.18</v>
      </c>
      <c r="L7" s="298">
        <v>300</v>
      </c>
      <c r="M7" s="180">
        <f t="shared" si="2"/>
        <v>248.31</v>
      </c>
      <c r="N7" s="179">
        <f t="shared" si="3"/>
        <v>51.69</v>
      </c>
      <c r="O7" s="502"/>
      <c r="P7" s="503"/>
    </row>
    <row r="8" spans="1:20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183">
        <v>1.5</v>
      </c>
      <c r="H8" s="183">
        <f t="shared" si="1"/>
        <v>152.28555</v>
      </c>
      <c r="I8" s="95">
        <f t="shared" si="0"/>
        <v>198.47629999999998</v>
      </c>
      <c r="J8" s="94" t="s">
        <v>429</v>
      </c>
      <c r="K8" s="94">
        <v>691.82</v>
      </c>
      <c r="L8" s="94">
        <v>300</v>
      </c>
      <c r="M8" s="180">
        <f t="shared" si="2"/>
        <v>152.28555</v>
      </c>
      <c r="N8" s="179">
        <f t="shared" si="3"/>
        <v>147.71445</v>
      </c>
      <c r="O8" s="504"/>
      <c r="P8" s="505"/>
    </row>
    <row r="9" spans="1:20" ht="14.25" customHeight="1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183">
        <v>1.5</v>
      </c>
      <c r="H9" s="183">
        <f t="shared" si="1"/>
        <v>495.05579999999998</v>
      </c>
      <c r="I9" s="85">
        <f t="shared" si="0"/>
        <v>269.96280000000002</v>
      </c>
      <c r="J9" s="84" t="s">
        <v>428</v>
      </c>
      <c r="K9" s="84">
        <v>243.73500000000001</v>
      </c>
      <c r="L9" s="299">
        <v>500</v>
      </c>
      <c r="M9" s="180">
        <f t="shared" si="2"/>
        <v>495.05579999999998</v>
      </c>
      <c r="N9" s="179">
        <f t="shared" si="3"/>
        <v>4.9442000000000235</v>
      </c>
      <c r="O9" s="81"/>
      <c r="P9" s="385"/>
    </row>
    <row r="10" spans="1:20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83">
        <v>1.5</v>
      </c>
      <c r="H10" s="183">
        <f t="shared" si="1"/>
        <v>300.16500000000002</v>
      </c>
      <c r="I10" s="109">
        <f t="shared" si="0"/>
        <v>199.89</v>
      </c>
      <c r="J10" s="108" t="s">
        <v>427</v>
      </c>
      <c r="K10" s="108">
        <v>614.06500000000005</v>
      </c>
      <c r="L10" s="298">
        <v>300</v>
      </c>
      <c r="M10" s="180">
        <f t="shared" si="2"/>
        <v>300.16500000000002</v>
      </c>
      <c r="N10" s="179">
        <f t="shared" si="3"/>
        <v>-0.16500000000002046</v>
      </c>
      <c r="O10" s="148"/>
      <c r="P10" s="386" t="s">
        <v>501</v>
      </c>
    </row>
    <row r="11" spans="1:20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83">
        <v>1.5</v>
      </c>
      <c r="H11" s="183">
        <f t="shared" si="1"/>
        <v>624.22170000000006</v>
      </c>
      <c r="I11" s="109">
        <f t="shared" si="0"/>
        <v>333.85219999999998</v>
      </c>
      <c r="J11" s="108" t="s">
        <v>426</v>
      </c>
      <c r="K11" s="108">
        <v>692.19500000000005</v>
      </c>
      <c r="L11" s="108">
        <v>750</v>
      </c>
      <c r="M11" s="180">
        <f t="shared" si="2"/>
        <v>624.22170000000006</v>
      </c>
      <c r="N11" s="179">
        <f t="shared" si="3"/>
        <v>125.77829999999994</v>
      </c>
      <c r="O11" s="148"/>
      <c r="P11" s="386"/>
    </row>
    <row r="12" spans="1:20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83">
        <v>1.5</v>
      </c>
      <c r="H12" s="183">
        <f t="shared" si="1"/>
        <v>481.16999999999996</v>
      </c>
      <c r="I12" s="109">
        <f t="shared" si="0"/>
        <v>279.22000000000003</v>
      </c>
      <c r="J12" s="108" t="s">
        <v>420</v>
      </c>
      <c r="K12" s="108">
        <v>440.09</v>
      </c>
      <c r="L12" s="108">
        <v>600</v>
      </c>
      <c r="M12" s="180">
        <f t="shared" si="2"/>
        <v>481.16999999999996</v>
      </c>
      <c r="N12" s="179">
        <f t="shared" si="3"/>
        <v>118.83000000000004</v>
      </c>
      <c r="O12" s="148"/>
      <c r="P12" s="386"/>
    </row>
    <row r="13" spans="1:20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183">
        <v>1.5</v>
      </c>
      <c r="H13" s="183">
        <f t="shared" si="1"/>
        <v>33.525000000000006</v>
      </c>
      <c r="I13" s="95">
        <f t="shared" si="0"/>
        <v>177.65</v>
      </c>
      <c r="J13" s="94" t="s">
        <v>418</v>
      </c>
      <c r="K13" s="94">
        <v>541.49</v>
      </c>
      <c r="L13" s="291">
        <v>150</v>
      </c>
      <c r="M13" s="180">
        <f t="shared" si="2"/>
        <v>33.525000000000006</v>
      </c>
      <c r="N13" s="179">
        <f t="shared" si="3"/>
        <v>116.47499999999999</v>
      </c>
      <c r="O13" s="69"/>
      <c r="P13" s="387"/>
    </row>
    <row r="14" spans="1:20" ht="13.5" thickBot="1">
      <c r="A14" s="376" t="s">
        <v>426</v>
      </c>
      <c r="B14" s="88" t="s">
        <v>351</v>
      </c>
      <c r="C14" s="161"/>
      <c r="D14" s="86"/>
      <c r="E14" s="86"/>
      <c r="F14" s="86"/>
      <c r="G14" s="183">
        <v>1.5</v>
      </c>
      <c r="H14" s="183">
        <f t="shared" si="1"/>
        <v>0</v>
      </c>
      <c r="I14" s="85"/>
      <c r="J14" s="84"/>
      <c r="K14" s="84"/>
      <c r="L14" s="84"/>
      <c r="M14" s="83"/>
      <c r="N14" s="101"/>
      <c r="O14" s="160"/>
      <c r="P14" s="373"/>
    </row>
    <row r="15" spans="1:20" ht="14.25" customHeight="1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183">
        <v>1.5</v>
      </c>
      <c r="H15" s="183">
        <f t="shared" si="1"/>
        <v>621.76125000000002</v>
      </c>
      <c r="I15" s="85">
        <f t="shared" ref="I15:I24" si="4">E15-F15</f>
        <v>385.49250000000001</v>
      </c>
      <c r="J15" s="84" t="s">
        <v>424</v>
      </c>
      <c r="K15" s="84">
        <v>527.53499999999997</v>
      </c>
      <c r="L15" s="84">
        <v>800</v>
      </c>
      <c r="M15" s="83">
        <f>H15</f>
        <v>621.76125000000002</v>
      </c>
      <c r="N15" s="101">
        <f>L15-H15</f>
        <v>178.23874999999998</v>
      </c>
      <c r="O15" s="169"/>
      <c r="P15" s="385"/>
    </row>
    <row r="16" spans="1:20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83">
        <v>1.5</v>
      </c>
      <c r="H16" s="183">
        <f t="shared" si="1"/>
        <v>373.59030000000001</v>
      </c>
      <c r="I16" s="109">
        <f t="shared" si="4"/>
        <v>350.93979999999999</v>
      </c>
      <c r="J16" s="108" t="s">
        <v>422</v>
      </c>
      <c r="K16" s="108">
        <v>258.625</v>
      </c>
      <c r="L16" s="298">
        <v>500</v>
      </c>
      <c r="M16" s="83">
        <f t="shared" ref="M16:M24" si="5">H16</f>
        <v>373.59030000000001</v>
      </c>
      <c r="N16" s="101">
        <f t="shared" ref="N16:N24" si="6">L16-H16</f>
        <v>126.40969999999999</v>
      </c>
      <c r="O16" s="168"/>
      <c r="P16" s="388"/>
    </row>
    <row r="17" spans="1:22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83">
        <v>1.5</v>
      </c>
      <c r="H17" s="183">
        <f t="shared" si="1"/>
        <v>278.15129999999999</v>
      </c>
      <c r="I17" s="109">
        <f t="shared" si="4"/>
        <v>264.56579999999997</v>
      </c>
      <c r="J17" s="108" t="s">
        <v>385</v>
      </c>
      <c r="K17" s="108">
        <v>975.03499999999997</v>
      </c>
      <c r="L17" s="108">
        <v>450</v>
      </c>
      <c r="M17" s="83">
        <f t="shared" si="5"/>
        <v>278.15129999999999</v>
      </c>
      <c r="N17" s="101">
        <f t="shared" si="6"/>
        <v>171.84870000000001</v>
      </c>
      <c r="O17" s="168"/>
      <c r="P17" s="388"/>
    </row>
    <row r="18" spans="1:22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83">
        <v>1.5</v>
      </c>
      <c r="H18" s="183">
        <f t="shared" si="1"/>
        <v>320.77244999999999</v>
      </c>
      <c r="I18" s="109">
        <f t="shared" si="4"/>
        <v>236.15170000000001</v>
      </c>
      <c r="J18" s="108" t="s">
        <v>421</v>
      </c>
      <c r="K18" s="108">
        <v>1025.3</v>
      </c>
      <c r="L18" s="108">
        <v>450</v>
      </c>
      <c r="M18" s="83">
        <f t="shared" si="5"/>
        <v>320.77244999999999</v>
      </c>
      <c r="N18" s="101">
        <f t="shared" si="6"/>
        <v>129.22755000000001</v>
      </c>
      <c r="O18" s="131"/>
      <c r="P18" s="388"/>
    </row>
    <row r="19" spans="1:22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83">
        <v>1.5</v>
      </c>
      <c r="H19" s="183">
        <f t="shared" si="1"/>
        <v>481.17255</v>
      </c>
      <c r="I19" s="109">
        <f t="shared" si="4"/>
        <v>279.2183</v>
      </c>
      <c r="J19" s="108" t="s">
        <v>420</v>
      </c>
      <c r="K19" s="108">
        <v>440.09</v>
      </c>
      <c r="L19" s="108">
        <v>600</v>
      </c>
      <c r="M19" s="83">
        <f t="shared" si="5"/>
        <v>481.17255</v>
      </c>
      <c r="N19" s="101">
        <f t="shared" si="6"/>
        <v>118.82745</v>
      </c>
      <c r="O19" s="131"/>
      <c r="P19" s="388"/>
    </row>
    <row r="20" spans="1:22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183">
        <v>1.5</v>
      </c>
      <c r="H20" s="183">
        <f t="shared" si="1"/>
        <v>33.525000000000006</v>
      </c>
      <c r="I20" s="95">
        <f t="shared" si="4"/>
        <v>177.65</v>
      </c>
      <c r="J20" s="94" t="s">
        <v>418</v>
      </c>
      <c r="K20" s="94">
        <v>541.49</v>
      </c>
      <c r="L20" s="291">
        <v>150</v>
      </c>
      <c r="M20" s="83">
        <f t="shared" si="5"/>
        <v>33.525000000000006</v>
      </c>
      <c r="N20" s="101">
        <f t="shared" si="6"/>
        <v>116.47499999999999</v>
      </c>
      <c r="O20" s="165"/>
      <c r="P20" s="387"/>
      <c r="R20" s="18"/>
    </row>
    <row r="21" spans="1:22" ht="14.25" customHeight="1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183">
        <v>1.5</v>
      </c>
      <c r="H21" s="183">
        <f t="shared" si="1"/>
        <v>300.16829999999999</v>
      </c>
      <c r="I21" s="85">
        <f t="shared" si="4"/>
        <v>199.8878</v>
      </c>
      <c r="J21" s="84" t="s">
        <v>416</v>
      </c>
      <c r="K21" s="84">
        <v>733.18499999999995</v>
      </c>
      <c r="L21" s="299">
        <v>300</v>
      </c>
      <c r="M21" s="83">
        <f t="shared" si="5"/>
        <v>300.16829999999999</v>
      </c>
      <c r="N21" s="101">
        <f t="shared" si="6"/>
        <v>-0.1682999999999879</v>
      </c>
      <c r="O21" s="500" t="s">
        <v>501</v>
      </c>
      <c r="P21" s="501"/>
      <c r="R21" s="18"/>
    </row>
    <row r="22" spans="1:22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83">
        <v>1.5</v>
      </c>
      <c r="H22" s="183">
        <f t="shared" si="1"/>
        <v>624.22170000000006</v>
      </c>
      <c r="I22" s="109">
        <f t="shared" si="4"/>
        <v>333.85219999999998</v>
      </c>
      <c r="J22" s="108" t="s">
        <v>361</v>
      </c>
      <c r="K22" s="108">
        <v>692.19500000000005</v>
      </c>
      <c r="L22" s="108">
        <v>750</v>
      </c>
      <c r="M22" s="83">
        <f t="shared" si="5"/>
        <v>624.22170000000006</v>
      </c>
      <c r="N22" s="101">
        <f t="shared" si="6"/>
        <v>125.77829999999994</v>
      </c>
      <c r="O22" s="502"/>
      <c r="P22" s="503"/>
    </row>
    <row r="23" spans="1:22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83">
        <v>1.5</v>
      </c>
      <c r="H23" s="183">
        <f t="shared" si="1"/>
        <v>36.154499999999999</v>
      </c>
      <c r="I23" s="109">
        <f t="shared" si="4"/>
        <v>175.89699999999999</v>
      </c>
      <c r="J23" s="108" t="s">
        <v>412</v>
      </c>
      <c r="K23" s="108">
        <v>820.63</v>
      </c>
      <c r="L23" s="298">
        <v>150</v>
      </c>
      <c r="M23" s="83">
        <f t="shared" si="5"/>
        <v>36.154499999999999</v>
      </c>
      <c r="N23" s="101">
        <f t="shared" si="6"/>
        <v>113.8455</v>
      </c>
      <c r="O23" s="502"/>
      <c r="P23" s="503"/>
      <c r="S23" s="309"/>
    </row>
    <row r="24" spans="1:22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183">
        <v>1.5</v>
      </c>
      <c r="H24" s="183">
        <f t="shared" si="1"/>
        <v>33.525000000000006</v>
      </c>
      <c r="I24" s="95">
        <f t="shared" si="4"/>
        <v>177.65</v>
      </c>
      <c r="J24" s="94" t="s">
        <v>410</v>
      </c>
      <c r="K24" s="94">
        <v>660.63</v>
      </c>
      <c r="L24" s="291">
        <v>150</v>
      </c>
      <c r="M24" s="83">
        <f t="shared" si="5"/>
        <v>33.525000000000006</v>
      </c>
      <c r="N24" s="101">
        <f t="shared" si="6"/>
        <v>116.47499999999999</v>
      </c>
      <c r="O24" s="504"/>
      <c r="P24" s="505"/>
    </row>
    <row r="25" spans="1:22" ht="15" customHeight="1" thickBot="1">
      <c r="A25" s="162" t="s">
        <v>409</v>
      </c>
      <c r="B25" s="88" t="s">
        <v>408</v>
      </c>
      <c r="C25" s="161"/>
      <c r="D25" s="86"/>
      <c r="E25" s="86"/>
      <c r="F25" s="86"/>
      <c r="G25" s="183">
        <v>1.5</v>
      </c>
      <c r="H25" s="183">
        <f t="shared" si="1"/>
        <v>0</v>
      </c>
      <c r="I25" s="85"/>
      <c r="J25" s="84"/>
      <c r="K25" s="84"/>
      <c r="L25" s="84"/>
      <c r="M25" s="83"/>
      <c r="N25" s="101"/>
      <c r="O25" s="160"/>
      <c r="P25" s="373"/>
      <c r="R25" s="510"/>
      <c r="S25" s="510"/>
      <c r="T25" s="510"/>
      <c r="V25" s="381"/>
    </row>
    <row r="26" spans="1:22" ht="13.5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183">
        <v>1.5</v>
      </c>
      <c r="H26" s="183">
        <f t="shared" si="1"/>
        <v>996.77129999999988</v>
      </c>
      <c r="I26" s="85">
        <f t="shared" ref="I26:I56" si="7">E26-F26</f>
        <v>535.48580000000004</v>
      </c>
      <c r="J26" s="84" t="s">
        <v>405</v>
      </c>
      <c r="K26" s="84">
        <v>799.22</v>
      </c>
      <c r="L26" s="299">
        <v>900</v>
      </c>
      <c r="M26" s="83">
        <f>H26</f>
        <v>996.77129999999988</v>
      </c>
      <c r="N26" s="82">
        <f>L26-H26</f>
        <v>-96.771299999999883</v>
      </c>
      <c r="O26" s="81" t="s">
        <v>384</v>
      </c>
      <c r="P26" s="385">
        <v>33.229999999999997</v>
      </c>
      <c r="V26" s="381"/>
    </row>
    <row r="27" spans="1:22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83">
        <v>1.5</v>
      </c>
      <c r="H27" s="183">
        <f t="shared" si="1"/>
        <v>637.00244999999995</v>
      </c>
      <c r="I27" s="154">
        <f t="shared" si="7"/>
        <v>475.33170000000001</v>
      </c>
      <c r="J27" s="153" t="s">
        <v>404</v>
      </c>
      <c r="K27" s="153">
        <v>973.76</v>
      </c>
      <c r="L27" s="153">
        <v>900</v>
      </c>
      <c r="M27" s="83">
        <f t="shared" ref="M27:M56" si="8">H27</f>
        <v>637.00244999999995</v>
      </c>
      <c r="N27" s="82">
        <f t="shared" ref="N27:N56" si="9">L27-H27</f>
        <v>262.99755000000005</v>
      </c>
      <c r="O27" s="152"/>
      <c r="P27" s="389"/>
      <c r="R27" s="378"/>
      <c r="S27" s="378"/>
      <c r="T27" s="378"/>
      <c r="V27" s="381"/>
    </row>
    <row r="28" spans="1:22" ht="13.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183">
        <v>1.5</v>
      </c>
      <c r="H28" s="183">
        <f t="shared" si="1"/>
        <v>621.76125000000002</v>
      </c>
      <c r="I28" s="95">
        <f t="shared" si="7"/>
        <v>385.49250000000001</v>
      </c>
      <c r="J28" s="94" t="s">
        <v>402</v>
      </c>
      <c r="K28" s="94">
        <v>849.47500000000002</v>
      </c>
      <c r="L28" s="291">
        <v>600</v>
      </c>
      <c r="M28" s="83">
        <f t="shared" si="8"/>
        <v>621.76125000000002</v>
      </c>
      <c r="N28" s="82">
        <f t="shared" si="9"/>
        <v>-21.761250000000018</v>
      </c>
      <c r="O28" s="81"/>
      <c r="P28" s="385"/>
      <c r="T28" s="18"/>
      <c r="V28" s="381"/>
    </row>
    <row r="29" spans="1:22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183">
        <v>1.5</v>
      </c>
      <c r="H29" s="183">
        <f t="shared" si="1"/>
        <v>278.15129999999999</v>
      </c>
      <c r="I29" s="95">
        <f t="shared" si="7"/>
        <v>264.56579999999997</v>
      </c>
      <c r="J29" s="94" t="s">
        <v>385</v>
      </c>
      <c r="K29" s="94">
        <v>975.03499999999997</v>
      </c>
      <c r="L29" s="94">
        <v>450</v>
      </c>
      <c r="M29" s="83">
        <f t="shared" si="8"/>
        <v>278.15129999999999</v>
      </c>
      <c r="N29" s="82">
        <f t="shared" si="9"/>
        <v>171.84870000000001</v>
      </c>
      <c r="O29" s="131" t="s">
        <v>395</v>
      </c>
      <c r="P29" s="388">
        <v>67.180000000000007</v>
      </c>
      <c r="T29" s="18"/>
      <c r="V29" s="381"/>
    </row>
    <row r="30" spans="1:22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83">
        <v>1.5</v>
      </c>
      <c r="H30" s="183">
        <f t="shared" si="1"/>
        <v>320.77244999999999</v>
      </c>
      <c r="I30" s="109">
        <f t="shared" si="7"/>
        <v>236.15170000000001</v>
      </c>
      <c r="J30" s="108" t="s">
        <v>399</v>
      </c>
      <c r="K30" s="108">
        <v>1347.24</v>
      </c>
      <c r="L30" s="298">
        <v>300</v>
      </c>
      <c r="M30" s="83">
        <f t="shared" si="8"/>
        <v>320.77244999999999</v>
      </c>
      <c r="N30" s="82">
        <f t="shared" si="9"/>
        <v>-20.772449999999992</v>
      </c>
      <c r="O30" s="148"/>
      <c r="P30" s="386"/>
      <c r="T30" s="18"/>
      <c r="V30" s="381"/>
    </row>
    <row r="31" spans="1:22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183">
        <v>1.5</v>
      </c>
      <c r="H31" s="183">
        <f t="shared" si="1"/>
        <v>481.17255</v>
      </c>
      <c r="I31" s="95">
        <f t="shared" si="7"/>
        <v>279.2183</v>
      </c>
      <c r="J31" s="94" t="s">
        <v>397</v>
      </c>
      <c r="K31" s="94">
        <v>762.03</v>
      </c>
      <c r="L31" s="291">
        <v>450</v>
      </c>
      <c r="M31" s="83">
        <f t="shared" si="8"/>
        <v>481.17255</v>
      </c>
      <c r="N31" s="82">
        <f t="shared" si="9"/>
        <v>-31.172550000000001</v>
      </c>
      <c r="O31" s="131"/>
      <c r="P31" s="388"/>
      <c r="T31" s="18"/>
      <c r="V31" s="18"/>
    </row>
    <row r="32" spans="1:22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183">
        <v>1.5</v>
      </c>
      <c r="H32" s="183">
        <f t="shared" si="1"/>
        <v>416.36130000000003</v>
      </c>
      <c r="I32" s="95">
        <f t="shared" si="7"/>
        <v>222.42579999999998</v>
      </c>
      <c r="J32" s="94" t="s">
        <v>394</v>
      </c>
      <c r="K32" s="94">
        <v>922.03</v>
      </c>
      <c r="L32" s="291">
        <v>300</v>
      </c>
      <c r="M32" s="83">
        <f t="shared" si="8"/>
        <v>416.36130000000003</v>
      </c>
      <c r="N32" s="82">
        <f t="shared" si="9"/>
        <v>-116.36130000000003</v>
      </c>
      <c r="O32" s="69"/>
      <c r="P32" s="387"/>
      <c r="R32" s="18"/>
      <c r="V32" s="381"/>
    </row>
    <row r="33" spans="1:3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183">
        <v>1.5</v>
      </c>
      <c r="H33" s="183">
        <f t="shared" si="1"/>
        <v>890.08500000000004</v>
      </c>
      <c r="I33" s="85">
        <f t="shared" si="7"/>
        <v>606.61</v>
      </c>
      <c r="J33" s="84" t="s">
        <v>391</v>
      </c>
      <c r="K33" s="84">
        <v>778.62</v>
      </c>
      <c r="L33" s="84">
        <v>1200</v>
      </c>
      <c r="M33" s="83">
        <f t="shared" si="8"/>
        <v>890.08500000000004</v>
      </c>
      <c r="N33" s="82">
        <f t="shared" si="9"/>
        <v>309.91499999999996</v>
      </c>
      <c r="O33" s="494"/>
      <c r="P33" s="549"/>
      <c r="R33" s="18"/>
      <c r="V33" s="381"/>
    </row>
    <row r="34" spans="1:3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83">
        <v>1.5</v>
      </c>
      <c r="H34" s="183">
        <f t="shared" si="1"/>
        <v>278.15129999999999</v>
      </c>
      <c r="I34" s="109">
        <f t="shared" si="7"/>
        <v>264.56579999999997</v>
      </c>
      <c r="J34" s="108" t="s">
        <v>385</v>
      </c>
      <c r="K34" s="108">
        <v>975.03499999999997</v>
      </c>
      <c r="L34" s="108">
        <v>450</v>
      </c>
      <c r="M34" s="83">
        <f t="shared" si="8"/>
        <v>278.15129999999999</v>
      </c>
      <c r="N34" s="82">
        <f t="shared" si="9"/>
        <v>171.84870000000001</v>
      </c>
      <c r="O34" s="495"/>
      <c r="P34" s="551"/>
    </row>
    <row r="35" spans="1:3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183">
        <v>1.5</v>
      </c>
      <c r="H35" s="183">
        <f t="shared" si="1"/>
        <v>737.21355000000005</v>
      </c>
      <c r="I35" s="95">
        <f t="shared" si="7"/>
        <v>408.52429999999998</v>
      </c>
      <c r="J35" s="94" t="s">
        <v>381</v>
      </c>
      <c r="K35" s="94">
        <v>660.12</v>
      </c>
      <c r="L35" s="94">
        <v>900</v>
      </c>
      <c r="M35" s="83">
        <f t="shared" si="8"/>
        <v>737.21355000000005</v>
      </c>
      <c r="N35" s="82">
        <f t="shared" si="9"/>
        <v>162.78644999999995</v>
      </c>
      <c r="O35" s="495"/>
      <c r="P35" s="551"/>
    </row>
    <row r="36" spans="1:3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183">
        <v>1.5</v>
      </c>
      <c r="H36" s="183">
        <f t="shared" si="1"/>
        <v>320.77244999999999</v>
      </c>
      <c r="I36" s="85">
        <f t="shared" si="7"/>
        <v>236.15170000000001</v>
      </c>
      <c r="J36" s="84" t="s">
        <v>377</v>
      </c>
      <c r="K36" s="84">
        <v>844.89</v>
      </c>
      <c r="L36" s="84">
        <v>450</v>
      </c>
      <c r="M36" s="83">
        <f t="shared" si="8"/>
        <v>320.77244999999999</v>
      </c>
      <c r="N36" s="82">
        <f t="shared" si="9"/>
        <v>129.22755000000001</v>
      </c>
      <c r="O36" s="494"/>
      <c r="P36" s="549"/>
      <c r="R36" s="510"/>
      <c r="S36" s="510"/>
      <c r="T36" s="510"/>
      <c r="V36" s="381"/>
    </row>
    <row r="37" spans="1:3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183">
        <v>1.5</v>
      </c>
      <c r="H37" s="183">
        <f t="shared" si="1"/>
        <v>1726.992</v>
      </c>
      <c r="I37" s="95">
        <f t="shared" si="7"/>
        <v>1048.672</v>
      </c>
      <c r="J37" s="94" t="s">
        <v>374</v>
      </c>
      <c r="K37" s="94">
        <v>503.42500000000001</v>
      </c>
      <c r="L37" s="94">
        <v>2200</v>
      </c>
      <c r="M37" s="83">
        <f t="shared" si="8"/>
        <v>1726.992</v>
      </c>
      <c r="N37" s="82">
        <f t="shared" si="9"/>
        <v>473.00800000000004</v>
      </c>
      <c r="O37" s="498"/>
      <c r="P37" s="550"/>
      <c r="U37" s="510"/>
      <c r="V37" s="510"/>
    </row>
    <row r="38" spans="1:31" ht="13.5" thickBot="1">
      <c r="A38" s="376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183">
        <v>1.5</v>
      </c>
      <c r="H38" s="183">
        <f t="shared" si="1"/>
        <v>1169.28495</v>
      </c>
      <c r="I38" s="85">
        <f t="shared" si="7"/>
        <v>720.47670000000005</v>
      </c>
      <c r="J38" s="84" t="s">
        <v>371</v>
      </c>
      <c r="K38" s="84">
        <v>539.80499999999995</v>
      </c>
      <c r="L38" s="299">
        <v>900</v>
      </c>
      <c r="M38" s="83">
        <f t="shared" si="8"/>
        <v>1169.28495</v>
      </c>
      <c r="N38" s="82">
        <f t="shared" si="9"/>
        <v>-269.28494999999998</v>
      </c>
      <c r="O38" s="131" t="s">
        <v>370</v>
      </c>
      <c r="P38" s="390">
        <v>139.5</v>
      </c>
      <c r="R38" s="378"/>
      <c r="S38" s="378"/>
      <c r="T38" s="378"/>
      <c r="U38" s="378"/>
      <c r="V38" s="378"/>
    </row>
    <row r="39" spans="1:3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183">
        <v>1.5</v>
      </c>
      <c r="H39" s="183">
        <f t="shared" si="1"/>
        <v>1329.2317499999999</v>
      </c>
      <c r="I39" s="85">
        <f t="shared" si="7"/>
        <v>863.84550000000002</v>
      </c>
      <c r="J39" s="84" t="s">
        <v>366</v>
      </c>
      <c r="K39" s="84">
        <v>585.61500000000001</v>
      </c>
      <c r="L39" s="299">
        <v>1050</v>
      </c>
      <c r="M39" s="83">
        <f t="shared" si="8"/>
        <v>1329.2317499999999</v>
      </c>
      <c r="N39" s="82">
        <f t="shared" si="9"/>
        <v>-279.23174999999992</v>
      </c>
      <c r="O39" s="81" t="s">
        <v>20</v>
      </c>
      <c r="P39" s="385">
        <v>191.82</v>
      </c>
      <c r="T39" s="18"/>
      <c r="V39" s="381"/>
    </row>
    <row r="40" spans="1:3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183">
        <v>1.5</v>
      </c>
      <c r="H40" s="183">
        <f t="shared" si="1"/>
        <v>350.71049999999997</v>
      </c>
      <c r="I40" s="73">
        <f t="shared" si="7"/>
        <v>366.19299999999998</v>
      </c>
      <c r="J40" s="72" t="s">
        <v>328</v>
      </c>
      <c r="K40" s="72">
        <v>673.16499999999996</v>
      </c>
      <c r="L40" s="300">
        <v>450</v>
      </c>
      <c r="M40" s="83">
        <f t="shared" si="8"/>
        <v>350.71049999999997</v>
      </c>
      <c r="N40" s="82">
        <f t="shared" si="9"/>
        <v>99.289500000000032</v>
      </c>
      <c r="O40" s="69"/>
      <c r="P40" s="387"/>
      <c r="T40" s="18"/>
      <c r="V40" s="381"/>
    </row>
    <row r="41" spans="1:31" ht="13.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183">
        <v>1.5</v>
      </c>
      <c r="H41" s="183">
        <f t="shared" si="1"/>
        <v>624.22170000000006</v>
      </c>
      <c r="I41" s="95">
        <f t="shared" si="7"/>
        <v>333.85219999999998</v>
      </c>
      <c r="J41" s="94" t="s">
        <v>361</v>
      </c>
      <c r="K41" s="94">
        <v>692.19500000000005</v>
      </c>
      <c r="L41" s="94">
        <v>750</v>
      </c>
      <c r="M41" s="83">
        <f t="shared" si="8"/>
        <v>624.22170000000006</v>
      </c>
      <c r="N41" s="82">
        <f t="shared" si="9"/>
        <v>125.77829999999994</v>
      </c>
      <c r="O41" s="500" t="s">
        <v>351</v>
      </c>
      <c r="P41" s="501"/>
      <c r="T41" s="18"/>
      <c r="V41" s="381"/>
    </row>
    <row r="42" spans="1:3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83">
        <v>1.5</v>
      </c>
      <c r="H42" s="183">
        <f t="shared" si="1"/>
        <v>637.00244999999995</v>
      </c>
      <c r="I42" s="109">
        <f t="shared" si="7"/>
        <v>475.33170000000001</v>
      </c>
      <c r="J42" s="108" t="s">
        <v>359</v>
      </c>
      <c r="K42" s="108">
        <v>1033.6600000000001</v>
      </c>
      <c r="L42" s="108">
        <v>900</v>
      </c>
      <c r="M42" s="83">
        <f t="shared" si="8"/>
        <v>637.00244999999995</v>
      </c>
      <c r="N42" s="82">
        <f t="shared" si="9"/>
        <v>262.99755000000005</v>
      </c>
      <c r="O42" s="502"/>
      <c r="P42" s="503"/>
      <c r="T42" s="18"/>
      <c r="V42" s="381"/>
      <c r="X42" s="519"/>
      <c r="Y42" s="519"/>
      <c r="Z42" s="519"/>
      <c r="AA42" s="381"/>
      <c r="AB42" s="519"/>
      <c r="AC42" s="519"/>
      <c r="AD42" s="519"/>
      <c r="AE42" s="320"/>
    </row>
    <row r="43" spans="1:3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183">
        <v>1.5</v>
      </c>
      <c r="H43" s="183">
        <f t="shared" si="1"/>
        <v>120.505005</v>
      </c>
      <c r="I43" s="95">
        <f t="shared" si="7"/>
        <v>169.66333</v>
      </c>
      <c r="J43" s="94" t="s">
        <v>357</v>
      </c>
      <c r="K43" s="94">
        <v>811.21</v>
      </c>
      <c r="L43" s="291">
        <v>150</v>
      </c>
      <c r="M43" s="83">
        <f t="shared" si="8"/>
        <v>120.505005</v>
      </c>
      <c r="N43" s="82">
        <f t="shared" si="9"/>
        <v>29.494995000000003</v>
      </c>
      <c r="O43" s="504"/>
      <c r="P43" s="505"/>
      <c r="R43" s="18"/>
      <c r="V43" s="381"/>
      <c r="X43" s="320"/>
      <c r="Y43" s="320"/>
      <c r="Z43" s="320"/>
      <c r="AA43" s="381"/>
      <c r="AB43" s="320"/>
      <c r="AC43" s="320"/>
      <c r="AD43" s="320"/>
      <c r="AE43" s="320"/>
    </row>
    <row r="44" spans="1:31" ht="13.5" thickBot="1">
      <c r="A44" s="376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183">
        <v>1.5</v>
      </c>
      <c r="H44" s="183">
        <f t="shared" si="1"/>
        <v>100.86274499999999</v>
      </c>
      <c r="I44" s="85">
        <f t="shared" si="7"/>
        <v>132.75817000000001</v>
      </c>
      <c r="J44" s="84" t="s">
        <v>354</v>
      </c>
      <c r="K44" s="84">
        <v>607.995</v>
      </c>
      <c r="L44" s="299">
        <v>150</v>
      </c>
      <c r="M44" s="83">
        <f t="shared" si="8"/>
        <v>100.86274499999999</v>
      </c>
      <c r="N44" s="82">
        <f t="shared" si="9"/>
        <v>49.13725500000001</v>
      </c>
      <c r="O44" s="486" t="s">
        <v>351</v>
      </c>
      <c r="P44" s="487"/>
      <c r="R44" s="18"/>
      <c r="V44" s="381"/>
      <c r="X44" s="320"/>
      <c r="Y44" s="320"/>
      <c r="Z44" s="320"/>
      <c r="AA44" s="381"/>
      <c r="AB44" s="320"/>
      <c r="AC44" s="320"/>
      <c r="AD44" s="320"/>
      <c r="AE44" s="320"/>
    </row>
    <row r="45" spans="1:3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183">
        <v>1.5</v>
      </c>
      <c r="H45" s="183">
        <f t="shared" si="1"/>
        <v>263.87879999999996</v>
      </c>
      <c r="I45" s="85">
        <f t="shared" si="7"/>
        <v>274.08080000000001</v>
      </c>
      <c r="J45" s="84" t="s">
        <v>352</v>
      </c>
      <c r="K45" s="84">
        <v>1051.23</v>
      </c>
      <c r="L45" s="84">
        <v>450</v>
      </c>
      <c r="M45" s="83">
        <f t="shared" si="8"/>
        <v>263.87879999999996</v>
      </c>
      <c r="N45" s="82">
        <f t="shared" si="9"/>
        <v>186.12120000000004</v>
      </c>
      <c r="O45" s="488" t="s">
        <v>351</v>
      </c>
      <c r="P45" s="546" t="s">
        <v>351</v>
      </c>
      <c r="X45" s="320"/>
      <c r="Y45" s="320"/>
      <c r="Z45" s="320"/>
      <c r="AA45" s="381"/>
      <c r="AB45" s="320"/>
      <c r="AC45" s="320"/>
      <c r="AD45" s="320"/>
      <c r="AE45" s="320"/>
    </row>
    <row r="46" spans="1:3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83">
        <v>1.5</v>
      </c>
      <c r="H46" s="183">
        <f t="shared" si="1"/>
        <v>172.67144999999999</v>
      </c>
      <c r="I46" s="109">
        <f t="shared" si="7"/>
        <v>284.88569999999999</v>
      </c>
      <c r="J46" s="108" t="s">
        <v>348</v>
      </c>
      <c r="K46" s="108">
        <v>838.745</v>
      </c>
      <c r="L46" s="298">
        <v>300</v>
      </c>
      <c r="M46" s="83">
        <f t="shared" si="8"/>
        <v>172.67144999999999</v>
      </c>
      <c r="N46" s="82">
        <f t="shared" si="9"/>
        <v>127.32855000000001</v>
      </c>
      <c r="O46" s="489"/>
      <c r="P46" s="547"/>
      <c r="X46" s="320"/>
      <c r="Y46" s="320"/>
      <c r="Z46" s="320"/>
      <c r="AA46" s="381"/>
      <c r="AB46" s="320"/>
      <c r="AC46" s="320"/>
      <c r="AD46" s="320"/>
      <c r="AE46" s="320"/>
    </row>
    <row r="47" spans="1:3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83">
        <v>1.5</v>
      </c>
      <c r="H47" s="183">
        <f t="shared" si="1"/>
        <v>131.35275000000001</v>
      </c>
      <c r="I47" s="109">
        <f t="shared" si="7"/>
        <v>212.4315</v>
      </c>
      <c r="J47" s="108" t="s">
        <v>346</v>
      </c>
      <c r="K47" s="108">
        <v>792.93499999999995</v>
      </c>
      <c r="L47" s="108">
        <v>300</v>
      </c>
      <c r="M47" s="83">
        <f t="shared" si="8"/>
        <v>131.35275000000001</v>
      </c>
      <c r="N47" s="82">
        <f t="shared" si="9"/>
        <v>168.64724999999999</v>
      </c>
      <c r="O47" s="489"/>
      <c r="P47" s="547"/>
      <c r="X47" s="320"/>
      <c r="Y47" s="320"/>
      <c r="Z47" s="320"/>
      <c r="AA47" s="381"/>
      <c r="AB47" s="320"/>
      <c r="AC47" s="320"/>
      <c r="AD47" s="320"/>
      <c r="AE47" s="320"/>
    </row>
    <row r="48" spans="1:3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183">
        <v>1.5</v>
      </c>
      <c r="H48" s="183">
        <f t="shared" si="1"/>
        <v>69.246000000000009</v>
      </c>
      <c r="I48" s="95">
        <f t="shared" si="7"/>
        <v>103.836</v>
      </c>
      <c r="J48" s="94" t="s">
        <v>345</v>
      </c>
      <c r="K48" s="94">
        <v>934.80499999999995</v>
      </c>
      <c r="L48" s="94">
        <v>150</v>
      </c>
      <c r="M48" s="83">
        <f t="shared" si="8"/>
        <v>69.246000000000009</v>
      </c>
      <c r="N48" s="82">
        <f t="shared" si="9"/>
        <v>80.753999999999991</v>
      </c>
      <c r="O48" s="490"/>
      <c r="P48" s="548"/>
      <c r="X48" s="320"/>
      <c r="Y48" s="320"/>
      <c r="Z48" s="320"/>
      <c r="AA48" s="381"/>
      <c r="AB48" s="320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183">
        <v>1.5</v>
      </c>
      <c r="H49" s="183">
        <f t="shared" si="1"/>
        <v>263.87879999999996</v>
      </c>
      <c r="I49" s="85">
        <f t="shared" si="7"/>
        <v>274.08080000000001</v>
      </c>
      <c r="J49" s="84" t="s">
        <v>341</v>
      </c>
      <c r="K49" s="84">
        <v>992.44500000000005</v>
      </c>
      <c r="L49" s="84">
        <v>450</v>
      </c>
      <c r="M49" s="83">
        <f t="shared" si="8"/>
        <v>263.87879999999996</v>
      </c>
      <c r="N49" s="82">
        <f t="shared" si="9"/>
        <v>186.12120000000004</v>
      </c>
      <c r="O49" s="266"/>
      <c r="P49" s="233"/>
      <c r="X49" s="320"/>
      <c r="Y49" s="320"/>
      <c r="Z49" s="320"/>
      <c r="AA49" s="381"/>
      <c r="AB49" s="320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183">
        <v>1.5</v>
      </c>
      <c r="H50" s="183">
        <f t="shared" si="1"/>
        <v>69.246000000000009</v>
      </c>
      <c r="I50" s="95">
        <f t="shared" si="7"/>
        <v>103.836</v>
      </c>
      <c r="J50" s="94" t="s">
        <v>337</v>
      </c>
      <c r="K50" s="94">
        <v>817.04499999999996</v>
      </c>
      <c r="L50" s="94">
        <v>150</v>
      </c>
      <c r="M50" s="83">
        <f t="shared" si="8"/>
        <v>69.246000000000009</v>
      </c>
      <c r="N50" s="82">
        <f t="shared" si="9"/>
        <v>80.753999999999991</v>
      </c>
      <c r="O50" s="267"/>
      <c r="P50" s="381"/>
      <c r="R50" s="510"/>
      <c r="S50" s="510"/>
      <c r="T50" s="510"/>
      <c r="X50" s="320"/>
      <c r="Y50" s="320"/>
      <c r="Z50" s="320"/>
      <c r="AA50" s="381"/>
      <c r="AB50" s="320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183">
        <v>1.5</v>
      </c>
      <c r="H51" s="183">
        <f t="shared" si="1"/>
        <v>69.246000000000009</v>
      </c>
      <c r="I51" s="85">
        <f t="shared" si="7"/>
        <v>103.836</v>
      </c>
      <c r="J51" s="84" t="s">
        <v>337</v>
      </c>
      <c r="K51" s="84">
        <v>817.04499999999996</v>
      </c>
      <c r="L51" s="84">
        <v>150</v>
      </c>
      <c r="M51" s="83">
        <f t="shared" si="8"/>
        <v>69.246000000000009</v>
      </c>
      <c r="N51" s="82">
        <f t="shared" si="9"/>
        <v>80.753999999999991</v>
      </c>
      <c r="O51" s="267"/>
      <c r="P51" s="381"/>
      <c r="X51" s="320"/>
      <c r="Y51" s="320"/>
      <c r="Z51" s="320"/>
      <c r="AA51" s="381"/>
      <c r="AB51" s="320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183">
        <v>1.5</v>
      </c>
      <c r="H52" s="183">
        <f t="shared" si="1"/>
        <v>205.31295</v>
      </c>
      <c r="I52" s="95">
        <f t="shared" si="7"/>
        <v>263.12469999999996</v>
      </c>
      <c r="J52" s="94" t="s">
        <v>325</v>
      </c>
      <c r="K52" s="94">
        <v>518.48</v>
      </c>
      <c r="L52" s="94">
        <v>400</v>
      </c>
      <c r="M52" s="83">
        <f t="shared" si="8"/>
        <v>205.31295</v>
      </c>
      <c r="N52" s="82">
        <f t="shared" si="9"/>
        <v>194.68705</v>
      </c>
      <c r="O52" s="91"/>
      <c r="P52" s="320"/>
      <c r="R52" s="378"/>
      <c r="S52" s="378"/>
      <c r="T52" s="378"/>
      <c r="X52" s="320"/>
      <c r="Y52" s="320"/>
      <c r="Z52" s="320"/>
      <c r="AA52" s="381"/>
      <c r="AB52" s="320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183">
        <v>1.5</v>
      </c>
      <c r="H53" s="183">
        <f t="shared" si="1"/>
        <v>131.35275000000001</v>
      </c>
      <c r="I53" s="85">
        <f t="shared" si="7"/>
        <v>212.4315</v>
      </c>
      <c r="J53" s="84" t="s">
        <v>334</v>
      </c>
      <c r="K53" s="84">
        <v>792.93499999999995</v>
      </c>
      <c r="L53" s="84">
        <v>300</v>
      </c>
      <c r="M53" s="83">
        <f t="shared" si="8"/>
        <v>131.35275000000001</v>
      </c>
      <c r="N53" s="82">
        <f t="shared" si="9"/>
        <v>168.64724999999999</v>
      </c>
      <c r="O53" s="91"/>
      <c r="P53" s="320"/>
      <c r="X53" s="320"/>
      <c r="Y53" s="320"/>
      <c r="Z53" s="320"/>
      <c r="AA53" s="381"/>
      <c r="AB53" s="320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183">
        <v>1.5</v>
      </c>
      <c r="H54" s="183">
        <f t="shared" si="1"/>
        <v>49.947495000000004</v>
      </c>
      <c r="I54" s="95">
        <f t="shared" si="7"/>
        <v>166.70167000000001</v>
      </c>
      <c r="J54" s="94" t="s">
        <v>331</v>
      </c>
      <c r="K54" s="94">
        <v>524.75</v>
      </c>
      <c r="L54" s="94">
        <v>200</v>
      </c>
      <c r="M54" s="83">
        <f t="shared" si="8"/>
        <v>49.947495000000004</v>
      </c>
      <c r="N54" s="82">
        <f t="shared" si="9"/>
        <v>150.052505</v>
      </c>
      <c r="O54" s="91"/>
      <c r="P54" s="234"/>
      <c r="X54" s="320"/>
      <c r="Y54" s="320"/>
      <c r="Z54" s="320"/>
      <c r="AA54" s="381"/>
      <c r="AB54" s="320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183">
        <v>1.5</v>
      </c>
      <c r="H55" s="183">
        <f t="shared" si="1"/>
        <v>350.71049999999997</v>
      </c>
      <c r="I55" s="85">
        <f t="shared" si="7"/>
        <v>366.19299999999998</v>
      </c>
      <c r="J55" s="84" t="s">
        <v>328</v>
      </c>
      <c r="K55" s="84">
        <v>673.16499999999996</v>
      </c>
      <c r="L55" s="299">
        <v>450</v>
      </c>
      <c r="M55" s="83">
        <f t="shared" si="8"/>
        <v>350.71049999999997</v>
      </c>
      <c r="N55" s="82">
        <f t="shared" si="9"/>
        <v>99.289500000000032</v>
      </c>
      <c r="O55" s="81"/>
      <c r="P55" s="81"/>
      <c r="X55" s="320"/>
      <c r="Y55" s="320"/>
      <c r="Z55" s="320"/>
      <c r="AA55" s="381"/>
      <c r="AB55" s="320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183">
        <v>1.5</v>
      </c>
      <c r="H56" s="183">
        <f t="shared" si="1"/>
        <v>205.31295</v>
      </c>
      <c r="I56" s="73">
        <f t="shared" si="7"/>
        <v>263.12469999999996</v>
      </c>
      <c r="J56" s="72" t="s">
        <v>325</v>
      </c>
      <c r="K56" s="72">
        <v>518.48</v>
      </c>
      <c r="L56" s="72">
        <v>400</v>
      </c>
      <c r="M56" s="83">
        <f t="shared" si="8"/>
        <v>205.31295</v>
      </c>
      <c r="N56" s="82">
        <f t="shared" si="9"/>
        <v>194.68705</v>
      </c>
      <c r="O56" s="69"/>
      <c r="P56" s="69"/>
      <c r="X56" s="380"/>
      <c r="Y56" s="320"/>
      <c r="Z56" s="320"/>
      <c r="AA56" s="381"/>
      <c r="AB56" s="380"/>
      <c r="AC56" s="320"/>
      <c r="AD56" s="320"/>
      <c r="AE56" s="320"/>
    </row>
    <row r="57" spans="1:31">
      <c r="A57" s="320"/>
      <c r="B57" s="64"/>
      <c r="C57" s="320"/>
      <c r="D57" s="320"/>
      <c r="E57" s="320"/>
      <c r="F57" s="64"/>
      <c r="G57" s="64"/>
      <c r="H57" s="64"/>
      <c r="I57" s="320"/>
      <c r="J57" s="320"/>
      <c r="K57" s="320"/>
      <c r="L57" s="320"/>
      <c r="M57" s="320"/>
      <c r="N57" s="320"/>
      <c r="O57" s="320"/>
      <c r="P57" s="320"/>
      <c r="X57" s="381"/>
      <c r="Y57" s="381"/>
      <c r="Z57" s="18"/>
      <c r="AA57" s="381"/>
      <c r="AB57" s="381"/>
    </row>
    <row r="58" spans="1:31">
      <c r="A58" s="320"/>
      <c r="B58" s="64"/>
      <c r="C58" s="320"/>
      <c r="D58" s="320"/>
      <c r="E58" s="320"/>
      <c r="F58" s="64"/>
      <c r="G58" s="64"/>
      <c r="H58" s="64"/>
      <c r="I58" s="320"/>
      <c r="J58" s="320"/>
      <c r="K58" s="320"/>
      <c r="L58" s="320"/>
      <c r="M58" s="320"/>
      <c r="N58" s="320"/>
      <c r="O58" s="320"/>
      <c r="P58" s="320"/>
      <c r="R58" s="18"/>
      <c r="S58" s="18"/>
      <c r="X58" s="381"/>
      <c r="Y58" s="381"/>
      <c r="Z58" s="381"/>
      <c r="AA58" s="381"/>
      <c r="AB58" s="381"/>
    </row>
    <row r="59" spans="1:31">
      <c r="A59" s="320"/>
      <c r="B59" s="64"/>
      <c r="C59" s="320"/>
      <c r="D59" s="320"/>
      <c r="E59" s="320"/>
      <c r="F59" s="64"/>
      <c r="G59" s="64"/>
      <c r="H59" s="64"/>
      <c r="I59" s="320"/>
      <c r="J59" s="320"/>
      <c r="K59" s="320"/>
      <c r="L59" s="320"/>
      <c r="M59" s="320"/>
      <c r="N59" s="320"/>
      <c r="O59" s="320"/>
      <c r="P59" s="320"/>
      <c r="R59" s="18"/>
      <c r="S59" s="18"/>
      <c r="X59" s="381"/>
      <c r="Y59" s="381"/>
      <c r="Z59" s="381"/>
      <c r="AA59" s="381"/>
      <c r="AB59" s="381"/>
    </row>
    <row r="60" spans="1:31">
      <c r="A60" s="320"/>
      <c r="B60" s="64"/>
      <c r="C60" s="320"/>
      <c r="D60" s="320"/>
      <c r="E60" s="320"/>
      <c r="F60" s="64"/>
      <c r="G60" s="64"/>
      <c r="H60" s="64"/>
      <c r="I60" s="320"/>
      <c r="J60" s="320"/>
      <c r="K60" s="320"/>
      <c r="L60" s="320"/>
      <c r="M60" s="320"/>
      <c r="N60" s="320"/>
      <c r="O60" s="320"/>
      <c r="P60" s="320"/>
      <c r="X60" s="381"/>
      <c r="Y60" s="381"/>
      <c r="Z60" s="381"/>
      <c r="AA60" s="381"/>
      <c r="AB60" s="381"/>
    </row>
    <row r="61" spans="1:31">
      <c r="A61" s="320"/>
      <c r="B61" s="64"/>
      <c r="C61" s="320"/>
      <c r="D61" s="320"/>
      <c r="E61" s="320"/>
      <c r="F61" s="64"/>
      <c r="G61" s="64"/>
      <c r="H61" s="64"/>
      <c r="I61" s="320"/>
      <c r="J61" s="320"/>
      <c r="K61" s="320"/>
      <c r="L61" s="320"/>
      <c r="M61" s="320"/>
      <c r="N61" s="320"/>
      <c r="O61" s="320"/>
      <c r="P61" s="320"/>
      <c r="X61" s="18"/>
      <c r="Y61" s="381"/>
      <c r="Z61" s="381"/>
      <c r="AA61" s="381"/>
      <c r="AB61" s="381"/>
    </row>
    <row r="62" spans="1:31">
      <c r="A62" s="320"/>
      <c r="B62" s="65"/>
      <c r="C62" s="320"/>
      <c r="D62" s="320"/>
      <c r="E62" s="320"/>
      <c r="F62" s="64"/>
      <c r="G62" s="64"/>
      <c r="H62" s="64"/>
      <c r="I62" s="320"/>
      <c r="J62" s="320"/>
      <c r="K62" s="320"/>
      <c r="L62" s="320"/>
      <c r="M62" s="320"/>
      <c r="N62" s="320"/>
      <c r="O62" s="320"/>
      <c r="P62" s="320"/>
      <c r="X62" s="18"/>
      <c r="Y62" s="381"/>
      <c r="Z62" s="381"/>
      <c r="AA62" s="381"/>
      <c r="AB62" s="381"/>
      <c r="AC62" s="381"/>
      <c r="AD62" s="381"/>
      <c r="AE62" s="381"/>
    </row>
    <row r="63" spans="1:31">
      <c r="A63" s="320"/>
      <c r="B63" s="65"/>
      <c r="C63" s="320"/>
      <c r="D63" s="320"/>
      <c r="E63" s="320"/>
      <c r="F63" s="64"/>
      <c r="G63" s="64"/>
      <c r="H63" s="64"/>
      <c r="I63" s="320"/>
      <c r="J63" s="320"/>
      <c r="K63" s="320"/>
      <c r="L63" s="320"/>
      <c r="M63" s="320"/>
      <c r="N63" s="320"/>
      <c r="O63" s="320"/>
      <c r="P63" s="320"/>
      <c r="R63" s="510"/>
      <c r="S63" s="510"/>
      <c r="T63" s="510"/>
      <c r="U63" s="510"/>
      <c r="V63" s="510"/>
      <c r="W63" s="510"/>
      <c r="X63" s="381"/>
      <c r="AC63" s="378"/>
      <c r="AD63" s="378"/>
      <c r="AE63" s="381"/>
    </row>
    <row r="64" spans="1:31">
      <c r="A64" s="320"/>
      <c r="B64" s="65"/>
      <c r="C64" s="320"/>
      <c r="D64" s="320"/>
      <c r="E64" s="320"/>
      <c r="F64" s="64"/>
      <c r="G64" s="64"/>
      <c r="H64" s="64"/>
      <c r="I64" s="320"/>
      <c r="J64" s="320"/>
      <c r="K64" s="320"/>
      <c r="L64" s="320"/>
      <c r="M64" s="320"/>
      <c r="N64" s="320"/>
      <c r="O64" s="320"/>
      <c r="P64" s="320"/>
      <c r="R64" s="367"/>
      <c r="S64" s="368"/>
      <c r="T64" s="368"/>
      <c r="U64" s="368"/>
      <c r="V64" s="378"/>
      <c r="W64" s="378"/>
      <c r="X64" s="378"/>
      <c r="AC64" s="381"/>
      <c r="AD64" s="381"/>
      <c r="AE64" s="381"/>
    </row>
    <row r="65" spans="1:31">
      <c r="A65" s="320"/>
      <c r="B65" s="64"/>
      <c r="C65" s="320"/>
      <c r="D65" s="320"/>
      <c r="L65" s="320"/>
      <c r="M65" s="320"/>
      <c r="O65" s="320"/>
      <c r="P65" s="320"/>
      <c r="S65" s="340"/>
      <c r="T65" s="340"/>
      <c r="U65" s="340"/>
      <c r="V65" s="340"/>
      <c r="W65" s="342"/>
      <c r="X65" s="381"/>
      <c r="AC65" s="352"/>
      <c r="AD65" s="352"/>
      <c r="AE65" s="381"/>
    </row>
    <row r="66" spans="1:31">
      <c r="A66" s="320"/>
      <c r="B66" s="64"/>
      <c r="C66" s="320"/>
      <c r="D66" s="320"/>
      <c r="L66" s="320"/>
      <c r="M66" s="320"/>
      <c r="O66" s="320"/>
      <c r="P66" s="320"/>
      <c r="S66" s="340"/>
      <c r="T66" s="340"/>
      <c r="U66" s="340"/>
      <c r="V66" s="340"/>
      <c r="W66" s="342"/>
      <c r="X66" s="381"/>
      <c r="AC66" s="381"/>
      <c r="AD66" s="381"/>
      <c r="AE66" s="381"/>
    </row>
    <row r="67" spans="1:31">
      <c r="A67" s="320"/>
      <c r="B67" s="64"/>
      <c r="C67" s="320"/>
      <c r="D67" s="320"/>
      <c r="L67" s="320"/>
      <c r="M67" s="320"/>
      <c r="O67" s="320"/>
      <c r="P67" s="320"/>
      <c r="S67" s="340"/>
      <c r="T67" s="340"/>
      <c r="U67" s="340"/>
      <c r="V67" s="340"/>
      <c r="W67" s="342"/>
      <c r="X67" s="381"/>
      <c r="Z67" s="377" t="s">
        <v>512</v>
      </c>
      <c r="AA67" s="377" t="s">
        <v>513</v>
      </c>
      <c r="AB67" s="344" t="s">
        <v>553</v>
      </c>
      <c r="AC67" s="381"/>
      <c r="AD67" s="381"/>
      <c r="AE67" s="381"/>
    </row>
    <row r="68" spans="1:31">
      <c r="A68" s="320"/>
      <c r="B68" s="64"/>
      <c r="C68" s="320"/>
      <c r="D68" s="320"/>
      <c r="E68" s="320"/>
      <c r="F68" s="64"/>
      <c r="G68" s="64"/>
      <c r="H68" s="64"/>
      <c r="I68" s="320"/>
      <c r="J68" s="320"/>
      <c r="K68" s="320"/>
      <c r="L68" s="320"/>
      <c r="M68" s="320"/>
      <c r="N68" s="320"/>
      <c r="O68" s="320"/>
      <c r="P68" s="320"/>
      <c r="S68" s="340"/>
      <c r="T68" s="340"/>
      <c r="U68" s="340"/>
      <c r="V68" s="340"/>
      <c r="W68" s="342"/>
      <c r="X68" s="381"/>
      <c r="Z68" s="61" t="s">
        <v>507</v>
      </c>
      <c r="AA68" s="61">
        <v>100</v>
      </c>
      <c r="AB68" s="62">
        <v>15</v>
      </c>
      <c r="AC68" s="381"/>
      <c r="AD68" s="381"/>
      <c r="AE68" s="381"/>
    </row>
    <row r="69" spans="1:31">
      <c r="B69" s="64"/>
      <c r="C69" s="320"/>
      <c r="D69" s="320"/>
      <c r="E69" s="320"/>
      <c r="F69" s="64"/>
      <c r="G69" s="64"/>
      <c r="H69" s="64"/>
      <c r="I69" s="320"/>
      <c r="J69" s="320"/>
      <c r="K69" s="320"/>
      <c r="L69" s="320"/>
      <c r="M69" s="320"/>
      <c r="N69" s="320"/>
      <c r="O69" s="320"/>
      <c r="P69" s="320"/>
      <c r="S69" s="340"/>
      <c r="T69" s="340"/>
      <c r="U69" s="340"/>
      <c r="V69" s="340"/>
      <c r="W69" s="342"/>
      <c r="X69" s="381"/>
      <c r="Y69" s="381"/>
      <c r="Z69" s="345" t="s">
        <v>508</v>
      </c>
      <c r="AA69" s="345">
        <v>150</v>
      </c>
      <c r="AB69" s="60">
        <v>16.3689</v>
      </c>
      <c r="AC69" s="381"/>
      <c r="AD69" s="381"/>
      <c r="AE69" s="381"/>
    </row>
    <row r="70" spans="1:31">
      <c r="B70" s="64"/>
      <c r="C70" s="320"/>
      <c r="D70" s="320"/>
      <c r="E70" s="320"/>
      <c r="F70" s="64"/>
      <c r="G70" s="64"/>
      <c r="H70" s="64"/>
      <c r="I70" s="320"/>
      <c r="J70" s="320"/>
      <c r="K70" s="320"/>
      <c r="L70" s="320"/>
      <c r="M70" s="320"/>
      <c r="N70" s="320"/>
      <c r="O70" s="320"/>
      <c r="P70" s="320"/>
      <c r="S70" s="340"/>
      <c r="T70" s="340"/>
      <c r="U70" s="340"/>
      <c r="V70" s="340"/>
      <c r="W70" s="342"/>
      <c r="X70" s="381"/>
      <c r="Y70" s="378"/>
      <c r="Z70" s="345" t="s">
        <v>509</v>
      </c>
      <c r="AA70" s="345">
        <v>200</v>
      </c>
      <c r="AB70" s="60">
        <v>16.746700000000001</v>
      </c>
      <c r="AC70" s="381"/>
      <c r="AD70" s="381"/>
      <c r="AE70" s="381"/>
    </row>
    <row r="71" spans="1:31">
      <c r="B71" s="64"/>
      <c r="C71" s="320"/>
      <c r="D71" s="320"/>
      <c r="E71" s="320"/>
      <c r="F71" s="64"/>
      <c r="G71" s="64"/>
      <c r="H71" s="64"/>
      <c r="I71" s="320"/>
      <c r="J71" s="320"/>
      <c r="K71" s="320"/>
      <c r="L71" s="320"/>
      <c r="M71" s="320"/>
      <c r="N71" s="320"/>
      <c r="O71" s="320"/>
      <c r="P71" s="320"/>
      <c r="S71" s="340"/>
      <c r="T71" s="340"/>
      <c r="U71" s="340"/>
      <c r="V71" s="340"/>
      <c r="W71" s="342"/>
      <c r="X71" s="381"/>
      <c r="Y71" s="378"/>
      <c r="Z71" s="345" t="s">
        <v>510</v>
      </c>
      <c r="AA71" s="345">
        <v>250</v>
      </c>
      <c r="AB71" s="60">
        <v>16.886600000000001</v>
      </c>
      <c r="AC71" s="381"/>
      <c r="AD71" s="381"/>
      <c r="AE71" s="381"/>
    </row>
    <row r="72" spans="1:31">
      <c r="B72" s="64"/>
      <c r="C72" s="320"/>
      <c r="D72" s="320"/>
      <c r="E72" s="320"/>
      <c r="F72" s="64"/>
      <c r="G72" s="64"/>
      <c r="H72" s="64"/>
      <c r="I72" s="320"/>
      <c r="J72" s="320"/>
      <c r="K72" s="320"/>
      <c r="L72" s="320"/>
      <c r="M72" s="320"/>
      <c r="N72" s="320"/>
      <c r="O72" s="320"/>
      <c r="P72" s="320"/>
      <c r="S72" s="340"/>
      <c r="T72" s="340"/>
      <c r="U72" s="342"/>
      <c r="V72" s="342"/>
      <c r="W72" s="342"/>
      <c r="X72" s="381"/>
      <c r="Y72" s="381"/>
      <c r="Z72" s="346" t="s">
        <v>511</v>
      </c>
      <c r="AA72" s="346">
        <v>400</v>
      </c>
      <c r="AB72" s="347">
        <v>17</v>
      </c>
      <c r="AC72" s="381"/>
      <c r="AD72" s="381"/>
      <c r="AE72" s="381"/>
    </row>
    <row r="73" spans="1:31">
      <c r="B73" s="64"/>
      <c r="C73" s="320"/>
      <c r="D73" s="320"/>
      <c r="E73" s="320"/>
      <c r="F73" s="64"/>
      <c r="G73" s="64"/>
      <c r="H73" s="64"/>
      <c r="I73" s="320"/>
      <c r="J73" s="320"/>
      <c r="K73" s="320"/>
      <c r="L73" s="320"/>
      <c r="M73" s="320"/>
      <c r="N73" s="320"/>
      <c r="O73" s="320"/>
      <c r="P73" s="320"/>
      <c r="S73" s="342"/>
      <c r="T73" s="342"/>
      <c r="U73" s="342"/>
      <c r="V73" s="342"/>
      <c r="W73" s="342"/>
      <c r="X73" s="381"/>
      <c r="Y73" s="381"/>
      <c r="Z73" s="381"/>
      <c r="AA73" s="381"/>
      <c r="AC73" s="381"/>
      <c r="AD73" s="381"/>
      <c r="AE73" s="381"/>
    </row>
    <row r="74" spans="1:31">
      <c r="B74" s="64"/>
      <c r="C74" s="320"/>
      <c r="D74" s="320"/>
      <c r="E74" s="320"/>
      <c r="F74" s="64"/>
      <c r="G74" s="64"/>
      <c r="H74" s="64"/>
      <c r="I74" s="320"/>
      <c r="J74" s="320"/>
      <c r="K74" s="320"/>
      <c r="L74" s="320"/>
      <c r="M74" s="320"/>
      <c r="N74" s="320"/>
      <c r="O74" s="320"/>
      <c r="P74" s="320"/>
      <c r="S74" s="342"/>
      <c r="T74" s="340"/>
      <c r="U74" s="342"/>
      <c r="V74" s="342"/>
      <c r="W74" s="342"/>
      <c r="X74" s="381"/>
      <c r="Y74" s="381"/>
      <c r="Z74" s="381"/>
      <c r="AA74" s="381"/>
      <c r="AC74" s="381"/>
      <c r="AD74" s="381"/>
      <c r="AE74" s="381"/>
    </row>
    <row r="75" spans="1:31">
      <c r="B75" s="64"/>
      <c r="C75" s="320"/>
      <c r="D75" s="320"/>
      <c r="E75" s="320"/>
      <c r="F75" s="64"/>
      <c r="G75" s="64"/>
      <c r="H75" s="64"/>
      <c r="I75" s="320"/>
      <c r="J75" s="320"/>
      <c r="K75" s="320"/>
      <c r="L75" s="320"/>
      <c r="M75" s="320"/>
      <c r="N75" s="320"/>
      <c r="O75" s="320"/>
      <c r="P75" s="320"/>
      <c r="S75" s="342"/>
      <c r="T75" s="340"/>
      <c r="U75" s="342"/>
      <c r="V75" s="342"/>
      <c r="W75" s="342"/>
      <c r="X75" s="381"/>
      <c r="Y75" s="18"/>
      <c r="Z75" s="18"/>
      <c r="AA75" s="381"/>
      <c r="AC75" s="381"/>
      <c r="AD75" s="381"/>
      <c r="AE75" s="381"/>
    </row>
    <row r="76" spans="1:31">
      <c r="B76" s="64"/>
      <c r="C76" s="320"/>
      <c r="D76" s="320"/>
      <c r="E76" s="320"/>
      <c r="F76" s="64"/>
      <c r="G76" s="64"/>
      <c r="H76" s="64"/>
      <c r="I76" s="320"/>
      <c r="J76" s="320"/>
      <c r="K76" s="320"/>
      <c r="L76" s="320"/>
      <c r="M76" s="320"/>
      <c r="N76" s="320"/>
      <c r="O76" s="320"/>
      <c r="P76" s="320"/>
      <c r="S76" s="342"/>
      <c r="T76" s="342"/>
      <c r="U76" s="342"/>
      <c r="V76" s="342"/>
      <c r="W76" s="342"/>
      <c r="X76" s="381"/>
      <c r="Y76" s="381"/>
      <c r="Z76" s="381"/>
      <c r="AC76" s="381"/>
      <c r="AD76" s="381"/>
      <c r="AE76" s="381"/>
    </row>
    <row r="77" spans="1:31">
      <c r="B77" s="64"/>
      <c r="C77" s="320"/>
      <c r="D77" s="320"/>
      <c r="E77" s="320"/>
      <c r="F77" s="64"/>
      <c r="G77" s="64"/>
      <c r="H77" s="64"/>
      <c r="I77" s="320"/>
      <c r="J77" s="320"/>
      <c r="K77" s="320"/>
      <c r="L77" s="320"/>
      <c r="M77" s="320"/>
      <c r="N77" s="320"/>
      <c r="O77" s="320"/>
      <c r="P77" s="320"/>
      <c r="R77" s="378"/>
      <c r="S77" s="342"/>
      <c r="T77" s="342"/>
      <c r="U77" s="342"/>
      <c r="V77" s="342"/>
      <c r="W77" s="342"/>
      <c r="X77" s="379"/>
      <c r="Y77" s="381"/>
      <c r="Z77" s="381"/>
      <c r="AC77" s="381"/>
      <c r="AD77" s="381"/>
      <c r="AE77" s="381"/>
    </row>
    <row r="78" spans="1:31">
      <c r="B78" s="64"/>
      <c r="C78" s="320"/>
      <c r="D78" s="320"/>
      <c r="E78" s="320"/>
      <c r="F78" s="64"/>
      <c r="G78" s="64"/>
      <c r="H78" s="64"/>
      <c r="I78" s="320"/>
      <c r="J78" s="320"/>
      <c r="K78" s="320"/>
      <c r="L78" s="320"/>
      <c r="M78" s="320"/>
      <c r="N78" s="320"/>
      <c r="O78" s="320"/>
      <c r="P78" s="320"/>
      <c r="R78" s="378"/>
      <c r="V78" s="381"/>
      <c r="W78" s="381"/>
      <c r="X78" s="378"/>
      <c r="Y78" s="381"/>
      <c r="Z78" s="381"/>
      <c r="AC78" s="381"/>
      <c r="AD78" s="381"/>
      <c r="AE78" s="381"/>
    </row>
    <row r="79" spans="1:31">
      <c r="B79" s="64"/>
      <c r="C79" s="320"/>
      <c r="D79" s="320"/>
      <c r="E79" s="320"/>
      <c r="F79" s="64"/>
      <c r="G79" s="64"/>
      <c r="H79" s="64"/>
      <c r="I79" s="320"/>
      <c r="J79" s="320"/>
      <c r="K79" s="320"/>
      <c r="L79" s="320"/>
      <c r="M79" s="320"/>
      <c r="N79" s="320"/>
      <c r="O79" s="320"/>
      <c r="P79" s="320"/>
      <c r="R79" s="378"/>
      <c r="V79" s="381"/>
      <c r="W79" s="381"/>
      <c r="X79" s="378"/>
      <c r="Y79" s="381"/>
      <c r="Z79" s="381"/>
      <c r="AC79" s="320"/>
      <c r="AD79" s="320"/>
    </row>
    <row r="80" spans="1:31">
      <c r="B80" s="64"/>
      <c r="C80" s="320"/>
      <c r="D80" s="320"/>
      <c r="E80" s="320"/>
      <c r="F80" s="64"/>
      <c r="G80" s="64"/>
      <c r="H80" s="64"/>
      <c r="I80" s="320"/>
      <c r="J80" s="320"/>
      <c r="K80" s="320"/>
      <c r="L80" s="320"/>
      <c r="M80" s="320"/>
      <c r="N80" s="320"/>
      <c r="O80" s="320"/>
      <c r="P80" s="320"/>
      <c r="V80" s="381"/>
      <c r="W80" s="381"/>
      <c r="X80" s="381"/>
      <c r="Z80" s="380"/>
      <c r="AC80" s="380"/>
      <c r="AD80" s="380"/>
    </row>
    <row r="81" spans="2:33">
      <c r="B81" s="64"/>
      <c r="C81" s="320"/>
      <c r="D81" s="320"/>
      <c r="E81" s="320"/>
      <c r="F81" s="64"/>
      <c r="G81" s="64"/>
      <c r="H81" s="64"/>
      <c r="I81" s="320"/>
      <c r="J81" s="320"/>
      <c r="K81" s="320"/>
      <c r="L81" s="320"/>
      <c r="M81" s="320"/>
      <c r="N81" s="320"/>
      <c r="O81" s="320"/>
      <c r="P81" s="320"/>
      <c r="T81" s="18"/>
      <c r="V81" s="381"/>
      <c r="W81" s="381"/>
      <c r="X81" s="381"/>
      <c r="Z81" s="320"/>
      <c r="AA81" s="320"/>
      <c r="AC81" s="320"/>
      <c r="AD81" s="320"/>
    </row>
    <row r="82" spans="2:33">
      <c r="B82" s="64"/>
      <c r="C82" s="320"/>
      <c r="D82" s="320"/>
      <c r="E82" s="320"/>
      <c r="F82" s="64"/>
      <c r="G82" s="64"/>
      <c r="H82" s="64"/>
      <c r="I82" s="320"/>
      <c r="J82" s="320"/>
      <c r="K82" s="320"/>
      <c r="L82" s="320"/>
      <c r="M82" s="320"/>
      <c r="N82" s="320"/>
      <c r="O82" s="320"/>
      <c r="P82" s="320"/>
      <c r="R82" s="520" t="s">
        <v>572</v>
      </c>
      <c r="S82" s="521"/>
      <c r="T82" s="521"/>
      <c r="U82" s="521"/>
      <c r="V82" s="544"/>
      <c r="W82" s="545"/>
      <c r="X82" s="164"/>
      <c r="Z82" s="368"/>
    </row>
    <row r="83" spans="2:33">
      <c r="B83" s="64"/>
      <c r="C83" s="320"/>
      <c r="D83" s="320"/>
      <c r="E83" s="320"/>
      <c r="F83" s="64"/>
      <c r="G83" s="64"/>
      <c r="H83" s="64"/>
      <c r="I83" s="320"/>
      <c r="J83" s="320"/>
      <c r="K83" s="320"/>
      <c r="L83" s="320"/>
      <c r="M83" s="320"/>
      <c r="N83" s="320"/>
      <c r="O83" s="320"/>
      <c r="P83" s="320"/>
      <c r="R83" s="336" t="s">
        <v>506</v>
      </c>
      <c r="S83" s="391" t="s">
        <v>507</v>
      </c>
      <c r="T83" s="338" t="s">
        <v>508</v>
      </c>
      <c r="U83" s="338" t="s">
        <v>509</v>
      </c>
      <c r="V83" s="338" t="s">
        <v>510</v>
      </c>
      <c r="W83" s="339" t="s">
        <v>558</v>
      </c>
      <c r="X83" s="339" t="s">
        <v>417</v>
      </c>
      <c r="Z83" s="367"/>
    </row>
    <row r="84" spans="2:33">
      <c r="B84" s="64"/>
      <c r="C84" s="320"/>
      <c r="D84" s="320"/>
      <c r="E84" s="320"/>
      <c r="F84" s="64"/>
      <c r="G84" s="64"/>
      <c r="H84" s="64"/>
      <c r="I84" s="320"/>
      <c r="J84" s="320"/>
      <c r="K84" s="320"/>
      <c r="L84" s="320"/>
      <c r="M84" s="320"/>
      <c r="N84" s="320"/>
      <c r="O84" s="320"/>
      <c r="P84" s="320"/>
      <c r="R84" s="343" t="s">
        <v>84</v>
      </c>
      <c r="S84" s="340">
        <v>0</v>
      </c>
      <c r="T84" s="340">
        <v>0</v>
      </c>
      <c r="U84" s="340">
        <v>0</v>
      </c>
      <c r="V84" s="340">
        <v>0</v>
      </c>
      <c r="W84" s="342">
        <v>0</v>
      </c>
      <c r="X84" s="343">
        <f>SUM(S84:W84)</f>
        <v>0</v>
      </c>
      <c r="Z84" s="381"/>
    </row>
    <row r="85" spans="2:33">
      <c r="B85" s="64"/>
      <c r="C85" s="320"/>
      <c r="D85" s="320"/>
      <c r="E85" s="320"/>
      <c r="F85" s="64"/>
      <c r="G85" s="64"/>
      <c r="H85" s="64"/>
      <c r="I85" s="320"/>
      <c r="J85" s="320"/>
      <c r="K85" s="320"/>
      <c r="L85" s="320"/>
      <c r="M85" s="320"/>
      <c r="N85" s="320"/>
      <c r="O85" s="320"/>
      <c r="P85" s="320"/>
      <c r="R85" s="60" t="s">
        <v>85</v>
      </c>
      <c r="S85" s="340">
        <v>0</v>
      </c>
      <c r="T85" s="340">
        <v>0</v>
      </c>
      <c r="U85" s="340">
        <v>0</v>
      </c>
      <c r="V85" s="340">
        <v>0</v>
      </c>
      <c r="W85" s="342">
        <v>0</v>
      </c>
      <c r="X85" s="60">
        <f t="shared" ref="X85:X95" si="10">SUM(S85:W85)</f>
        <v>0</v>
      </c>
      <c r="Z85" s="381"/>
    </row>
    <row r="86" spans="2:33">
      <c r="B86" s="64"/>
      <c r="C86" s="320"/>
      <c r="D86" s="320"/>
      <c r="E86" s="320"/>
      <c r="F86" s="64"/>
      <c r="G86" s="64"/>
      <c r="H86" s="64"/>
      <c r="I86" s="320"/>
      <c r="J86" s="320"/>
      <c r="K86" s="320"/>
      <c r="L86" s="320"/>
      <c r="M86" s="320"/>
      <c r="N86" s="320"/>
      <c r="O86" s="320"/>
      <c r="P86" s="320"/>
      <c r="R86" s="60" t="s">
        <v>86</v>
      </c>
      <c r="S86" s="340">
        <v>0</v>
      </c>
      <c r="T86" s="340">
        <v>0</v>
      </c>
      <c r="U86" s="340">
        <v>0</v>
      </c>
      <c r="V86" s="340">
        <v>0</v>
      </c>
      <c r="W86" s="342">
        <v>0</v>
      </c>
      <c r="X86" s="60">
        <f t="shared" si="10"/>
        <v>0</v>
      </c>
      <c r="Z86" s="381"/>
    </row>
    <row r="87" spans="2:33">
      <c r="B87" s="64"/>
      <c r="C87" s="320"/>
      <c r="D87" s="320"/>
      <c r="E87" s="320"/>
      <c r="F87" s="64"/>
      <c r="G87" s="64"/>
      <c r="H87" s="64"/>
      <c r="I87" s="320"/>
      <c r="J87" s="320"/>
      <c r="K87" s="320"/>
      <c r="L87" s="320"/>
      <c r="M87" s="320"/>
      <c r="N87" s="320"/>
      <c r="O87" s="320"/>
      <c r="P87" s="320"/>
      <c r="R87" s="60" t="s">
        <v>87</v>
      </c>
      <c r="S87" s="340">
        <v>1</v>
      </c>
      <c r="T87" s="340">
        <v>1</v>
      </c>
      <c r="U87" s="340">
        <v>0</v>
      </c>
      <c r="V87" s="340">
        <v>0</v>
      </c>
      <c r="W87" s="342">
        <v>0</v>
      </c>
      <c r="X87" s="60">
        <f t="shared" si="10"/>
        <v>2</v>
      </c>
      <c r="Z87" s="381"/>
      <c r="AA87" s="409"/>
      <c r="AB87" s="409"/>
    </row>
    <row r="88" spans="2:33">
      <c r="B88" s="64"/>
      <c r="C88" s="320"/>
      <c r="D88" s="320"/>
      <c r="E88" s="320"/>
      <c r="F88" s="64"/>
      <c r="G88" s="64"/>
      <c r="H88" s="64"/>
      <c r="I88" s="320"/>
      <c r="J88" s="320"/>
      <c r="K88" s="320"/>
      <c r="L88" s="320"/>
      <c r="M88" s="320"/>
      <c r="N88" s="320"/>
      <c r="O88" s="320"/>
      <c r="P88" s="320"/>
      <c r="R88" s="60" t="s">
        <v>88</v>
      </c>
      <c r="S88" s="340">
        <v>1</v>
      </c>
      <c r="T88" s="340">
        <v>0</v>
      </c>
      <c r="U88" s="340">
        <v>0</v>
      </c>
      <c r="V88" s="340">
        <v>0</v>
      </c>
      <c r="W88" s="342">
        <v>0</v>
      </c>
      <c r="X88" s="60">
        <f t="shared" si="10"/>
        <v>1</v>
      </c>
      <c r="Z88" s="381"/>
      <c r="AA88" s="406" t="s">
        <v>512</v>
      </c>
      <c r="AB88" s="406" t="s">
        <v>513</v>
      </c>
      <c r="AC88" s="344" t="s">
        <v>514</v>
      </c>
    </row>
    <row r="89" spans="2:33">
      <c r="B89" s="64"/>
      <c r="C89" s="320"/>
      <c r="D89" s="320"/>
      <c r="E89" s="320"/>
      <c r="F89" s="64"/>
      <c r="G89" s="64"/>
      <c r="H89" s="64"/>
      <c r="I89" s="320"/>
      <c r="J89" s="320"/>
      <c r="K89" s="320"/>
      <c r="L89" s="320"/>
      <c r="M89" s="320"/>
      <c r="N89" s="320"/>
      <c r="O89" s="320"/>
      <c r="P89" s="320"/>
      <c r="R89" s="60" t="s">
        <v>89</v>
      </c>
      <c r="S89" s="340">
        <v>0</v>
      </c>
      <c r="T89" s="340">
        <v>0</v>
      </c>
      <c r="U89" s="340">
        <v>0</v>
      </c>
      <c r="V89" s="340">
        <v>0</v>
      </c>
      <c r="W89" s="342">
        <v>0</v>
      </c>
      <c r="X89" s="60">
        <f t="shared" si="10"/>
        <v>0</v>
      </c>
      <c r="Z89" s="381"/>
      <c r="AA89" s="61" t="s">
        <v>507</v>
      </c>
      <c r="AB89" s="61">
        <v>100</v>
      </c>
      <c r="AC89" s="416">
        <v>15</v>
      </c>
    </row>
    <row r="90" spans="2:33">
      <c r="B90" s="64"/>
      <c r="C90" s="320"/>
      <c r="D90" s="320"/>
      <c r="E90" s="320"/>
      <c r="F90" s="64"/>
      <c r="G90" s="64"/>
      <c r="H90" s="64"/>
      <c r="I90" s="320"/>
      <c r="J90" s="320"/>
      <c r="K90" s="320"/>
      <c r="L90" s="320"/>
      <c r="M90" s="320"/>
      <c r="N90" s="320"/>
      <c r="O90" s="320"/>
      <c r="P90" s="320"/>
      <c r="R90" s="60" t="s">
        <v>90</v>
      </c>
      <c r="S90" s="340">
        <v>1</v>
      </c>
      <c r="T90" s="340">
        <v>0</v>
      </c>
      <c r="U90" s="340">
        <v>0</v>
      </c>
      <c r="V90" s="340">
        <v>0</v>
      </c>
      <c r="W90" s="342">
        <v>0</v>
      </c>
      <c r="X90" s="60">
        <f t="shared" si="10"/>
        <v>1</v>
      </c>
      <c r="Z90" s="381"/>
      <c r="AA90" s="345" t="s">
        <v>508</v>
      </c>
      <c r="AB90" s="345">
        <v>150</v>
      </c>
      <c r="AC90" s="417">
        <v>16.3689</v>
      </c>
    </row>
    <row r="91" spans="2:33">
      <c r="B91" s="64"/>
      <c r="C91" s="320"/>
      <c r="D91" s="320"/>
      <c r="E91" s="320"/>
      <c r="F91" s="64"/>
      <c r="G91" s="64"/>
      <c r="H91" s="64"/>
      <c r="I91" s="320"/>
      <c r="J91" s="320"/>
      <c r="K91" s="320"/>
      <c r="L91" s="320"/>
      <c r="M91" s="320"/>
      <c r="N91" s="320"/>
      <c r="O91" s="320"/>
      <c r="P91" s="320"/>
      <c r="R91" s="60" t="s">
        <v>91</v>
      </c>
      <c r="S91" s="340">
        <v>0</v>
      </c>
      <c r="T91" s="340">
        <v>0</v>
      </c>
      <c r="U91" s="342">
        <v>0</v>
      </c>
      <c r="V91" s="342">
        <v>0</v>
      </c>
      <c r="W91" s="342">
        <v>0</v>
      </c>
      <c r="X91" s="60">
        <f t="shared" si="10"/>
        <v>0</v>
      </c>
      <c r="Z91" s="381"/>
      <c r="AA91" s="345" t="s">
        <v>509</v>
      </c>
      <c r="AB91" s="345">
        <v>200</v>
      </c>
      <c r="AC91" s="417">
        <v>16.746700000000001</v>
      </c>
    </row>
    <row r="92" spans="2:33">
      <c r="B92" s="64"/>
      <c r="C92" s="320"/>
      <c r="D92" s="320"/>
      <c r="E92" s="320"/>
      <c r="F92" s="64"/>
      <c r="G92" s="64"/>
      <c r="H92" s="64"/>
      <c r="I92" s="320"/>
      <c r="J92" s="320"/>
      <c r="K92" s="320"/>
      <c r="L92" s="320"/>
      <c r="M92" s="320"/>
      <c r="N92" s="320"/>
      <c r="O92" s="320"/>
      <c r="P92" s="320"/>
      <c r="R92" s="60" t="s">
        <v>92</v>
      </c>
      <c r="S92" s="342">
        <v>0</v>
      </c>
      <c r="T92" s="342">
        <v>0</v>
      </c>
      <c r="U92" s="342">
        <v>0</v>
      </c>
      <c r="V92" s="342">
        <v>0</v>
      </c>
      <c r="W92" s="342">
        <v>0</v>
      </c>
      <c r="X92" s="60">
        <f t="shared" si="10"/>
        <v>0</v>
      </c>
      <c r="Z92" s="381"/>
      <c r="AA92" s="345" t="s">
        <v>510</v>
      </c>
      <c r="AB92" s="345">
        <v>250</v>
      </c>
      <c r="AC92" s="417">
        <v>16.886600000000001</v>
      </c>
    </row>
    <row r="93" spans="2:33">
      <c r="B93" s="64"/>
      <c r="C93" s="320"/>
      <c r="D93" s="320"/>
      <c r="E93" s="320"/>
      <c r="F93" s="64"/>
      <c r="G93" s="64"/>
      <c r="H93" s="64"/>
      <c r="I93" s="320"/>
      <c r="J93" s="320"/>
      <c r="K93" s="320"/>
      <c r="L93" s="320"/>
      <c r="M93" s="320"/>
      <c r="N93" s="320"/>
      <c r="O93" s="320"/>
      <c r="P93" s="320"/>
      <c r="R93" s="60" t="s">
        <v>93</v>
      </c>
      <c r="S93" s="342">
        <v>0</v>
      </c>
      <c r="T93" s="340">
        <v>1</v>
      </c>
      <c r="U93" s="342">
        <v>0</v>
      </c>
      <c r="V93" s="342">
        <v>0</v>
      </c>
      <c r="W93" s="342">
        <v>0</v>
      </c>
      <c r="X93" s="60">
        <f t="shared" si="10"/>
        <v>1</v>
      </c>
      <c r="Z93" s="381"/>
      <c r="AA93" s="346" t="s">
        <v>558</v>
      </c>
      <c r="AB93" s="346">
        <v>300</v>
      </c>
      <c r="AC93" s="418">
        <v>17</v>
      </c>
    </row>
    <row r="94" spans="2:33">
      <c r="B94" s="64"/>
      <c r="C94" s="320"/>
      <c r="D94" s="320"/>
      <c r="E94" s="320"/>
      <c r="F94" s="64"/>
      <c r="G94" s="64"/>
      <c r="H94" s="64"/>
      <c r="I94" s="320"/>
      <c r="J94" s="320"/>
      <c r="K94" s="320"/>
      <c r="L94" s="320"/>
      <c r="M94" s="320"/>
      <c r="N94" s="320"/>
      <c r="O94" s="320"/>
      <c r="P94" s="320"/>
      <c r="R94" s="60" t="s">
        <v>94</v>
      </c>
      <c r="S94" s="342">
        <v>2</v>
      </c>
      <c r="T94" s="340">
        <v>0</v>
      </c>
      <c r="U94" s="342">
        <v>0</v>
      </c>
      <c r="V94" s="342">
        <v>0</v>
      </c>
      <c r="W94" s="342">
        <v>0</v>
      </c>
      <c r="X94" s="60">
        <f t="shared" si="10"/>
        <v>2</v>
      </c>
      <c r="Z94" s="381"/>
    </row>
    <row r="95" spans="2:33">
      <c r="B95" s="64"/>
      <c r="C95" s="320"/>
      <c r="D95" s="320"/>
      <c r="E95" s="320"/>
      <c r="F95" s="64"/>
      <c r="G95" s="64"/>
      <c r="H95" s="64"/>
      <c r="I95" s="320"/>
      <c r="J95" s="320"/>
      <c r="K95" s="320"/>
      <c r="L95" s="320"/>
      <c r="M95" s="320"/>
      <c r="N95" s="320"/>
      <c r="O95" s="320"/>
      <c r="P95" s="320"/>
      <c r="R95" s="347" t="s">
        <v>505</v>
      </c>
      <c r="S95" s="348">
        <v>0</v>
      </c>
      <c r="T95" s="348">
        <v>0</v>
      </c>
      <c r="U95" s="348">
        <v>0</v>
      </c>
      <c r="V95" s="342">
        <v>0</v>
      </c>
      <c r="W95" s="342">
        <v>0</v>
      </c>
      <c r="X95" s="347">
        <f t="shared" si="10"/>
        <v>0</v>
      </c>
      <c r="Z95" s="381"/>
    </row>
    <row r="96" spans="2:33">
      <c r="B96" s="64"/>
      <c r="C96" s="320"/>
      <c r="D96" s="320"/>
      <c r="E96" s="320"/>
      <c r="F96" s="64"/>
      <c r="G96" s="64"/>
      <c r="H96" s="64"/>
      <c r="I96" s="320"/>
      <c r="J96" s="320"/>
      <c r="K96" s="320"/>
      <c r="L96" s="320"/>
      <c r="M96" s="320"/>
      <c r="N96" s="320"/>
      <c r="O96" s="320"/>
      <c r="P96" s="320"/>
      <c r="R96" s="391" t="s">
        <v>515</v>
      </c>
      <c r="S96" s="349">
        <f t="shared" ref="S96:X96" si="11">SUM(S84:S95)</f>
        <v>5</v>
      </c>
      <c r="T96" s="349">
        <f t="shared" si="11"/>
        <v>2</v>
      </c>
      <c r="U96" s="349">
        <f t="shared" si="11"/>
        <v>0</v>
      </c>
      <c r="V96" s="349">
        <f t="shared" si="11"/>
        <v>0</v>
      </c>
      <c r="W96" s="349">
        <f t="shared" si="11"/>
        <v>0</v>
      </c>
      <c r="X96" s="350">
        <f t="shared" si="11"/>
        <v>7</v>
      </c>
      <c r="Z96" s="378"/>
      <c r="AA96" s="520" t="s">
        <v>571</v>
      </c>
      <c r="AB96" s="521"/>
      <c r="AC96" s="521"/>
      <c r="AD96" s="521"/>
      <c r="AE96" s="521"/>
      <c r="AF96" s="522"/>
      <c r="AG96" s="164"/>
    </row>
    <row r="97" spans="2:33">
      <c r="B97" s="64"/>
      <c r="C97" s="320"/>
      <c r="D97" s="320"/>
      <c r="E97" s="320"/>
      <c r="F97" s="64"/>
      <c r="G97" s="64"/>
      <c r="H97" s="64"/>
      <c r="I97" s="320"/>
      <c r="J97" s="320"/>
      <c r="K97" s="320"/>
      <c r="L97" s="320"/>
      <c r="M97" s="320"/>
      <c r="N97" s="320"/>
      <c r="O97" s="320"/>
      <c r="P97" s="320"/>
      <c r="R97" s="391" t="s">
        <v>514</v>
      </c>
      <c r="S97" s="351">
        <f>PRODUCT(S96*AB68)</f>
        <v>75</v>
      </c>
      <c r="T97" s="414">
        <f>PRODUCT(T96,AB69)</f>
        <v>32.7378</v>
      </c>
      <c r="U97" s="414">
        <f>PRODUCT(U96,AB70)</f>
        <v>0</v>
      </c>
      <c r="V97" s="414">
        <f>PRODUCT(V96,AB71)</f>
        <v>0</v>
      </c>
      <c r="W97" s="414">
        <f>PRODUCT(W96,AB72)</f>
        <v>0</v>
      </c>
      <c r="X97" s="415">
        <f>SUM(S97:W97)</f>
        <v>107.73779999999999</v>
      </c>
      <c r="Z97" s="378"/>
      <c r="AA97" s="336" t="s">
        <v>506</v>
      </c>
      <c r="AB97" s="338" t="s">
        <v>507</v>
      </c>
      <c r="AC97" s="338" t="s">
        <v>508</v>
      </c>
      <c r="AD97" s="338" t="s">
        <v>509</v>
      </c>
      <c r="AE97" s="338" t="s">
        <v>510</v>
      </c>
      <c r="AF97" s="339" t="s">
        <v>558</v>
      </c>
      <c r="AG97" s="312" t="s">
        <v>417</v>
      </c>
    </row>
    <row r="98" spans="2:33">
      <c r="B98" s="64"/>
      <c r="C98" s="320"/>
      <c r="D98" s="320"/>
      <c r="E98" s="320"/>
      <c r="F98" s="64"/>
      <c r="G98" s="64"/>
      <c r="H98" s="64"/>
      <c r="I98" s="320"/>
      <c r="J98" s="320"/>
      <c r="K98" s="320"/>
      <c r="L98" s="320"/>
      <c r="M98" s="320"/>
      <c r="N98" s="320"/>
      <c r="O98" s="320"/>
      <c r="P98" s="320"/>
      <c r="R98" s="391" t="s">
        <v>513</v>
      </c>
      <c r="S98" s="351">
        <f>S96*AA68</f>
        <v>500</v>
      </c>
      <c r="T98" s="351">
        <f>T96*AA69</f>
        <v>300</v>
      </c>
      <c r="U98" s="351">
        <f>U96*AA70</f>
        <v>0</v>
      </c>
      <c r="V98" s="351">
        <f>V96*AA71</f>
        <v>0</v>
      </c>
      <c r="W98" s="351">
        <f>W96*AA72</f>
        <v>0</v>
      </c>
      <c r="X98" s="312">
        <f>SUM(S98:W98)</f>
        <v>800</v>
      </c>
      <c r="Z98" s="378"/>
      <c r="AA98" s="60" t="s">
        <v>84</v>
      </c>
      <c r="AB98" s="342">
        <f>S84+S104</f>
        <v>0</v>
      </c>
      <c r="AC98" s="342">
        <f t="shared" ref="AC98:AF109" si="12">T84+T104</f>
        <v>8</v>
      </c>
      <c r="AD98" s="342">
        <f t="shared" si="12"/>
        <v>3</v>
      </c>
      <c r="AE98" s="342">
        <f t="shared" si="12"/>
        <v>2</v>
      </c>
      <c r="AF98" s="342">
        <f t="shared" si="12"/>
        <v>0</v>
      </c>
      <c r="AG98" s="343">
        <f>SUM(AB98:AF98)</f>
        <v>13</v>
      </c>
    </row>
    <row r="99" spans="2:33">
      <c r="B99" s="64"/>
      <c r="C99" s="320"/>
      <c r="D99" s="320"/>
      <c r="E99" s="320"/>
      <c r="F99" s="64"/>
      <c r="G99" s="64"/>
      <c r="H99" s="64"/>
      <c r="I99" s="320"/>
      <c r="J99" s="320"/>
      <c r="K99" s="320"/>
      <c r="L99" s="320"/>
      <c r="M99" s="320"/>
      <c r="N99" s="320"/>
      <c r="O99" s="320"/>
      <c r="P99" s="320"/>
      <c r="Z99" s="381"/>
      <c r="AA99" s="60" t="s">
        <v>85</v>
      </c>
      <c r="AB99" s="342">
        <f t="shared" ref="AB99:AB109" si="13">S85+S105</f>
        <v>0</v>
      </c>
      <c r="AC99" s="342">
        <f t="shared" si="12"/>
        <v>11</v>
      </c>
      <c r="AD99" s="342">
        <f t="shared" si="12"/>
        <v>6</v>
      </c>
      <c r="AE99" s="342">
        <f t="shared" si="12"/>
        <v>0</v>
      </c>
      <c r="AF99" s="342">
        <f t="shared" si="12"/>
        <v>4</v>
      </c>
      <c r="AG99" s="60">
        <f t="shared" ref="AG99:AG109" si="14">SUM(AB99:AF99)</f>
        <v>21</v>
      </c>
    </row>
    <row r="100" spans="2:33">
      <c r="B100" s="64"/>
      <c r="C100" s="320"/>
      <c r="D100" s="320"/>
      <c r="E100" s="320"/>
      <c r="F100" s="64"/>
      <c r="G100" s="64"/>
      <c r="H100" s="64"/>
      <c r="I100" s="320"/>
      <c r="J100" s="320"/>
      <c r="K100" s="320"/>
      <c r="L100" s="320"/>
      <c r="M100" s="320"/>
      <c r="N100" s="320"/>
      <c r="O100" s="320"/>
      <c r="P100" s="320"/>
      <c r="AA100" s="60" t="s">
        <v>86</v>
      </c>
      <c r="AB100" s="342">
        <f t="shared" si="13"/>
        <v>0</v>
      </c>
      <c r="AC100" s="342">
        <f t="shared" si="12"/>
        <v>0</v>
      </c>
      <c r="AD100" s="342">
        <f t="shared" si="12"/>
        <v>4</v>
      </c>
      <c r="AE100" s="342">
        <f t="shared" si="12"/>
        <v>0</v>
      </c>
      <c r="AF100" s="342">
        <f t="shared" si="12"/>
        <v>2</v>
      </c>
      <c r="AG100" s="60">
        <f t="shared" si="14"/>
        <v>6</v>
      </c>
    </row>
    <row r="101" spans="2:33">
      <c r="B101" s="64"/>
      <c r="C101" s="320"/>
      <c r="D101" s="320"/>
      <c r="E101" s="320"/>
      <c r="F101" s="64"/>
      <c r="G101" s="64"/>
      <c r="H101" s="64"/>
      <c r="I101" s="320"/>
      <c r="J101" s="320"/>
      <c r="K101" s="320"/>
      <c r="L101" s="320"/>
      <c r="M101" s="320"/>
      <c r="N101" s="320"/>
      <c r="O101" s="320"/>
      <c r="P101" s="320"/>
      <c r="AA101" s="60" t="s">
        <v>87</v>
      </c>
      <c r="AB101" s="342">
        <f t="shared" si="13"/>
        <v>1</v>
      </c>
      <c r="AC101" s="342">
        <f t="shared" si="12"/>
        <v>21</v>
      </c>
      <c r="AD101" s="342">
        <f t="shared" si="12"/>
        <v>27</v>
      </c>
      <c r="AE101" s="342">
        <f t="shared" si="12"/>
        <v>15</v>
      </c>
      <c r="AF101" s="342">
        <f t="shared" si="12"/>
        <v>0</v>
      </c>
      <c r="AG101" s="60">
        <f t="shared" si="14"/>
        <v>64</v>
      </c>
    </row>
    <row r="102" spans="2:33">
      <c r="B102" s="64"/>
      <c r="C102" s="320"/>
      <c r="D102" s="320"/>
      <c r="E102" s="320"/>
      <c r="F102" s="64"/>
      <c r="G102" s="64"/>
      <c r="H102" s="64"/>
      <c r="I102" s="320"/>
      <c r="J102" s="320"/>
      <c r="K102" s="320"/>
      <c r="L102" s="320"/>
      <c r="M102" s="320"/>
      <c r="N102" s="320"/>
      <c r="O102" s="320"/>
      <c r="P102" s="320"/>
      <c r="R102" s="520" t="s">
        <v>570</v>
      </c>
      <c r="S102" s="521"/>
      <c r="T102" s="521"/>
      <c r="U102" s="521"/>
      <c r="V102" s="521"/>
      <c r="W102" s="522"/>
      <c r="X102" s="164"/>
      <c r="AA102" s="60" t="s">
        <v>88</v>
      </c>
      <c r="AB102" s="342">
        <f t="shared" si="13"/>
        <v>1</v>
      </c>
      <c r="AC102" s="342">
        <f t="shared" si="12"/>
        <v>0</v>
      </c>
      <c r="AD102" s="342">
        <f t="shared" si="12"/>
        <v>13</v>
      </c>
      <c r="AE102" s="342">
        <f t="shared" si="12"/>
        <v>1</v>
      </c>
      <c r="AF102" s="342">
        <f t="shared" si="12"/>
        <v>0</v>
      </c>
      <c r="AG102" s="60">
        <f t="shared" si="14"/>
        <v>15</v>
      </c>
    </row>
    <row r="103" spans="2:33">
      <c r="B103" s="64"/>
      <c r="C103" s="320"/>
      <c r="D103" s="320"/>
      <c r="E103" s="320"/>
      <c r="F103" s="64"/>
      <c r="G103" s="64"/>
      <c r="H103" s="64"/>
      <c r="I103" s="320"/>
      <c r="J103" s="320"/>
      <c r="K103" s="320"/>
      <c r="L103" s="320"/>
      <c r="M103" s="320"/>
      <c r="N103" s="320"/>
      <c r="O103" s="320"/>
      <c r="P103" s="320"/>
      <c r="R103" s="336" t="s">
        <v>506</v>
      </c>
      <c r="S103" s="338" t="s">
        <v>507</v>
      </c>
      <c r="T103" s="338" t="s">
        <v>508</v>
      </c>
      <c r="U103" s="338" t="s">
        <v>509</v>
      </c>
      <c r="V103" s="338" t="s">
        <v>510</v>
      </c>
      <c r="W103" s="339" t="s">
        <v>558</v>
      </c>
      <c r="X103" s="312" t="s">
        <v>417</v>
      </c>
      <c r="AA103" s="60" t="s">
        <v>89</v>
      </c>
      <c r="AB103" s="342">
        <f t="shared" si="13"/>
        <v>0</v>
      </c>
      <c r="AC103" s="342">
        <f t="shared" si="12"/>
        <v>13</v>
      </c>
      <c r="AD103" s="342">
        <f t="shared" si="12"/>
        <v>1</v>
      </c>
      <c r="AE103" s="342">
        <f t="shared" si="12"/>
        <v>1</v>
      </c>
      <c r="AF103" s="342">
        <f t="shared" si="12"/>
        <v>0</v>
      </c>
      <c r="AG103" s="60">
        <f t="shared" si="14"/>
        <v>15</v>
      </c>
    </row>
    <row r="104" spans="2:33">
      <c r="B104" s="64"/>
      <c r="C104" s="320"/>
      <c r="D104" s="320"/>
      <c r="E104" s="320"/>
      <c r="F104" s="64"/>
      <c r="G104" s="64"/>
      <c r="H104" s="64"/>
      <c r="I104" s="320"/>
      <c r="J104" s="320"/>
      <c r="K104" s="320"/>
      <c r="L104" s="320"/>
      <c r="M104" s="320"/>
      <c r="N104" s="320"/>
      <c r="O104" s="320"/>
      <c r="P104" s="320"/>
      <c r="R104" s="60" t="s">
        <v>84</v>
      </c>
      <c r="S104" s="342">
        <v>0</v>
      </c>
      <c r="T104" s="342">
        <f>8</f>
        <v>8</v>
      </c>
      <c r="U104" s="412">
        <f>2+1</f>
        <v>3</v>
      </c>
      <c r="V104" s="412">
        <f>2</f>
        <v>2</v>
      </c>
      <c r="W104" s="342">
        <v>0</v>
      </c>
      <c r="X104" s="343">
        <f>SUM(S104:W104)</f>
        <v>13</v>
      </c>
      <c r="AA104" s="60" t="s">
        <v>90</v>
      </c>
      <c r="AB104" s="342">
        <f t="shared" si="13"/>
        <v>1</v>
      </c>
      <c r="AC104" s="342">
        <f t="shared" si="12"/>
        <v>0</v>
      </c>
      <c r="AD104" s="342">
        <f t="shared" si="12"/>
        <v>1</v>
      </c>
      <c r="AE104" s="342">
        <f t="shared" si="12"/>
        <v>2</v>
      </c>
      <c r="AF104" s="342">
        <f t="shared" si="12"/>
        <v>2</v>
      </c>
      <c r="AG104" s="60">
        <f t="shared" si="14"/>
        <v>6</v>
      </c>
    </row>
    <row r="105" spans="2:33">
      <c r="B105" s="64"/>
      <c r="C105" s="320"/>
      <c r="D105" s="320"/>
      <c r="E105" s="320"/>
      <c r="F105" s="64"/>
      <c r="G105" s="64"/>
      <c r="H105" s="64"/>
      <c r="I105" s="320"/>
      <c r="J105" s="320"/>
      <c r="K105" s="320"/>
      <c r="L105" s="320"/>
      <c r="M105" s="320"/>
      <c r="N105" s="320"/>
      <c r="O105" s="320"/>
      <c r="P105" s="320"/>
      <c r="R105" s="60" t="s">
        <v>85</v>
      </c>
      <c r="S105" s="342">
        <v>0</v>
      </c>
      <c r="T105" s="342">
        <f>5+3+3</f>
        <v>11</v>
      </c>
      <c r="U105" s="342">
        <f>4+2</f>
        <v>6</v>
      </c>
      <c r="V105" s="342">
        <v>0</v>
      </c>
      <c r="W105" s="342">
        <f>2+2</f>
        <v>4</v>
      </c>
      <c r="X105" s="60">
        <f t="shared" ref="X105:X115" si="15">SUM(S105:W105)</f>
        <v>21</v>
      </c>
      <c r="AA105" s="60" t="s">
        <v>91</v>
      </c>
      <c r="AB105" s="342">
        <f t="shared" si="13"/>
        <v>0</v>
      </c>
      <c r="AC105" s="342">
        <f t="shared" si="12"/>
        <v>17</v>
      </c>
      <c r="AD105" s="342">
        <f t="shared" si="12"/>
        <v>3</v>
      </c>
      <c r="AE105" s="342">
        <f t="shared" si="12"/>
        <v>2</v>
      </c>
      <c r="AF105" s="342">
        <f t="shared" si="12"/>
        <v>0</v>
      </c>
      <c r="AG105" s="60">
        <f t="shared" si="14"/>
        <v>22</v>
      </c>
    </row>
    <row r="106" spans="2:33">
      <c r="B106" s="64"/>
      <c r="C106" s="320"/>
      <c r="D106" s="320"/>
      <c r="E106" s="320"/>
      <c r="F106" s="64"/>
      <c r="G106" s="64"/>
      <c r="H106" s="64"/>
      <c r="I106" s="320"/>
      <c r="J106" s="320"/>
      <c r="K106" s="320"/>
      <c r="L106" s="320"/>
      <c r="M106" s="320"/>
      <c r="N106" s="320"/>
      <c r="O106" s="320"/>
      <c r="P106" s="320"/>
      <c r="R106" s="60" t="s">
        <v>86</v>
      </c>
      <c r="S106" s="342">
        <v>0</v>
      </c>
      <c r="T106" s="342">
        <v>0</v>
      </c>
      <c r="U106" s="340">
        <f>3+1</f>
        <v>4</v>
      </c>
      <c r="V106" s="342">
        <v>0</v>
      </c>
      <c r="W106" s="342">
        <f>2</f>
        <v>2</v>
      </c>
      <c r="X106" s="60">
        <f t="shared" si="15"/>
        <v>6</v>
      </c>
      <c r="AA106" s="60" t="s">
        <v>92</v>
      </c>
      <c r="AB106" s="342">
        <f t="shared" si="13"/>
        <v>0</v>
      </c>
      <c r="AC106" s="342">
        <f t="shared" si="12"/>
        <v>6</v>
      </c>
      <c r="AD106" s="342">
        <f t="shared" si="12"/>
        <v>13</v>
      </c>
      <c r="AE106" s="342">
        <f t="shared" si="12"/>
        <v>0</v>
      </c>
      <c r="AF106" s="342">
        <f t="shared" si="12"/>
        <v>0</v>
      </c>
      <c r="AG106" s="60">
        <f t="shared" si="14"/>
        <v>19</v>
      </c>
    </row>
    <row r="107" spans="2:33">
      <c r="B107" s="64"/>
      <c r="C107" s="320"/>
      <c r="D107" s="320"/>
      <c r="E107" s="320"/>
      <c r="F107" s="64"/>
      <c r="G107" s="64"/>
      <c r="H107" s="64"/>
      <c r="I107" s="320"/>
      <c r="J107" s="320"/>
      <c r="K107" s="320"/>
      <c r="L107" s="320"/>
      <c r="M107" s="320"/>
      <c r="N107" s="320"/>
      <c r="O107" s="320"/>
      <c r="P107" s="320"/>
      <c r="R107" s="60" t="s">
        <v>87</v>
      </c>
      <c r="S107" s="342">
        <v>0</v>
      </c>
      <c r="T107" s="413">
        <f>8+6+6</f>
        <v>20</v>
      </c>
      <c r="U107" s="342">
        <f>4+3+6+11+3</f>
        <v>27</v>
      </c>
      <c r="V107" s="342">
        <f>2+6+7</f>
        <v>15</v>
      </c>
      <c r="W107" s="342">
        <v>0</v>
      </c>
      <c r="X107" s="60">
        <f t="shared" si="15"/>
        <v>62</v>
      </c>
      <c r="AA107" s="60" t="s">
        <v>93</v>
      </c>
      <c r="AB107" s="342">
        <f t="shared" si="13"/>
        <v>0</v>
      </c>
      <c r="AC107" s="342">
        <f t="shared" si="12"/>
        <v>1</v>
      </c>
      <c r="AD107" s="342">
        <f t="shared" si="12"/>
        <v>3</v>
      </c>
      <c r="AE107" s="342">
        <f t="shared" si="12"/>
        <v>6</v>
      </c>
      <c r="AF107" s="342">
        <f t="shared" si="12"/>
        <v>0</v>
      </c>
      <c r="AG107" s="60">
        <f t="shared" si="14"/>
        <v>10</v>
      </c>
    </row>
    <row r="108" spans="2:33">
      <c r="B108" s="64"/>
      <c r="C108" s="320"/>
      <c r="D108" s="320"/>
      <c r="E108" s="320"/>
      <c r="F108" s="64"/>
      <c r="G108" s="64"/>
      <c r="H108" s="64"/>
      <c r="I108" s="320"/>
      <c r="J108" s="320"/>
      <c r="K108" s="320"/>
      <c r="L108" s="320"/>
      <c r="M108" s="320"/>
      <c r="N108" s="320"/>
      <c r="O108" s="320"/>
      <c r="P108" s="320"/>
      <c r="R108" s="60" t="s">
        <v>88</v>
      </c>
      <c r="S108" s="342">
        <v>0</v>
      </c>
      <c r="T108" s="342">
        <v>0</v>
      </c>
      <c r="U108" s="342">
        <f>2+2+1+6+1+1</f>
        <v>13</v>
      </c>
      <c r="V108" s="342">
        <f>1</f>
        <v>1</v>
      </c>
      <c r="W108" s="342">
        <v>0</v>
      </c>
      <c r="X108" s="60">
        <f t="shared" si="15"/>
        <v>14</v>
      </c>
      <c r="AA108" s="60" t="s">
        <v>94</v>
      </c>
      <c r="AB108" s="342">
        <f t="shared" si="13"/>
        <v>2</v>
      </c>
      <c r="AC108" s="342">
        <f t="shared" si="12"/>
        <v>2</v>
      </c>
      <c r="AD108" s="342">
        <f t="shared" si="12"/>
        <v>3</v>
      </c>
      <c r="AE108" s="342">
        <f t="shared" si="12"/>
        <v>7</v>
      </c>
      <c r="AF108" s="342">
        <f t="shared" si="12"/>
        <v>0</v>
      </c>
      <c r="AG108" s="60">
        <f t="shared" si="14"/>
        <v>14</v>
      </c>
    </row>
    <row r="109" spans="2:33">
      <c r="B109" s="64"/>
      <c r="C109" s="320"/>
      <c r="D109" s="320"/>
      <c r="E109" s="320"/>
      <c r="F109" s="64"/>
      <c r="G109" s="64"/>
      <c r="H109" s="64"/>
      <c r="I109" s="320"/>
      <c r="J109" s="320"/>
      <c r="K109" s="320"/>
      <c r="L109" s="320"/>
      <c r="M109" s="320"/>
      <c r="N109" s="320"/>
      <c r="O109" s="320"/>
      <c r="P109" s="320"/>
      <c r="R109" s="60" t="s">
        <v>89</v>
      </c>
      <c r="S109" s="342">
        <v>0</v>
      </c>
      <c r="T109" s="342">
        <f>5+6+2</f>
        <v>13</v>
      </c>
      <c r="U109" s="342">
        <f>1</f>
        <v>1</v>
      </c>
      <c r="V109" s="342">
        <f>1</f>
        <v>1</v>
      </c>
      <c r="W109" s="342">
        <v>0</v>
      </c>
      <c r="X109" s="60">
        <f t="shared" si="15"/>
        <v>15</v>
      </c>
      <c r="AA109" s="347" t="s">
        <v>505</v>
      </c>
      <c r="AB109" s="342">
        <f t="shared" si="13"/>
        <v>0</v>
      </c>
      <c r="AC109" s="342">
        <f t="shared" si="12"/>
        <v>1</v>
      </c>
      <c r="AD109" s="342">
        <f t="shared" si="12"/>
        <v>3</v>
      </c>
      <c r="AE109" s="342">
        <f t="shared" si="12"/>
        <v>0</v>
      </c>
      <c r="AF109" s="342">
        <f t="shared" si="12"/>
        <v>0</v>
      </c>
      <c r="AG109" s="347">
        <f t="shared" si="14"/>
        <v>4</v>
      </c>
    </row>
    <row r="110" spans="2:33">
      <c r="B110" s="64"/>
      <c r="C110" s="320"/>
      <c r="D110" s="320"/>
      <c r="E110" s="320"/>
      <c r="F110" s="64"/>
      <c r="G110" s="64"/>
      <c r="H110" s="64"/>
      <c r="I110" s="320"/>
      <c r="J110" s="320"/>
      <c r="K110" s="320"/>
      <c r="L110" s="320"/>
      <c r="M110" s="320"/>
      <c r="N110" s="320"/>
      <c r="O110" s="320"/>
      <c r="P110" s="320"/>
      <c r="R110" s="60" t="s">
        <v>90</v>
      </c>
      <c r="S110" s="342">
        <v>0</v>
      </c>
      <c r="T110" s="340">
        <v>0</v>
      </c>
      <c r="U110" s="340">
        <f>1</f>
        <v>1</v>
      </c>
      <c r="V110" s="342">
        <f>2</f>
        <v>2</v>
      </c>
      <c r="W110" s="342">
        <f>2</f>
        <v>2</v>
      </c>
      <c r="X110" s="60">
        <f t="shared" si="15"/>
        <v>5</v>
      </c>
      <c r="AA110" s="312" t="s">
        <v>515</v>
      </c>
      <c r="AB110" s="349">
        <f t="shared" ref="AB110:AG110" si="16">SUM(AB98:AB109)</f>
        <v>5</v>
      </c>
      <c r="AC110" s="349">
        <f t="shared" si="16"/>
        <v>80</v>
      </c>
      <c r="AD110" s="349">
        <f t="shared" si="16"/>
        <v>80</v>
      </c>
      <c r="AE110" s="349">
        <f t="shared" si="16"/>
        <v>36</v>
      </c>
      <c r="AF110" s="349">
        <f t="shared" si="16"/>
        <v>8</v>
      </c>
      <c r="AG110" s="350">
        <f t="shared" si="16"/>
        <v>209</v>
      </c>
    </row>
    <row r="111" spans="2:33">
      <c r="B111" s="64"/>
      <c r="C111" s="320"/>
      <c r="D111" s="320"/>
      <c r="E111" s="320"/>
      <c r="F111" s="64"/>
      <c r="G111" s="64"/>
      <c r="H111" s="64"/>
      <c r="I111" s="320"/>
      <c r="J111" s="320"/>
      <c r="K111" s="320"/>
      <c r="L111" s="320"/>
      <c r="M111" s="320"/>
      <c r="N111" s="320"/>
      <c r="O111" s="320"/>
      <c r="P111" s="320"/>
      <c r="R111" s="60" t="s">
        <v>91</v>
      </c>
      <c r="S111" s="342">
        <v>0</v>
      </c>
      <c r="T111" s="340">
        <f>3+6+2+3+2+1</f>
        <v>17</v>
      </c>
      <c r="U111" s="342">
        <f>1+2</f>
        <v>3</v>
      </c>
      <c r="V111" s="342">
        <f>2</f>
        <v>2</v>
      </c>
      <c r="W111" s="342">
        <v>0</v>
      </c>
      <c r="X111" s="60">
        <f t="shared" si="15"/>
        <v>22</v>
      </c>
      <c r="AA111" s="312" t="s">
        <v>514</v>
      </c>
      <c r="AB111" s="351">
        <f>PRODUCT(AB110*AC89)</f>
        <v>75</v>
      </c>
      <c r="AC111" s="414">
        <f>PRODUCT(AC110*AC90)</f>
        <v>1309.5119999999999</v>
      </c>
      <c r="AD111" s="414">
        <f>PRODUCT(AD110*AC91)</f>
        <v>1339.7360000000001</v>
      </c>
      <c r="AE111" s="414">
        <f>PRODUCT(AE110*AC92)</f>
        <v>607.91759999999999</v>
      </c>
      <c r="AF111" s="414">
        <f>PRODUCT(AF110*AC93)</f>
        <v>136</v>
      </c>
      <c r="AG111" s="415">
        <f>SUM(AB111:AF111)</f>
        <v>3468.1656000000003</v>
      </c>
    </row>
    <row r="112" spans="2:33">
      <c r="B112" s="64"/>
      <c r="C112" s="320"/>
      <c r="D112" s="320"/>
      <c r="E112" s="320"/>
      <c r="F112" s="64"/>
      <c r="G112" s="64"/>
      <c r="H112" s="64"/>
      <c r="I112" s="320"/>
      <c r="J112" s="320"/>
      <c r="K112" s="320"/>
      <c r="L112" s="320"/>
      <c r="M112" s="320"/>
      <c r="N112" s="320"/>
      <c r="O112" s="320"/>
      <c r="P112" s="320"/>
      <c r="R112" s="60" t="s">
        <v>92</v>
      </c>
      <c r="S112" s="342">
        <v>0</v>
      </c>
      <c r="T112" s="340">
        <f>3+3</f>
        <v>6</v>
      </c>
      <c r="U112" s="342">
        <f>11+2</f>
        <v>13</v>
      </c>
      <c r="V112" s="342">
        <v>0</v>
      </c>
      <c r="W112" s="342">
        <v>0</v>
      </c>
      <c r="X112" s="60">
        <f t="shared" si="15"/>
        <v>19</v>
      </c>
      <c r="AA112" s="312" t="s">
        <v>559</v>
      </c>
      <c r="AB112" s="351">
        <f>AB110*AB89</f>
        <v>500</v>
      </c>
      <c r="AC112" s="351">
        <f>AC110*AB90</f>
        <v>12000</v>
      </c>
      <c r="AD112" s="351">
        <f>AD110*AB91</f>
        <v>16000</v>
      </c>
      <c r="AE112" s="351">
        <f>AE110*AB92</f>
        <v>9000</v>
      </c>
      <c r="AF112" s="351">
        <f>AF110*AB93</f>
        <v>2400</v>
      </c>
      <c r="AG112" s="312">
        <f>SUM(AB112:AF112)</f>
        <v>39900</v>
      </c>
    </row>
    <row r="113" spans="1:24">
      <c r="B113" s="64"/>
      <c r="C113" s="320"/>
      <c r="D113" s="320"/>
      <c r="E113" s="320"/>
      <c r="F113" s="64"/>
      <c r="G113" s="64"/>
      <c r="H113" s="64"/>
      <c r="I113" s="320"/>
      <c r="J113" s="320"/>
      <c r="K113" s="320"/>
      <c r="L113" s="320"/>
      <c r="M113" s="320"/>
      <c r="N113" s="320"/>
      <c r="O113" s="320"/>
      <c r="P113" s="320"/>
      <c r="R113" s="60" t="s">
        <v>93</v>
      </c>
      <c r="S113" s="342">
        <v>0</v>
      </c>
      <c r="T113" s="340">
        <v>0</v>
      </c>
      <c r="U113" s="342">
        <f>2+1</f>
        <v>3</v>
      </c>
      <c r="V113" s="342">
        <f>6</f>
        <v>6</v>
      </c>
      <c r="W113" s="342">
        <v>0</v>
      </c>
      <c r="X113" s="60">
        <f t="shared" si="15"/>
        <v>9</v>
      </c>
    </row>
    <row r="114" spans="1:24">
      <c r="B114" s="64"/>
      <c r="C114" s="320"/>
      <c r="D114" s="320"/>
      <c r="E114" s="320"/>
      <c r="F114" s="64"/>
      <c r="G114" s="64"/>
      <c r="H114" s="64"/>
      <c r="I114" s="320"/>
      <c r="J114" s="320"/>
      <c r="K114" s="320"/>
      <c r="L114" s="320"/>
      <c r="M114" s="320"/>
      <c r="N114" s="320"/>
      <c r="O114" s="320"/>
      <c r="P114" s="320"/>
      <c r="R114" s="60" t="s">
        <v>94</v>
      </c>
      <c r="S114" s="342">
        <v>0</v>
      </c>
      <c r="T114" s="413">
        <f>2</f>
        <v>2</v>
      </c>
      <c r="U114" s="342">
        <f>2+1</f>
        <v>3</v>
      </c>
      <c r="V114" s="342">
        <f>7</f>
        <v>7</v>
      </c>
      <c r="W114" s="342">
        <v>0</v>
      </c>
      <c r="X114" s="60">
        <f t="shared" si="15"/>
        <v>12</v>
      </c>
    </row>
    <row r="115" spans="1:24">
      <c r="B115" s="64"/>
      <c r="C115" s="320"/>
      <c r="D115" s="320"/>
      <c r="E115" s="320"/>
      <c r="F115" s="64"/>
      <c r="G115" s="64"/>
      <c r="H115" s="64"/>
      <c r="I115" s="320"/>
      <c r="J115" s="320"/>
      <c r="K115" s="320"/>
      <c r="L115" s="320"/>
      <c r="M115" s="320"/>
      <c r="N115" s="320"/>
      <c r="O115" s="320"/>
      <c r="P115" s="320"/>
      <c r="R115" s="347" t="s">
        <v>505</v>
      </c>
      <c r="S115" s="342">
        <v>0</v>
      </c>
      <c r="T115" s="348">
        <f>1</f>
        <v>1</v>
      </c>
      <c r="U115" s="348">
        <f>3</f>
        <v>3</v>
      </c>
      <c r="V115" s="348">
        <v>0</v>
      </c>
      <c r="W115" s="342">
        <v>0</v>
      </c>
      <c r="X115" s="347">
        <f t="shared" si="15"/>
        <v>4</v>
      </c>
    </row>
    <row r="116" spans="1:24">
      <c r="B116" s="64"/>
      <c r="C116" s="320"/>
      <c r="D116" s="320"/>
      <c r="E116" s="320"/>
      <c r="F116" s="64"/>
      <c r="G116" s="64"/>
      <c r="H116" s="64"/>
      <c r="I116" s="320"/>
      <c r="J116" s="320"/>
      <c r="K116" s="320"/>
      <c r="L116" s="320"/>
      <c r="M116" s="320"/>
      <c r="N116" s="320"/>
      <c r="O116" s="320"/>
      <c r="P116" s="320"/>
      <c r="R116" s="312" t="s">
        <v>515</v>
      </c>
      <c r="S116" s="349">
        <f t="shared" ref="S116:X116" si="17">SUM(S104:S115)</f>
        <v>0</v>
      </c>
      <c r="T116" s="349">
        <f t="shared" si="17"/>
        <v>78</v>
      </c>
      <c r="U116" s="349">
        <f t="shared" si="17"/>
        <v>80</v>
      </c>
      <c r="V116" s="349">
        <f t="shared" si="17"/>
        <v>36</v>
      </c>
      <c r="W116" s="349">
        <f t="shared" si="17"/>
        <v>8</v>
      </c>
      <c r="X116" s="350">
        <f t="shared" si="17"/>
        <v>202</v>
      </c>
    </row>
    <row r="117" spans="1:24">
      <c r="B117" s="64"/>
      <c r="C117" s="320"/>
      <c r="D117" s="320"/>
      <c r="E117" s="320"/>
      <c r="F117" s="64"/>
      <c r="G117" s="64"/>
      <c r="H117" s="64"/>
      <c r="I117" s="320"/>
      <c r="J117" s="320"/>
      <c r="K117" s="320"/>
      <c r="L117" s="320"/>
      <c r="M117" s="320"/>
      <c r="N117" s="320"/>
      <c r="O117" s="320"/>
      <c r="P117" s="320"/>
      <c r="R117" s="312" t="s">
        <v>514</v>
      </c>
      <c r="S117" s="414">
        <f>PRODUCT(S116*AC89)</f>
        <v>0</v>
      </c>
      <c r="T117" s="414">
        <f>PRODUCT(T116*AC90)</f>
        <v>1276.7742000000001</v>
      </c>
      <c r="U117" s="414">
        <f>PRODUCT(U116*AC91)</f>
        <v>1339.7360000000001</v>
      </c>
      <c r="V117" s="414">
        <f>PRODUCT(V116*AC92)</f>
        <v>607.91759999999999</v>
      </c>
      <c r="W117" s="414">
        <f>PRODUCT(W116*AC93)</f>
        <v>136</v>
      </c>
      <c r="X117" s="415">
        <f>SUM(S117:W117)</f>
        <v>3360.4278000000004</v>
      </c>
    </row>
    <row r="118" spans="1:24">
      <c r="B118" s="64"/>
      <c r="C118" s="320"/>
      <c r="D118" s="320"/>
      <c r="E118" s="320"/>
      <c r="F118" s="64"/>
      <c r="G118" s="64"/>
      <c r="H118" s="64"/>
      <c r="I118" s="320"/>
      <c r="J118" s="320"/>
      <c r="K118" s="320"/>
      <c r="L118" s="320"/>
      <c r="M118" s="320"/>
      <c r="N118" s="320"/>
      <c r="O118" s="320"/>
      <c r="P118" s="320"/>
      <c r="R118" s="312" t="s">
        <v>559</v>
      </c>
      <c r="S118" s="351">
        <f>S116*AB89</f>
        <v>0</v>
      </c>
      <c r="T118" s="351">
        <f>T116*AB90</f>
        <v>11700</v>
      </c>
      <c r="U118" s="351">
        <f>U116*AB91</f>
        <v>16000</v>
      </c>
      <c r="V118" s="351">
        <f>V116*AB92</f>
        <v>9000</v>
      </c>
      <c r="W118" s="351">
        <f>W116*AB93</f>
        <v>2400</v>
      </c>
      <c r="X118" s="312">
        <f>SUM(S118:W118)</f>
        <v>39100</v>
      </c>
    </row>
    <row r="119" spans="1:24">
      <c r="B119" s="64"/>
      <c r="C119" s="320"/>
      <c r="D119" s="320"/>
      <c r="E119" s="320"/>
      <c r="F119" s="64"/>
      <c r="G119" s="64"/>
      <c r="H119" s="64"/>
      <c r="I119" s="320"/>
      <c r="J119" s="320"/>
      <c r="K119" s="320"/>
      <c r="L119" s="320"/>
      <c r="M119" s="320"/>
      <c r="N119" s="320"/>
      <c r="O119" s="320"/>
      <c r="P119" s="320"/>
      <c r="R119" s="405"/>
      <c r="S119" s="409"/>
      <c r="T119" s="409"/>
      <c r="U119" s="409"/>
      <c r="V119" s="409"/>
      <c r="W119" s="409"/>
      <c r="X119" s="405"/>
    </row>
    <row r="120" spans="1:24">
      <c r="B120" s="64"/>
      <c r="C120" s="320"/>
      <c r="D120" s="320"/>
      <c r="E120" s="320"/>
      <c r="F120" s="64"/>
      <c r="G120" s="64"/>
      <c r="H120" s="64"/>
      <c r="I120" s="320"/>
      <c r="J120" s="320"/>
      <c r="K120" s="320"/>
      <c r="L120" s="320"/>
      <c r="M120" s="320"/>
      <c r="N120" s="320"/>
      <c r="O120" s="320"/>
      <c r="P120" s="320"/>
    </row>
    <row r="121" spans="1:24">
      <c r="B121" s="64"/>
      <c r="C121" s="320"/>
      <c r="D121" s="320"/>
      <c r="E121" s="320"/>
      <c r="F121" s="64"/>
      <c r="G121" s="64"/>
      <c r="H121" s="64"/>
      <c r="I121" s="320"/>
      <c r="J121" s="320"/>
      <c r="K121" s="320"/>
      <c r="L121" s="320"/>
      <c r="M121" s="320"/>
      <c r="N121" s="320"/>
      <c r="O121" s="320"/>
      <c r="P121" s="320"/>
    </row>
    <row r="122" spans="1:24">
      <c r="B122" s="64"/>
      <c r="C122" s="320"/>
      <c r="D122" s="320"/>
      <c r="E122" s="320"/>
      <c r="F122" s="64"/>
      <c r="G122" s="64"/>
      <c r="H122" s="64"/>
      <c r="I122" s="320"/>
      <c r="J122" s="320"/>
      <c r="K122" s="320"/>
      <c r="L122" s="320"/>
      <c r="M122" s="320"/>
      <c r="N122" s="320"/>
      <c r="O122" s="320"/>
      <c r="P122" s="320"/>
    </row>
    <row r="123" spans="1:24">
      <c r="B123" s="64"/>
      <c r="C123" s="320"/>
      <c r="D123" s="320"/>
      <c r="E123" s="320"/>
      <c r="F123" s="64"/>
      <c r="G123" s="64"/>
      <c r="H123" s="64"/>
      <c r="I123" s="320"/>
      <c r="J123" s="320"/>
      <c r="K123" s="320"/>
      <c r="L123" s="320"/>
      <c r="M123" s="320"/>
      <c r="N123" s="320"/>
      <c r="O123" s="320"/>
      <c r="P123" s="320"/>
    </row>
    <row r="124" spans="1:24">
      <c r="A124" s="320"/>
      <c r="B124" s="64"/>
      <c r="C124" s="320"/>
      <c r="D124" s="320"/>
      <c r="E124" s="320"/>
      <c r="F124" s="64"/>
      <c r="G124" s="64"/>
      <c r="H124" s="64"/>
      <c r="I124" s="320"/>
      <c r="J124" s="320"/>
      <c r="K124" s="320"/>
      <c r="L124" s="320"/>
      <c r="M124" s="320"/>
      <c r="N124" s="320"/>
      <c r="O124" s="320"/>
      <c r="P124" s="320"/>
    </row>
    <row r="125" spans="1:24">
      <c r="A125" s="320"/>
      <c r="B125" s="64"/>
      <c r="C125" s="320"/>
      <c r="D125" s="320"/>
      <c r="E125" s="320"/>
      <c r="F125" s="64"/>
      <c r="G125" s="64"/>
      <c r="H125" s="64"/>
      <c r="I125" s="320"/>
      <c r="J125" s="320"/>
      <c r="K125" s="320"/>
      <c r="L125" s="320"/>
      <c r="M125" s="320"/>
      <c r="N125" s="320"/>
      <c r="O125" s="320"/>
      <c r="P125" s="320"/>
    </row>
    <row r="126" spans="1:24">
      <c r="A126" s="320"/>
      <c r="B126" s="64"/>
      <c r="C126" s="320"/>
      <c r="D126" s="320"/>
      <c r="E126" s="320"/>
      <c r="F126" s="64"/>
      <c r="G126" s="64"/>
      <c r="H126" s="64"/>
      <c r="I126" s="320"/>
      <c r="J126" s="320"/>
      <c r="K126" s="320"/>
      <c r="L126" s="320"/>
      <c r="M126" s="320"/>
      <c r="N126" s="320"/>
      <c r="O126" s="320"/>
      <c r="P126" s="320"/>
    </row>
    <row r="127" spans="1:24">
      <c r="A127" s="320"/>
      <c r="B127" s="64"/>
      <c r="C127" s="320"/>
      <c r="D127" s="320"/>
      <c r="E127" s="320"/>
      <c r="F127" s="64"/>
      <c r="G127" s="64"/>
      <c r="H127" s="64"/>
      <c r="I127" s="320"/>
      <c r="J127" s="320"/>
      <c r="K127" s="320"/>
      <c r="L127" s="320"/>
      <c r="M127" s="320"/>
      <c r="N127" s="320"/>
      <c r="O127" s="320"/>
      <c r="P127" s="320"/>
    </row>
    <row r="128" spans="1:24">
      <c r="A128" s="320"/>
      <c r="B128" s="64"/>
      <c r="C128" s="320"/>
      <c r="D128" s="320"/>
      <c r="E128" s="320"/>
      <c r="F128" s="64"/>
      <c r="G128" s="64"/>
      <c r="H128" s="64"/>
      <c r="I128" s="320"/>
      <c r="J128" s="320"/>
      <c r="K128" s="320"/>
      <c r="L128" s="320"/>
      <c r="M128" s="320"/>
      <c r="N128" s="320"/>
      <c r="O128" s="320"/>
      <c r="P128" s="320"/>
    </row>
    <row r="129" spans="1:16">
      <c r="A129" s="320"/>
      <c r="B129" s="64"/>
      <c r="C129" s="320"/>
      <c r="D129" s="320"/>
      <c r="E129" s="320"/>
      <c r="F129" s="64"/>
      <c r="G129" s="64"/>
      <c r="H129" s="64"/>
      <c r="I129" s="320"/>
      <c r="J129" s="320"/>
      <c r="K129" s="320"/>
      <c r="L129" s="320"/>
      <c r="M129" s="320"/>
      <c r="N129" s="320"/>
      <c r="O129" s="320"/>
      <c r="P129" s="320"/>
    </row>
    <row r="130" spans="1:16">
      <c r="A130" s="320"/>
      <c r="B130" s="64"/>
      <c r="C130" s="320"/>
      <c r="D130" s="320"/>
      <c r="E130" s="320"/>
      <c r="F130" s="64"/>
      <c r="G130" s="64"/>
      <c r="H130" s="64"/>
      <c r="I130" s="320"/>
      <c r="J130" s="320"/>
      <c r="K130" s="320"/>
      <c r="L130" s="320"/>
      <c r="M130" s="320"/>
      <c r="N130" s="320"/>
      <c r="O130" s="320"/>
      <c r="P130" s="320"/>
    </row>
    <row r="131" spans="1:16">
      <c r="A131" s="320"/>
      <c r="B131" s="64"/>
      <c r="C131" s="320"/>
      <c r="D131" s="320"/>
      <c r="E131" s="320"/>
      <c r="F131" s="64"/>
      <c r="G131" s="64"/>
      <c r="H131" s="64"/>
      <c r="I131" s="320"/>
      <c r="J131" s="320"/>
      <c r="K131" s="320"/>
      <c r="L131" s="320"/>
      <c r="M131" s="320"/>
      <c r="N131" s="320"/>
      <c r="O131" s="320"/>
      <c r="P131" s="320"/>
    </row>
    <row r="132" spans="1:16">
      <c r="A132" s="320"/>
      <c r="B132" s="64"/>
      <c r="C132" s="320"/>
      <c r="D132" s="320"/>
      <c r="E132" s="320"/>
      <c r="F132" s="64"/>
      <c r="G132" s="64"/>
      <c r="H132" s="64"/>
      <c r="I132" s="320"/>
      <c r="J132" s="320"/>
      <c r="K132" s="320"/>
      <c r="L132" s="320"/>
      <c r="M132" s="320"/>
      <c r="N132" s="320"/>
      <c r="O132" s="320"/>
      <c r="P132" s="320"/>
    </row>
    <row r="133" spans="1:16">
      <c r="A133" s="320"/>
      <c r="B133" s="64"/>
      <c r="C133" s="320"/>
      <c r="D133" s="320"/>
      <c r="E133" s="320"/>
      <c r="F133" s="64"/>
      <c r="G133" s="64"/>
      <c r="H133" s="64"/>
      <c r="I133" s="320"/>
      <c r="J133" s="320"/>
      <c r="K133" s="320"/>
      <c r="L133" s="320"/>
      <c r="M133" s="320"/>
      <c r="N133" s="320"/>
      <c r="O133" s="320"/>
      <c r="P133" s="320"/>
    </row>
    <row r="134" spans="1:16">
      <c r="A134" s="320"/>
      <c r="B134" s="64"/>
      <c r="C134" s="320"/>
      <c r="D134" s="320"/>
      <c r="E134" s="320"/>
      <c r="F134" s="64"/>
      <c r="G134" s="64"/>
      <c r="H134" s="64"/>
      <c r="I134" s="320"/>
      <c r="J134" s="320"/>
      <c r="K134" s="320"/>
      <c r="L134" s="320"/>
      <c r="M134" s="320"/>
      <c r="N134" s="320"/>
      <c r="O134" s="320"/>
      <c r="P134" s="320"/>
    </row>
    <row r="135" spans="1:16">
      <c r="A135" s="320"/>
      <c r="B135" s="64"/>
      <c r="C135" s="320"/>
      <c r="D135" s="320"/>
      <c r="E135" s="320"/>
      <c r="F135" s="64"/>
      <c r="G135" s="64"/>
      <c r="H135" s="64"/>
      <c r="I135" s="320"/>
      <c r="J135" s="320"/>
      <c r="K135" s="320"/>
      <c r="L135" s="320"/>
      <c r="M135" s="320"/>
      <c r="N135" s="320"/>
      <c r="O135" s="320"/>
      <c r="P135" s="320"/>
    </row>
    <row r="136" spans="1:16">
      <c r="A136" s="320"/>
      <c r="B136" s="64"/>
      <c r="C136" s="320"/>
      <c r="D136" s="320"/>
      <c r="E136" s="320"/>
      <c r="F136" s="64"/>
      <c r="G136" s="64"/>
      <c r="H136" s="64"/>
      <c r="I136" s="320"/>
      <c r="J136" s="320"/>
      <c r="K136" s="320"/>
      <c r="L136" s="320"/>
      <c r="M136" s="320"/>
      <c r="N136" s="320"/>
      <c r="O136" s="320"/>
      <c r="P136" s="320"/>
    </row>
    <row r="137" spans="1:16">
      <c r="A137" s="320"/>
      <c r="B137" s="64"/>
      <c r="C137" s="320"/>
      <c r="D137" s="320"/>
      <c r="E137" s="320"/>
      <c r="F137" s="64"/>
      <c r="G137" s="64"/>
      <c r="H137" s="64"/>
      <c r="I137" s="320"/>
      <c r="J137" s="320"/>
      <c r="K137" s="320"/>
      <c r="L137" s="320"/>
      <c r="M137" s="320"/>
      <c r="N137" s="320"/>
      <c r="O137" s="320"/>
      <c r="P137" s="320"/>
    </row>
    <row r="138" spans="1:16">
      <c r="A138" s="320"/>
      <c r="B138" s="64"/>
      <c r="C138" s="320"/>
      <c r="D138" s="320"/>
      <c r="E138" s="320"/>
      <c r="F138" s="64"/>
      <c r="G138" s="64"/>
      <c r="H138" s="64"/>
      <c r="I138" s="320"/>
      <c r="J138" s="320"/>
      <c r="K138" s="320"/>
      <c r="L138" s="320"/>
      <c r="M138" s="320"/>
      <c r="N138" s="320"/>
      <c r="O138" s="320"/>
      <c r="P138" s="320"/>
    </row>
    <row r="139" spans="1:16">
      <c r="A139" s="320"/>
      <c r="B139" s="64"/>
      <c r="C139" s="320"/>
      <c r="D139" s="320"/>
      <c r="E139" s="320"/>
      <c r="F139" s="64"/>
      <c r="G139" s="64"/>
      <c r="H139" s="64"/>
      <c r="I139" s="320"/>
      <c r="J139" s="320"/>
      <c r="K139" s="320"/>
      <c r="L139" s="320"/>
      <c r="M139" s="320"/>
      <c r="N139" s="320"/>
      <c r="O139" s="320"/>
      <c r="P139" s="320"/>
    </row>
    <row r="140" spans="1:16">
      <c r="A140" s="320"/>
      <c r="B140" s="64"/>
      <c r="C140" s="320"/>
      <c r="D140" s="320"/>
      <c r="E140" s="320"/>
      <c r="F140" s="64"/>
      <c r="G140" s="64"/>
      <c r="H140" s="64"/>
      <c r="I140" s="320"/>
      <c r="J140" s="320"/>
      <c r="K140" s="320"/>
      <c r="L140" s="320"/>
      <c r="M140" s="320"/>
      <c r="N140" s="320"/>
      <c r="O140" s="320"/>
      <c r="P140" s="320"/>
    </row>
    <row r="141" spans="1:16">
      <c r="A141" s="320"/>
      <c r="B141" s="64"/>
      <c r="C141" s="320"/>
      <c r="D141" s="320"/>
      <c r="E141" s="320"/>
      <c r="F141" s="64"/>
      <c r="G141" s="64"/>
      <c r="H141" s="64"/>
      <c r="I141" s="320"/>
      <c r="J141" s="320"/>
      <c r="K141" s="320"/>
      <c r="L141" s="320"/>
      <c r="M141" s="320"/>
      <c r="N141" s="320"/>
      <c r="O141" s="320"/>
      <c r="P141" s="320"/>
    </row>
    <row r="142" spans="1:16">
      <c r="A142" s="320"/>
      <c r="B142" s="64"/>
      <c r="C142" s="320"/>
      <c r="D142" s="320"/>
      <c r="E142" s="320"/>
      <c r="F142" s="64"/>
      <c r="G142" s="64"/>
      <c r="H142" s="64"/>
      <c r="I142" s="320"/>
      <c r="J142" s="320"/>
      <c r="K142" s="320"/>
      <c r="L142" s="320"/>
      <c r="M142" s="320"/>
      <c r="N142" s="320"/>
      <c r="O142" s="320"/>
      <c r="P142" s="320"/>
    </row>
    <row r="143" spans="1:16">
      <c r="A143" s="320"/>
      <c r="B143" s="64"/>
      <c r="C143" s="320"/>
      <c r="D143" s="320"/>
      <c r="E143" s="320"/>
      <c r="F143" s="64"/>
      <c r="G143" s="64"/>
      <c r="H143" s="64"/>
      <c r="I143" s="320"/>
      <c r="J143" s="320"/>
      <c r="K143" s="320"/>
      <c r="L143" s="320"/>
      <c r="M143" s="320"/>
      <c r="N143" s="320"/>
      <c r="O143" s="320"/>
      <c r="P143" s="320"/>
    </row>
    <row r="144" spans="1:16">
      <c r="A144" s="320"/>
      <c r="B144" s="64"/>
      <c r="C144" s="320"/>
      <c r="D144" s="320"/>
      <c r="E144" s="320"/>
      <c r="F144" s="64"/>
      <c r="G144" s="64"/>
      <c r="H144" s="64"/>
      <c r="I144" s="320"/>
      <c r="J144" s="320"/>
      <c r="K144" s="320"/>
      <c r="L144" s="320"/>
      <c r="M144" s="320"/>
      <c r="N144" s="320"/>
      <c r="O144" s="320"/>
      <c r="P144" s="320"/>
    </row>
    <row r="145" spans="1:16">
      <c r="A145" s="320"/>
      <c r="B145" s="64"/>
      <c r="C145" s="320"/>
      <c r="D145" s="320"/>
      <c r="E145" s="320"/>
      <c r="F145" s="64"/>
      <c r="G145" s="64"/>
      <c r="H145" s="64"/>
      <c r="I145" s="320"/>
      <c r="J145" s="320"/>
      <c r="K145" s="320"/>
      <c r="L145" s="320"/>
      <c r="M145" s="320"/>
      <c r="N145" s="320"/>
      <c r="O145" s="320"/>
      <c r="P145" s="320"/>
    </row>
    <row r="146" spans="1:16">
      <c r="A146" s="320"/>
      <c r="B146" s="64"/>
      <c r="C146" s="320"/>
      <c r="D146" s="320"/>
      <c r="E146" s="320"/>
      <c r="F146" s="64"/>
      <c r="G146" s="64"/>
      <c r="H146" s="64"/>
      <c r="I146" s="320"/>
      <c r="J146" s="320"/>
      <c r="K146" s="320"/>
      <c r="L146" s="320"/>
      <c r="M146" s="320"/>
      <c r="N146" s="320"/>
      <c r="O146" s="320"/>
      <c r="P146" s="320"/>
    </row>
    <row r="147" spans="1:16">
      <c r="A147" s="320"/>
      <c r="B147" s="64"/>
      <c r="C147" s="320"/>
      <c r="D147" s="320"/>
      <c r="E147" s="320"/>
      <c r="F147" s="64"/>
      <c r="G147" s="64"/>
      <c r="H147" s="64"/>
      <c r="I147" s="320"/>
      <c r="J147" s="320"/>
      <c r="K147" s="320"/>
      <c r="L147" s="320"/>
      <c r="M147" s="320"/>
      <c r="N147" s="320"/>
      <c r="O147" s="320"/>
      <c r="P147" s="320"/>
    </row>
    <row r="148" spans="1:16">
      <c r="A148" s="320"/>
      <c r="B148" s="64"/>
      <c r="C148" s="320"/>
      <c r="D148" s="320"/>
      <c r="E148" s="320"/>
      <c r="F148" s="64"/>
      <c r="G148" s="64"/>
      <c r="H148" s="64"/>
      <c r="I148" s="320"/>
      <c r="J148" s="320"/>
      <c r="K148" s="320"/>
      <c r="L148" s="320"/>
      <c r="M148" s="320"/>
      <c r="N148" s="320"/>
      <c r="O148" s="320"/>
      <c r="P148" s="320"/>
    </row>
    <row r="149" spans="1:16">
      <c r="A149" s="320"/>
      <c r="B149" s="64"/>
      <c r="C149" s="320"/>
      <c r="D149" s="320"/>
      <c r="E149" s="320"/>
      <c r="F149" s="64"/>
      <c r="G149" s="64"/>
      <c r="H149" s="64"/>
      <c r="I149" s="320"/>
      <c r="J149" s="320"/>
      <c r="K149" s="320"/>
      <c r="L149" s="320"/>
      <c r="M149" s="320"/>
      <c r="N149" s="320"/>
      <c r="O149" s="320"/>
      <c r="P149" s="320"/>
    </row>
    <row r="150" spans="1:16">
      <c r="A150" s="320"/>
      <c r="B150" s="64"/>
      <c r="C150" s="320"/>
      <c r="D150" s="320"/>
      <c r="E150" s="320"/>
      <c r="F150" s="64"/>
      <c r="G150" s="64"/>
      <c r="H150" s="64"/>
      <c r="I150" s="320"/>
      <c r="J150" s="320"/>
      <c r="K150" s="320"/>
      <c r="L150" s="320"/>
      <c r="M150" s="320"/>
      <c r="N150" s="320"/>
      <c r="O150" s="320"/>
      <c r="P150" s="320"/>
    </row>
    <row r="151" spans="1:16">
      <c r="A151" s="320"/>
      <c r="B151" s="64"/>
      <c r="C151" s="320"/>
      <c r="D151" s="320"/>
      <c r="E151" s="320"/>
      <c r="F151" s="64"/>
      <c r="G151" s="64"/>
      <c r="H151" s="64"/>
      <c r="I151" s="320"/>
      <c r="J151" s="320"/>
      <c r="K151" s="320"/>
      <c r="L151" s="320"/>
      <c r="M151" s="320"/>
      <c r="N151" s="320"/>
      <c r="O151" s="320"/>
      <c r="P151" s="320"/>
    </row>
    <row r="152" spans="1:16">
      <c r="A152" s="320"/>
      <c r="B152" s="64"/>
      <c r="C152" s="320"/>
      <c r="D152" s="320"/>
      <c r="E152" s="320"/>
      <c r="F152" s="64"/>
      <c r="G152" s="64"/>
      <c r="H152" s="64"/>
      <c r="I152" s="320"/>
      <c r="J152" s="320"/>
      <c r="K152" s="320"/>
      <c r="L152" s="320"/>
      <c r="M152" s="320"/>
      <c r="N152" s="320"/>
      <c r="O152" s="320"/>
      <c r="P152" s="320"/>
    </row>
    <row r="153" spans="1:16">
      <c r="A153" s="320"/>
      <c r="B153" s="64"/>
      <c r="C153" s="320"/>
      <c r="D153" s="320"/>
      <c r="E153" s="320"/>
      <c r="F153" s="64"/>
      <c r="G153" s="64"/>
      <c r="H153" s="64"/>
      <c r="I153" s="320"/>
      <c r="J153" s="320"/>
      <c r="K153" s="320"/>
      <c r="L153" s="320"/>
      <c r="M153" s="320"/>
      <c r="N153" s="320"/>
      <c r="O153" s="320"/>
      <c r="P153" s="320"/>
    </row>
    <row r="154" spans="1:16">
      <c r="A154" s="320"/>
      <c r="B154" s="64"/>
      <c r="C154" s="320"/>
      <c r="D154" s="320"/>
      <c r="E154" s="320"/>
      <c r="F154" s="64"/>
      <c r="G154" s="64"/>
      <c r="H154" s="64"/>
      <c r="I154" s="320"/>
      <c r="J154" s="320"/>
      <c r="K154" s="320"/>
      <c r="L154" s="320"/>
      <c r="M154" s="320"/>
      <c r="N154" s="320"/>
      <c r="O154" s="320"/>
      <c r="P154" s="320"/>
    </row>
    <row r="155" spans="1:16">
      <c r="A155" s="320"/>
      <c r="B155" s="64"/>
      <c r="C155" s="320"/>
      <c r="D155" s="320"/>
      <c r="E155" s="320"/>
      <c r="F155" s="64"/>
      <c r="G155" s="64"/>
      <c r="H155" s="64"/>
      <c r="I155" s="320"/>
      <c r="J155" s="320"/>
      <c r="K155" s="320"/>
      <c r="L155" s="320"/>
      <c r="M155" s="320"/>
      <c r="N155" s="320"/>
      <c r="O155" s="320"/>
      <c r="P155" s="320"/>
    </row>
    <row r="156" spans="1:16">
      <c r="A156" s="320"/>
      <c r="B156" s="64"/>
      <c r="C156" s="320"/>
      <c r="D156" s="320"/>
      <c r="E156" s="320"/>
      <c r="F156" s="64"/>
      <c r="G156" s="64"/>
      <c r="H156" s="64"/>
      <c r="I156" s="320"/>
      <c r="J156" s="320"/>
      <c r="K156" s="320"/>
      <c r="L156" s="320"/>
      <c r="M156" s="320"/>
      <c r="N156" s="320"/>
      <c r="O156" s="320"/>
      <c r="P156" s="320"/>
    </row>
    <row r="157" spans="1:16">
      <c r="A157" s="320"/>
      <c r="B157" s="64"/>
      <c r="C157" s="320"/>
      <c r="D157" s="320"/>
      <c r="E157" s="320"/>
      <c r="F157" s="64"/>
      <c r="G157" s="64"/>
      <c r="H157" s="64"/>
      <c r="I157" s="320"/>
      <c r="J157" s="320"/>
      <c r="K157" s="320"/>
      <c r="L157" s="320"/>
      <c r="M157" s="320"/>
      <c r="N157" s="320"/>
      <c r="O157" s="320"/>
      <c r="P157" s="320"/>
    </row>
    <row r="158" spans="1:16">
      <c r="A158" s="320"/>
      <c r="B158" s="64"/>
      <c r="C158" s="320"/>
      <c r="D158" s="320"/>
      <c r="E158" s="320"/>
      <c r="F158" s="64"/>
      <c r="G158" s="64"/>
      <c r="H158" s="64"/>
      <c r="I158" s="320"/>
      <c r="J158" s="320"/>
      <c r="K158" s="320"/>
      <c r="L158" s="320"/>
      <c r="M158" s="320"/>
      <c r="N158" s="320"/>
      <c r="O158" s="320"/>
      <c r="P158" s="320"/>
    </row>
    <row r="159" spans="1:16">
      <c r="A159" s="320"/>
      <c r="B159" s="64"/>
      <c r="C159" s="320"/>
      <c r="D159" s="320"/>
      <c r="E159" s="320"/>
      <c r="F159" s="64"/>
      <c r="G159" s="64"/>
      <c r="H159" s="64"/>
      <c r="I159" s="320"/>
      <c r="J159" s="320"/>
      <c r="K159" s="320"/>
      <c r="L159" s="320"/>
      <c r="M159" s="320"/>
      <c r="N159" s="320"/>
      <c r="O159" s="320"/>
      <c r="P159" s="320"/>
    </row>
    <row r="160" spans="1:16">
      <c r="A160" s="320"/>
      <c r="B160" s="64"/>
      <c r="C160" s="320"/>
      <c r="D160" s="320"/>
      <c r="E160" s="320"/>
      <c r="F160" s="64"/>
      <c r="G160" s="64"/>
      <c r="H160" s="64"/>
      <c r="I160" s="320"/>
      <c r="J160" s="320"/>
      <c r="K160" s="320"/>
      <c r="L160" s="320"/>
      <c r="M160" s="320"/>
      <c r="N160" s="320"/>
      <c r="O160" s="320"/>
      <c r="P160" s="320"/>
    </row>
    <row r="161" spans="1:16">
      <c r="A161" s="320"/>
      <c r="B161" s="64"/>
      <c r="C161" s="320"/>
      <c r="D161" s="320"/>
      <c r="E161" s="320"/>
      <c r="F161" s="64"/>
      <c r="G161" s="64"/>
      <c r="H161" s="64"/>
      <c r="I161" s="320"/>
      <c r="J161" s="320"/>
      <c r="K161" s="320"/>
      <c r="L161" s="320"/>
      <c r="M161" s="320"/>
      <c r="N161" s="320"/>
      <c r="O161" s="320"/>
      <c r="P161" s="320"/>
    </row>
    <row r="162" spans="1:16">
      <c r="A162" s="320"/>
      <c r="B162" s="64"/>
      <c r="C162" s="320"/>
      <c r="D162" s="320"/>
      <c r="E162" s="320"/>
      <c r="F162" s="64"/>
      <c r="G162" s="64"/>
      <c r="H162" s="64"/>
      <c r="I162" s="320"/>
      <c r="J162" s="320"/>
      <c r="K162" s="320"/>
      <c r="L162" s="320"/>
      <c r="M162" s="320"/>
      <c r="N162" s="320"/>
      <c r="O162" s="320"/>
      <c r="P162" s="320"/>
    </row>
    <row r="163" spans="1:16">
      <c r="A163" s="320"/>
      <c r="B163" s="64"/>
      <c r="C163" s="320"/>
      <c r="D163" s="320"/>
      <c r="E163" s="320"/>
      <c r="F163" s="64"/>
      <c r="G163" s="64"/>
      <c r="H163" s="64"/>
      <c r="I163" s="320"/>
      <c r="J163" s="320"/>
      <c r="K163" s="320"/>
      <c r="L163" s="320"/>
      <c r="M163" s="320"/>
      <c r="N163" s="320"/>
      <c r="O163" s="320"/>
      <c r="P163" s="320"/>
    </row>
    <row r="164" spans="1:16">
      <c r="A164" s="320"/>
      <c r="B164" s="64"/>
      <c r="C164" s="320"/>
      <c r="D164" s="320"/>
      <c r="E164" s="320"/>
      <c r="F164" s="64"/>
      <c r="G164" s="64"/>
      <c r="H164" s="64"/>
      <c r="I164" s="320"/>
      <c r="J164" s="320"/>
      <c r="K164" s="320"/>
      <c r="L164" s="320"/>
      <c r="M164" s="320"/>
      <c r="N164" s="320"/>
      <c r="O164" s="320"/>
      <c r="P164" s="320"/>
    </row>
    <row r="165" spans="1:16">
      <c r="A165" s="320"/>
      <c r="B165" s="64"/>
      <c r="C165" s="320"/>
      <c r="D165" s="320"/>
      <c r="E165" s="320"/>
      <c r="F165" s="64"/>
      <c r="G165" s="64"/>
      <c r="H165" s="64"/>
      <c r="I165" s="320"/>
      <c r="J165" s="320"/>
      <c r="K165" s="320"/>
      <c r="L165" s="320"/>
      <c r="M165" s="320"/>
      <c r="N165" s="320"/>
      <c r="O165" s="320"/>
      <c r="P165" s="320"/>
    </row>
    <row r="166" spans="1:16">
      <c r="A166" s="320"/>
      <c r="B166" s="64"/>
      <c r="C166" s="320"/>
      <c r="D166" s="320"/>
      <c r="E166" s="320"/>
      <c r="F166" s="64"/>
      <c r="G166" s="64"/>
      <c r="H166" s="64"/>
      <c r="I166" s="320"/>
      <c r="J166" s="320"/>
      <c r="K166" s="320"/>
      <c r="L166" s="320"/>
      <c r="M166" s="320"/>
      <c r="N166" s="320"/>
      <c r="O166" s="320"/>
      <c r="P166" s="320"/>
    </row>
    <row r="167" spans="1:16">
      <c r="A167" s="320"/>
      <c r="B167" s="64"/>
      <c r="C167" s="320"/>
      <c r="D167" s="320"/>
      <c r="E167" s="320"/>
      <c r="F167" s="64"/>
      <c r="G167" s="64"/>
      <c r="H167" s="64"/>
      <c r="I167" s="320"/>
      <c r="J167" s="320"/>
      <c r="K167" s="320"/>
      <c r="L167" s="320"/>
      <c r="M167" s="320"/>
      <c r="N167" s="320"/>
      <c r="O167" s="320"/>
      <c r="P167" s="320"/>
    </row>
    <row r="168" spans="1:16">
      <c r="A168" s="320"/>
      <c r="B168" s="64"/>
      <c r="C168" s="320"/>
      <c r="D168" s="320"/>
      <c r="E168" s="320"/>
      <c r="F168" s="64"/>
      <c r="G168" s="64"/>
      <c r="H168" s="64"/>
      <c r="I168" s="320"/>
      <c r="J168" s="320"/>
      <c r="K168" s="320"/>
      <c r="L168" s="320"/>
      <c r="M168" s="320"/>
      <c r="N168" s="320"/>
      <c r="O168" s="320"/>
      <c r="P168" s="320"/>
    </row>
    <row r="169" spans="1:16">
      <c r="A169" s="320"/>
      <c r="B169" s="64"/>
      <c r="C169" s="320"/>
      <c r="D169" s="320"/>
      <c r="E169" s="320"/>
      <c r="F169" s="64"/>
      <c r="G169" s="64"/>
      <c r="H169" s="64"/>
      <c r="I169" s="320"/>
      <c r="J169" s="320"/>
      <c r="K169" s="320"/>
      <c r="L169" s="320"/>
      <c r="M169" s="320"/>
      <c r="N169" s="320"/>
      <c r="O169" s="320"/>
      <c r="P169" s="320"/>
    </row>
    <row r="170" spans="1:16">
      <c r="A170" s="320"/>
      <c r="B170" s="64"/>
      <c r="C170" s="320"/>
      <c r="D170" s="320"/>
      <c r="E170" s="320"/>
      <c r="F170" s="64"/>
      <c r="G170" s="64"/>
      <c r="H170" s="64"/>
      <c r="I170" s="320"/>
      <c r="J170" s="320"/>
      <c r="K170" s="320"/>
      <c r="L170" s="320"/>
      <c r="M170" s="320"/>
      <c r="N170" s="320"/>
      <c r="O170" s="320"/>
      <c r="P170" s="320"/>
    </row>
    <row r="171" spans="1:16">
      <c r="A171" s="320"/>
      <c r="B171" s="64"/>
      <c r="C171" s="320"/>
      <c r="D171" s="320"/>
      <c r="E171" s="320"/>
      <c r="F171" s="64"/>
      <c r="G171" s="64"/>
      <c r="H171" s="64"/>
      <c r="I171" s="320"/>
      <c r="J171" s="320"/>
      <c r="K171" s="320"/>
      <c r="L171" s="320"/>
      <c r="M171" s="320"/>
      <c r="N171" s="320"/>
      <c r="O171" s="320"/>
      <c r="P171" s="320"/>
    </row>
    <row r="172" spans="1:16">
      <c r="A172" s="320"/>
      <c r="B172" s="64"/>
      <c r="C172" s="320"/>
      <c r="D172" s="320"/>
      <c r="E172" s="320"/>
      <c r="F172" s="64"/>
      <c r="G172" s="64"/>
      <c r="H172" s="64"/>
      <c r="I172" s="320"/>
      <c r="J172" s="320"/>
      <c r="K172" s="320"/>
      <c r="L172" s="320"/>
      <c r="M172" s="320"/>
      <c r="N172" s="320"/>
      <c r="O172" s="320"/>
      <c r="P172" s="320"/>
    </row>
    <row r="173" spans="1:16">
      <c r="A173" s="320"/>
      <c r="B173" s="64"/>
      <c r="C173" s="320"/>
      <c r="D173" s="320"/>
      <c r="E173" s="320"/>
      <c r="F173" s="64"/>
      <c r="G173" s="64"/>
      <c r="H173" s="64"/>
      <c r="I173" s="320"/>
      <c r="J173" s="320"/>
      <c r="K173" s="320"/>
      <c r="L173" s="320"/>
      <c r="M173" s="320"/>
      <c r="N173" s="320"/>
      <c r="O173" s="320"/>
      <c r="P173" s="320"/>
    </row>
    <row r="174" spans="1:16">
      <c r="A174" s="320"/>
      <c r="B174" s="64"/>
      <c r="C174" s="320"/>
      <c r="D174" s="320"/>
      <c r="E174" s="320"/>
      <c r="F174" s="64"/>
      <c r="G174" s="64"/>
      <c r="H174" s="64"/>
      <c r="I174" s="320"/>
      <c r="J174" s="320"/>
      <c r="K174" s="320"/>
      <c r="L174" s="320"/>
      <c r="M174" s="320"/>
      <c r="N174" s="320"/>
      <c r="O174" s="320"/>
      <c r="P174" s="320"/>
    </row>
    <row r="175" spans="1:16">
      <c r="A175" s="320"/>
      <c r="B175" s="64"/>
      <c r="C175" s="320"/>
      <c r="D175" s="320"/>
      <c r="E175" s="320"/>
      <c r="F175" s="64"/>
      <c r="G175" s="64"/>
      <c r="H175" s="64"/>
      <c r="I175" s="320"/>
      <c r="J175" s="320"/>
      <c r="K175" s="320"/>
      <c r="L175" s="320"/>
      <c r="M175" s="320"/>
      <c r="N175" s="320"/>
      <c r="O175" s="320"/>
      <c r="P175" s="320"/>
    </row>
    <row r="176" spans="1:16">
      <c r="A176" s="320"/>
      <c r="B176" s="64"/>
      <c r="C176" s="320"/>
      <c r="D176" s="320"/>
      <c r="E176" s="320"/>
      <c r="F176" s="64"/>
      <c r="G176" s="64"/>
      <c r="H176" s="64"/>
      <c r="I176" s="320"/>
      <c r="J176" s="320"/>
      <c r="K176" s="320"/>
      <c r="L176" s="320"/>
      <c r="M176" s="320"/>
      <c r="N176" s="320"/>
      <c r="O176" s="320"/>
      <c r="P176" s="320"/>
    </row>
    <row r="177" spans="1:16">
      <c r="A177" s="320"/>
      <c r="B177" s="64"/>
      <c r="C177" s="320"/>
      <c r="D177" s="320"/>
      <c r="E177" s="320"/>
      <c r="F177" s="64"/>
      <c r="G177" s="64"/>
      <c r="H177" s="64"/>
      <c r="I177" s="320"/>
      <c r="J177" s="320"/>
      <c r="K177" s="320"/>
      <c r="L177" s="320"/>
      <c r="M177" s="320"/>
      <c r="N177" s="320"/>
      <c r="O177" s="320"/>
      <c r="P177" s="320"/>
    </row>
    <row r="178" spans="1:16">
      <c r="A178" s="320"/>
      <c r="B178" s="64"/>
      <c r="C178" s="320"/>
      <c r="D178" s="320"/>
      <c r="E178" s="320"/>
      <c r="F178" s="64"/>
      <c r="G178" s="64"/>
      <c r="H178" s="64"/>
      <c r="I178" s="320"/>
      <c r="J178" s="320"/>
      <c r="K178" s="320"/>
      <c r="L178" s="320"/>
      <c r="M178" s="320"/>
      <c r="N178" s="320"/>
      <c r="O178" s="320"/>
      <c r="P178" s="320"/>
    </row>
    <row r="179" spans="1:16">
      <c r="A179" s="320"/>
      <c r="B179" s="64"/>
      <c r="C179" s="320"/>
      <c r="D179" s="320"/>
      <c r="E179" s="320"/>
      <c r="F179" s="64"/>
      <c r="G179" s="64"/>
      <c r="H179" s="64"/>
      <c r="I179" s="320"/>
      <c r="J179" s="320"/>
      <c r="K179" s="320"/>
      <c r="L179" s="320"/>
      <c r="M179" s="320"/>
      <c r="N179" s="320"/>
      <c r="O179" s="320"/>
      <c r="P179" s="320"/>
    </row>
  </sheetData>
  <dataConsolidate/>
  <mergeCells count="42">
    <mergeCell ref="AA96:AF96"/>
    <mergeCell ref="R102:W102"/>
    <mergeCell ref="R1:T1"/>
    <mergeCell ref="O3:P3"/>
    <mergeCell ref="A4:A5"/>
    <mergeCell ref="O4:P5"/>
    <mergeCell ref="C1:I1"/>
    <mergeCell ref="J1:N1"/>
    <mergeCell ref="O1:P1"/>
    <mergeCell ref="A15:A20"/>
    <mergeCell ref="A21:A24"/>
    <mergeCell ref="O21:P24"/>
    <mergeCell ref="A6:A8"/>
    <mergeCell ref="O6:P8"/>
    <mergeCell ref="A9:A13"/>
    <mergeCell ref="R25:T25"/>
    <mergeCell ref="A26:A27"/>
    <mergeCell ref="A28:A32"/>
    <mergeCell ref="A33:A35"/>
    <mergeCell ref="O33:O35"/>
    <mergeCell ref="P33:P35"/>
    <mergeCell ref="U37:V37"/>
    <mergeCell ref="A39:A40"/>
    <mergeCell ref="A41:A43"/>
    <mergeCell ref="O41:P43"/>
    <mergeCell ref="X42:Z42"/>
    <mergeCell ref="A36:A37"/>
    <mergeCell ref="O36:O37"/>
    <mergeCell ref="P36:P37"/>
    <mergeCell ref="R36:T36"/>
    <mergeCell ref="AB42:AD42"/>
    <mergeCell ref="O44:P44"/>
    <mergeCell ref="A45:A48"/>
    <mergeCell ref="O45:O48"/>
    <mergeCell ref="P45:P48"/>
    <mergeCell ref="R82:W82"/>
    <mergeCell ref="A49:A50"/>
    <mergeCell ref="R50:T50"/>
    <mergeCell ref="A51:A52"/>
    <mergeCell ref="A53:A54"/>
    <mergeCell ref="A55:A56"/>
    <mergeCell ref="R63:W63"/>
  </mergeCells>
  <conditionalFormatting sqref="L3:L56">
    <cfRule type="expression" dxfId="99" priority="13">
      <formula>(L3&lt;E3)</formula>
    </cfRule>
  </conditionalFormatting>
  <conditionalFormatting sqref="L3">
    <cfRule type="cellIs" dxfId="98" priority="12" operator="lessThan">
      <formula>$E$3</formula>
    </cfRule>
  </conditionalFormatting>
  <conditionalFormatting sqref="N3:N56">
    <cfRule type="cellIs" dxfId="97" priority="11" operator="lessThan">
      <formula>0</formula>
    </cfRule>
  </conditionalFormatting>
  <conditionalFormatting sqref="S84:X95">
    <cfRule type="cellIs" dxfId="96" priority="9" operator="greaterThan">
      <formula>0</formula>
    </cfRule>
  </conditionalFormatting>
  <conditionalFormatting sqref="S65:X76">
    <cfRule type="cellIs" dxfId="95" priority="10" operator="greaterThan">
      <formula>0</formula>
    </cfRule>
  </conditionalFormatting>
  <conditionalFormatting sqref="AB98:AG109">
    <cfRule type="cellIs" dxfId="94" priority="4" operator="greaterThan">
      <formula>0</formula>
    </cfRule>
  </conditionalFormatting>
  <conditionalFormatting sqref="X104:X115">
    <cfRule type="cellIs" dxfId="93" priority="3" operator="greaterThan">
      <formula>0</formula>
    </cfRule>
  </conditionalFormatting>
  <conditionalFormatting sqref="S104:S115">
    <cfRule type="cellIs" dxfId="92" priority="1" operator="greaterThan">
      <formula>0</formula>
    </cfRule>
  </conditionalFormatting>
  <conditionalFormatting sqref="T104:W115">
    <cfRule type="cellIs" dxfId="91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9"/>
  <sheetViews>
    <sheetView topLeftCell="V5" zoomScale="90" zoomScaleNormal="90" workbookViewId="0">
      <selection activeCell="AH28" sqref="AH2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7" width="23.7109375" style="61" customWidth="1"/>
    <col min="8" max="8" width="28.42578125" style="61" customWidth="1"/>
    <col min="9" max="9" width="16.140625" style="59" customWidth="1"/>
    <col min="10" max="10" width="28.85546875" style="59" customWidth="1"/>
    <col min="11" max="11" width="17.7109375" style="59" customWidth="1"/>
    <col min="12" max="12" width="16.140625" style="59" customWidth="1"/>
    <col min="13" max="14" width="17.7109375" style="59" customWidth="1"/>
    <col min="15" max="15" width="20" style="59" customWidth="1"/>
    <col min="16" max="16" width="23.28515625" style="59" customWidth="1"/>
    <col min="17" max="17" width="17.5703125" style="62" customWidth="1"/>
    <col min="18" max="18" width="26.5703125" style="10" customWidth="1"/>
    <col min="19" max="19" width="35.140625" style="59" customWidth="1"/>
    <col min="20" max="20" width="23" style="58" customWidth="1"/>
    <col min="21" max="21" width="22.85546875" style="5" customWidth="1"/>
    <col min="22" max="22" width="23.7109375" style="5" customWidth="1"/>
    <col min="23" max="23" width="21.5703125" style="5" customWidth="1"/>
    <col min="24" max="25" width="9" style="5"/>
    <col min="26" max="26" width="26" style="5" customWidth="1"/>
    <col min="27" max="27" width="14" style="5" customWidth="1"/>
    <col min="28" max="28" width="15.42578125" style="5" customWidth="1"/>
    <col min="29" max="34" width="9" style="5"/>
    <col min="35" max="35" width="17.7109375" style="5" customWidth="1"/>
    <col min="36" max="36" width="19.140625" style="5" customWidth="1"/>
    <col min="37" max="16384" width="9" style="5"/>
  </cols>
  <sheetData>
    <row r="1" spans="1:45" ht="14.25" customHeight="1">
      <c r="A1" s="197"/>
      <c r="B1" s="198"/>
      <c r="C1" s="514" t="s">
        <v>452</v>
      </c>
      <c r="D1" s="515"/>
      <c r="E1" s="515"/>
      <c r="F1" s="515"/>
      <c r="G1" s="515"/>
      <c r="H1" s="515"/>
      <c r="I1" s="516"/>
      <c r="J1" s="512" t="s">
        <v>451</v>
      </c>
      <c r="K1" s="513"/>
      <c r="L1" s="513"/>
      <c r="M1" s="513"/>
      <c r="N1" s="513"/>
      <c r="O1" s="513"/>
      <c r="P1" s="513"/>
      <c r="Q1" s="552"/>
      <c r="R1" s="7"/>
      <c r="S1" s="7"/>
      <c r="U1" s="519"/>
      <c r="V1" s="519"/>
      <c r="W1" s="519"/>
    </row>
    <row r="2" spans="1:45" ht="13.5" thickBot="1">
      <c r="A2" s="197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461</v>
      </c>
      <c r="I2" s="193" t="s">
        <v>444</v>
      </c>
      <c r="J2" s="192" t="s">
        <v>446</v>
      </c>
      <c r="K2" s="192" t="s">
        <v>34</v>
      </c>
      <c r="L2" s="192" t="s">
        <v>33</v>
      </c>
      <c r="M2" s="191" t="s">
        <v>445</v>
      </c>
      <c r="N2" s="190" t="s">
        <v>460</v>
      </c>
      <c r="O2" s="286" t="s">
        <v>462</v>
      </c>
      <c r="P2" s="190" t="s">
        <v>444</v>
      </c>
      <c r="Q2" s="245" t="s">
        <v>458</v>
      </c>
      <c r="R2" s="11"/>
      <c r="S2" s="20"/>
      <c r="U2" s="320"/>
      <c r="V2" s="320"/>
      <c r="W2" s="320"/>
      <c r="Y2" s="510"/>
      <c r="Z2" s="510"/>
      <c r="AA2" s="510"/>
      <c r="AB2" s="332"/>
      <c r="AC2" s="332"/>
      <c r="AD2" s="332"/>
      <c r="AE2" s="332"/>
      <c r="AF2" s="332"/>
    </row>
    <row r="3" spans="1:45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86">
        <v>1.5</v>
      </c>
      <c r="H3" s="86">
        <f>G3*F3</f>
        <v>197.93100000000001</v>
      </c>
      <c r="I3" s="85">
        <f>E3-H3</f>
        <v>202.06899999999999</v>
      </c>
      <c r="J3" s="181" t="s">
        <v>435</v>
      </c>
      <c r="K3" s="181">
        <v>598.85</v>
      </c>
      <c r="L3" s="181">
        <v>300</v>
      </c>
      <c r="M3" s="180">
        <f t="shared" ref="M3:M13" si="0">F3</f>
        <v>131.95400000000001</v>
      </c>
      <c r="N3" s="101">
        <v>1.5</v>
      </c>
      <c r="O3" s="83">
        <f>M3*N3</f>
        <v>197.93100000000001</v>
      </c>
      <c r="P3" s="290">
        <f>L3-O3</f>
        <v>102.06899999999999</v>
      </c>
      <c r="Q3" s="236" t="str">
        <f t="shared" ref="Q3:Q13" si="1">IF(P3&gt;=0,"No","Yes")</f>
        <v>No</v>
      </c>
      <c r="R3" s="11"/>
      <c r="S3" s="11"/>
      <c r="U3" s="320"/>
      <c r="V3" s="320"/>
      <c r="W3" s="320"/>
      <c r="Y3" s="332"/>
      <c r="Z3" s="332"/>
      <c r="AA3" s="510"/>
      <c r="AB3" s="510"/>
      <c r="AC3" s="510"/>
      <c r="AD3" s="510"/>
      <c r="AE3" s="332"/>
      <c r="AF3" s="332"/>
    </row>
    <row r="4" spans="1:45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276">
        <v>1.5</v>
      </c>
      <c r="H4" s="86">
        <f t="shared" ref="H4:H56" si="2">G4*F4</f>
        <v>119.63775</v>
      </c>
      <c r="I4" s="279">
        <f t="shared" ref="I4:I13" si="3">E4-H4</f>
        <v>80.362250000000003</v>
      </c>
      <c r="J4" s="172" t="s">
        <v>434</v>
      </c>
      <c r="K4" s="174">
        <v>561.44000000000005</v>
      </c>
      <c r="L4" s="174">
        <v>150</v>
      </c>
      <c r="M4" s="174">
        <f t="shared" si="0"/>
        <v>79.758499999999998</v>
      </c>
      <c r="N4" s="283">
        <v>1.5</v>
      </c>
      <c r="O4" s="287">
        <f t="shared" ref="O4:O56" si="4">M4*N4</f>
        <v>119.63775</v>
      </c>
      <c r="P4" s="290">
        <f t="shared" ref="P4:P13" si="5">L4-O4</f>
        <v>30.362250000000003</v>
      </c>
      <c r="Q4" s="236" t="str">
        <f t="shared" si="1"/>
        <v>No</v>
      </c>
      <c r="R4" s="11"/>
      <c r="S4" s="11"/>
      <c r="U4" s="320"/>
      <c r="V4" s="320"/>
      <c r="W4" s="320"/>
      <c r="Y4" s="331"/>
      <c r="Z4" s="331"/>
      <c r="AA4" s="331"/>
      <c r="AB4" s="331"/>
      <c r="AC4" s="331"/>
      <c r="AD4" s="331"/>
      <c r="AE4" s="332"/>
      <c r="AF4" s="332"/>
    </row>
    <row r="5" spans="1:45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6">
        <v>101.52370000000001</v>
      </c>
      <c r="G5" s="278">
        <v>1.5</v>
      </c>
      <c r="H5" s="96">
        <f t="shared" si="2"/>
        <v>152.28555</v>
      </c>
      <c r="I5" s="281">
        <f t="shared" si="3"/>
        <v>147.71445</v>
      </c>
      <c r="J5" s="92" t="s">
        <v>429</v>
      </c>
      <c r="K5" s="94">
        <v>691.82</v>
      </c>
      <c r="L5" s="94">
        <v>300</v>
      </c>
      <c r="M5" s="94">
        <f t="shared" si="0"/>
        <v>101.52370000000001</v>
      </c>
      <c r="N5" s="284">
        <v>1.5</v>
      </c>
      <c r="O5" s="288">
        <f t="shared" si="4"/>
        <v>152.28555</v>
      </c>
      <c r="P5" s="290">
        <f t="shared" si="5"/>
        <v>147.71445</v>
      </c>
      <c r="Q5" s="236" t="str">
        <f t="shared" si="1"/>
        <v>No</v>
      </c>
      <c r="R5" s="243" t="s">
        <v>440</v>
      </c>
      <c r="S5" s="16" t="s">
        <v>457</v>
      </c>
      <c r="U5" s="320"/>
      <c r="V5" s="320"/>
      <c r="W5" s="320"/>
      <c r="Y5" s="332"/>
      <c r="Z5" s="332"/>
      <c r="AA5" s="332"/>
      <c r="AB5" s="332"/>
      <c r="AC5" s="332"/>
      <c r="AD5" s="332"/>
      <c r="AE5" s="332"/>
      <c r="AF5" s="332"/>
    </row>
    <row r="6" spans="1:45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276">
        <v>1.5</v>
      </c>
      <c r="H6" s="86">
        <f t="shared" si="2"/>
        <v>890.08500000000004</v>
      </c>
      <c r="I6" s="279">
        <f t="shared" si="3"/>
        <v>309.91499999999996</v>
      </c>
      <c r="J6" s="101" t="s">
        <v>431</v>
      </c>
      <c r="K6" s="84">
        <v>778.62</v>
      </c>
      <c r="L6" s="84">
        <v>1200</v>
      </c>
      <c r="M6" s="84">
        <f t="shared" si="0"/>
        <v>593.39</v>
      </c>
      <c r="N6" s="283">
        <v>1.5</v>
      </c>
      <c r="O6" s="287">
        <f t="shared" si="4"/>
        <v>890.08500000000004</v>
      </c>
      <c r="P6" s="290">
        <f t="shared" si="5"/>
        <v>309.91499999999996</v>
      </c>
      <c r="Q6" s="236" t="str">
        <f t="shared" si="1"/>
        <v>No</v>
      </c>
      <c r="R6" s="242"/>
      <c r="S6" s="216"/>
      <c r="U6" s="320"/>
      <c r="V6" s="320"/>
      <c r="W6" s="320"/>
      <c r="Y6" s="332"/>
      <c r="Z6" s="332"/>
      <c r="AA6" s="332"/>
      <c r="AB6" s="332"/>
      <c r="AC6" s="332"/>
      <c r="AD6" s="332"/>
      <c r="AE6" s="332"/>
      <c r="AF6" s="332"/>
    </row>
    <row r="7" spans="1:45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278">
        <v>1.5</v>
      </c>
      <c r="H7" s="96">
        <f t="shared" si="2"/>
        <v>248.31</v>
      </c>
      <c r="I7" s="281">
        <f t="shared" si="3"/>
        <v>251.69</v>
      </c>
      <c r="J7" s="102" t="s">
        <v>430</v>
      </c>
      <c r="K7" s="108">
        <v>904.18</v>
      </c>
      <c r="L7" s="108">
        <v>300</v>
      </c>
      <c r="M7" s="108">
        <f t="shared" si="0"/>
        <v>165.54</v>
      </c>
      <c r="N7" s="284">
        <v>1.5</v>
      </c>
      <c r="O7" s="288">
        <f t="shared" si="4"/>
        <v>248.31</v>
      </c>
      <c r="P7" s="290">
        <f t="shared" si="5"/>
        <v>51.69</v>
      </c>
      <c r="Q7" s="236" t="str">
        <f t="shared" si="1"/>
        <v>No</v>
      </c>
      <c r="R7" s="240" t="s">
        <v>351</v>
      </c>
      <c r="S7" s="238" t="s">
        <v>351</v>
      </c>
      <c r="U7" s="320"/>
      <c r="V7" s="320"/>
      <c r="W7" s="320"/>
      <c r="Y7" s="332"/>
      <c r="Z7" s="520" t="s">
        <v>573</v>
      </c>
      <c r="AA7" s="521"/>
      <c r="AB7" s="521"/>
      <c r="AC7" s="521"/>
      <c r="AD7" s="521"/>
      <c r="AE7" s="522"/>
      <c r="AF7" s="164"/>
    </row>
    <row r="8" spans="1:45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278">
        <v>1.5</v>
      </c>
      <c r="H8" s="96">
        <f t="shared" si="2"/>
        <v>152.28555</v>
      </c>
      <c r="I8" s="281">
        <f t="shared" si="3"/>
        <v>147.71445</v>
      </c>
      <c r="J8" s="92" t="s">
        <v>429</v>
      </c>
      <c r="K8" s="94">
        <v>691.82</v>
      </c>
      <c r="L8" s="94">
        <v>300</v>
      </c>
      <c r="M8" s="94">
        <f t="shared" si="0"/>
        <v>101.52370000000001</v>
      </c>
      <c r="N8" s="284">
        <v>1.5</v>
      </c>
      <c r="O8" s="288">
        <f t="shared" si="4"/>
        <v>152.28555</v>
      </c>
      <c r="P8" s="290">
        <f t="shared" si="5"/>
        <v>147.71445</v>
      </c>
      <c r="Q8" s="236" t="str">
        <f t="shared" si="1"/>
        <v>No</v>
      </c>
      <c r="R8" s="239"/>
      <c r="S8" s="238"/>
      <c r="U8" s="320"/>
      <c r="V8" s="320"/>
      <c r="W8" s="320"/>
      <c r="Y8" s="332"/>
      <c r="Z8" s="336" t="s">
        <v>506</v>
      </c>
      <c r="AA8" s="338" t="s">
        <v>507</v>
      </c>
      <c r="AB8" s="338" t="s">
        <v>508</v>
      </c>
      <c r="AC8" s="338" t="s">
        <v>509</v>
      </c>
      <c r="AD8" s="338" t="s">
        <v>510</v>
      </c>
      <c r="AE8" s="339" t="s">
        <v>558</v>
      </c>
      <c r="AF8" s="312" t="s">
        <v>417</v>
      </c>
    </row>
    <row r="9" spans="1:45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276">
        <v>1.5</v>
      </c>
      <c r="H9" s="86">
        <f t="shared" si="2"/>
        <v>495.05579999999998</v>
      </c>
      <c r="I9" s="279">
        <f t="shared" si="3"/>
        <v>104.94420000000002</v>
      </c>
      <c r="J9" s="101" t="s">
        <v>428</v>
      </c>
      <c r="K9" s="84">
        <v>243.73500000000001</v>
      </c>
      <c r="L9" s="84">
        <v>500</v>
      </c>
      <c r="M9" s="84">
        <f t="shared" si="0"/>
        <v>330.03719999999998</v>
      </c>
      <c r="N9" s="283">
        <v>1.5</v>
      </c>
      <c r="O9" s="287">
        <f t="shared" si="4"/>
        <v>495.05579999999998</v>
      </c>
      <c r="P9" s="290">
        <f t="shared" si="5"/>
        <v>4.9442000000000235</v>
      </c>
      <c r="Q9" s="236" t="str">
        <f t="shared" si="1"/>
        <v>No</v>
      </c>
      <c r="R9" s="211"/>
      <c r="S9" s="106"/>
      <c r="U9" s="320"/>
      <c r="V9" s="320"/>
      <c r="W9" s="320"/>
      <c r="Y9" s="332"/>
      <c r="Z9" s="60" t="s">
        <v>84</v>
      </c>
      <c r="AA9" s="340">
        <v>0</v>
      </c>
      <c r="AB9" s="340">
        <v>0</v>
      </c>
      <c r="AC9" s="341">
        <v>0</v>
      </c>
      <c r="AD9" s="341">
        <v>0</v>
      </c>
      <c r="AE9" s="342">
        <v>0</v>
      </c>
      <c r="AF9" s="343">
        <f>SUM(AA9:AE9)</f>
        <v>0</v>
      </c>
      <c r="AH9" s="320"/>
    </row>
    <row r="10" spans="1:45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278">
        <v>1.5</v>
      </c>
      <c r="H10" s="96">
        <f t="shared" si="2"/>
        <v>300.16500000000002</v>
      </c>
      <c r="I10" s="281">
        <f t="shared" si="3"/>
        <v>99.83499999999998</v>
      </c>
      <c r="J10" s="102" t="s">
        <v>427</v>
      </c>
      <c r="K10" s="108">
        <v>614.06500000000005</v>
      </c>
      <c r="L10" s="108">
        <v>300</v>
      </c>
      <c r="M10" s="108">
        <f t="shared" si="0"/>
        <v>200.11</v>
      </c>
      <c r="N10" s="284">
        <v>1.5</v>
      </c>
      <c r="O10" s="288">
        <f t="shared" si="4"/>
        <v>300.16500000000002</v>
      </c>
      <c r="P10" s="290">
        <f t="shared" si="5"/>
        <v>-0.16500000000002046</v>
      </c>
      <c r="Q10" s="236" t="s">
        <v>478</v>
      </c>
      <c r="R10" s="210"/>
      <c r="S10" s="207"/>
      <c r="U10" s="320"/>
      <c r="V10" s="320"/>
      <c r="W10" s="320"/>
      <c r="Y10" s="332"/>
      <c r="Z10" s="60" t="s">
        <v>85</v>
      </c>
      <c r="AA10" s="340">
        <v>1</v>
      </c>
      <c r="AB10" s="340">
        <v>0</v>
      </c>
      <c r="AC10" s="340">
        <v>0</v>
      </c>
      <c r="AD10" s="340">
        <v>0</v>
      </c>
      <c r="AE10" s="342">
        <v>0</v>
      </c>
      <c r="AF10" s="60">
        <f t="shared" ref="AF10:AF20" si="6">SUM(AA10:AE10)</f>
        <v>1</v>
      </c>
      <c r="AH10" s="320"/>
      <c r="AP10" s="35"/>
      <c r="AQ10" s="35"/>
      <c r="AR10" s="35"/>
      <c r="AS10" s="35"/>
    </row>
    <row r="11" spans="1:45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278">
        <v>1.5</v>
      </c>
      <c r="H11" s="96">
        <f t="shared" si="2"/>
        <v>624.22170000000006</v>
      </c>
      <c r="I11" s="281">
        <f t="shared" si="3"/>
        <v>125.77829999999994</v>
      </c>
      <c r="J11" s="102" t="s">
        <v>426</v>
      </c>
      <c r="K11" s="108">
        <v>692.19500000000005</v>
      </c>
      <c r="L11" s="108">
        <v>750</v>
      </c>
      <c r="M11" s="108">
        <f t="shared" si="0"/>
        <v>416.14780000000002</v>
      </c>
      <c r="N11" s="284">
        <v>1.5</v>
      </c>
      <c r="O11" s="288">
        <f t="shared" si="4"/>
        <v>624.22170000000006</v>
      </c>
      <c r="P11" s="290">
        <f t="shared" si="5"/>
        <v>125.77829999999994</v>
      </c>
      <c r="Q11" s="236" t="str">
        <f t="shared" si="1"/>
        <v>No</v>
      </c>
      <c r="R11" s="210"/>
      <c r="S11" s="207"/>
      <c r="U11" s="320"/>
      <c r="V11" s="320"/>
      <c r="W11" s="320"/>
      <c r="Y11" s="332"/>
      <c r="Z11" s="60" t="s">
        <v>86</v>
      </c>
      <c r="AA11" s="340">
        <v>1</v>
      </c>
      <c r="AB11" s="340">
        <v>1</v>
      </c>
      <c r="AC11" s="340">
        <v>0</v>
      </c>
      <c r="AD11" s="340">
        <v>0</v>
      </c>
      <c r="AE11" s="342">
        <v>0</v>
      </c>
      <c r="AF11" s="60">
        <f t="shared" si="6"/>
        <v>2</v>
      </c>
      <c r="AH11" s="408"/>
    </row>
    <row r="12" spans="1:45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278">
        <v>1.5</v>
      </c>
      <c r="H12" s="96">
        <f t="shared" si="2"/>
        <v>481.16999999999996</v>
      </c>
      <c r="I12" s="281">
        <f t="shared" si="3"/>
        <v>118.83000000000004</v>
      </c>
      <c r="J12" s="102" t="s">
        <v>420</v>
      </c>
      <c r="K12" s="108">
        <v>440.09</v>
      </c>
      <c r="L12" s="108">
        <v>600</v>
      </c>
      <c r="M12" s="108">
        <f t="shared" si="0"/>
        <v>320.77999999999997</v>
      </c>
      <c r="N12" s="284">
        <v>1.5</v>
      </c>
      <c r="O12" s="288">
        <f t="shared" si="4"/>
        <v>481.16999999999996</v>
      </c>
      <c r="P12" s="290">
        <f t="shared" si="5"/>
        <v>118.83000000000004</v>
      </c>
      <c r="Q12" s="236" t="str">
        <f t="shared" si="1"/>
        <v>No</v>
      </c>
      <c r="R12" s="210"/>
      <c r="S12" s="207"/>
      <c r="U12" s="320"/>
      <c r="V12" s="320"/>
      <c r="W12" s="320"/>
      <c r="Y12" s="332"/>
      <c r="Z12" s="60" t="s">
        <v>87</v>
      </c>
      <c r="AA12" s="340">
        <v>0</v>
      </c>
      <c r="AB12" s="340">
        <v>0</v>
      </c>
      <c r="AC12" s="340">
        <v>3</v>
      </c>
      <c r="AD12" s="340">
        <v>0</v>
      </c>
      <c r="AE12" s="342">
        <v>0</v>
      </c>
      <c r="AF12" s="60">
        <f t="shared" si="6"/>
        <v>3</v>
      </c>
      <c r="AH12" s="64"/>
      <c r="AI12" s="409"/>
      <c r="AJ12" s="409"/>
    </row>
    <row r="13" spans="1:45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277">
        <v>1.5</v>
      </c>
      <c r="H13" s="74">
        <f t="shared" si="2"/>
        <v>33.525000000000006</v>
      </c>
      <c r="I13" s="280">
        <f t="shared" si="3"/>
        <v>166.47499999999999</v>
      </c>
      <c r="J13" s="92" t="s">
        <v>418</v>
      </c>
      <c r="K13" s="94">
        <v>541.49</v>
      </c>
      <c r="L13" s="94">
        <v>150</v>
      </c>
      <c r="M13" s="94">
        <f t="shared" si="0"/>
        <v>22.35</v>
      </c>
      <c r="N13" s="285">
        <v>1.5</v>
      </c>
      <c r="O13" s="289">
        <f t="shared" si="4"/>
        <v>33.525000000000006</v>
      </c>
      <c r="P13" s="290">
        <f t="shared" si="5"/>
        <v>116.47499999999999</v>
      </c>
      <c r="Q13" s="236" t="str">
        <f t="shared" si="1"/>
        <v>No</v>
      </c>
      <c r="R13" s="209"/>
      <c r="S13" s="105"/>
      <c r="U13" s="320"/>
      <c r="V13" s="320"/>
      <c r="W13" s="320"/>
      <c r="Y13" s="332"/>
      <c r="Z13" s="60" t="s">
        <v>88</v>
      </c>
      <c r="AA13" s="340">
        <v>1</v>
      </c>
      <c r="AB13" s="340">
        <v>2</v>
      </c>
      <c r="AC13" s="340">
        <v>3</v>
      </c>
      <c r="AD13" s="340">
        <v>0</v>
      </c>
      <c r="AE13" s="342">
        <v>0</v>
      </c>
      <c r="AF13" s="60">
        <f t="shared" si="6"/>
        <v>6</v>
      </c>
      <c r="AG13" s="332"/>
      <c r="AH13" s="342"/>
      <c r="AI13" s="406" t="s">
        <v>512</v>
      </c>
      <c r="AJ13" s="406" t="s">
        <v>513</v>
      </c>
      <c r="AK13" s="344" t="s">
        <v>514</v>
      </c>
    </row>
    <row r="14" spans="1:45" ht="13.5" thickBot="1">
      <c r="A14" s="114" t="s">
        <v>426</v>
      </c>
      <c r="B14" s="88" t="s">
        <v>351</v>
      </c>
      <c r="C14" s="161"/>
      <c r="D14" s="86"/>
      <c r="E14" s="86"/>
      <c r="F14" s="86"/>
      <c r="G14" s="96">
        <v>1.5</v>
      </c>
      <c r="H14" s="96">
        <f t="shared" si="2"/>
        <v>0</v>
      </c>
      <c r="I14" s="95"/>
      <c r="J14" s="84"/>
      <c r="K14" s="84"/>
      <c r="L14" s="84"/>
      <c r="M14" s="83"/>
      <c r="N14" s="92">
        <v>1.5</v>
      </c>
      <c r="O14" s="93">
        <f t="shared" si="4"/>
        <v>0</v>
      </c>
      <c r="P14" s="82"/>
      <c r="Q14" s="84"/>
      <c r="R14" s="235"/>
      <c r="S14" s="111"/>
      <c r="U14" s="320"/>
      <c r="V14" s="320"/>
      <c r="W14" s="320"/>
      <c r="Y14" s="332"/>
      <c r="Z14" s="60" t="s">
        <v>89</v>
      </c>
      <c r="AA14" s="340">
        <v>1</v>
      </c>
      <c r="AB14" s="340">
        <v>0</v>
      </c>
      <c r="AC14" s="340">
        <v>0</v>
      </c>
      <c r="AD14" s="340">
        <v>0</v>
      </c>
      <c r="AE14" s="342">
        <v>0</v>
      </c>
      <c r="AF14" s="60">
        <f t="shared" si="6"/>
        <v>1</v>
      </c>
      <c r="AG14" s="331"/>
      <c r="AH14" s="342"/>
      <c r="AI14" s="61" t="s">
        <v>507</v>
      </c>
      <c r="AJ14" s="61">
        <v>100</v>
      </c>
      <c r="AK14" s="416">
        <v>15</v>
      </c>
    </row>
    <row r="15" spans="1:45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276">
        <v>1.5</v>
      </c>
      <c r="H15" s="86">
        <f t="shared" si="2"/>
        <v>621.76125000000002</v>
      </c>
      <c r="I15" s="279">
        <f>E15-H15</f>
        <v>178.23874999999998</v>
      </c>
      <c r="J15" s="101" t="s">
        <v>424</v>
      </c>
      <c r="K15" s="84">
        <v>527.53499999999997</v>
      </c>
      <c r="L15" s="84">
        <v>800</v>
      </c>
      <c r="M15" s="84">
        <f t="shared" ref="M15:M24" si="7">F15</f>
        <v>414.50749999999999</v>
      </c>
      <c r="N15" s="283">
        <v>1.5</v>
      </c>
      <c r="O15" s="287">
        <f t="shared" si="4"/>
        <v>621.76125000000002</v>
      </c>
      <c r="P15" s="203">
        <f>L15-O15</f>
        <v>178.23874999999998</v>
      </c>
      <c r="Q15" s="83" t="str">
        <f t="shared" ref="Q15:Q24" si="8">IF(P15&gt;=0,"No","Yes")</f>
        <v>No</v>
      </c>
      <c r="R15" s="60"/>
      <c r="S15" s="89"/>
      <c r="U15" s="197"/>
      <c r="V15" s="320"/>
      <c r="W15" s="320"/>
      <c r="Y15" s="332"/>
      <c r="Z15" s="60" t="s">
        <v>90</v>
      </c>
      <c r="AA15" s="340">
        <v>0</v>
      </c>
      <c r="AB15" s="340">
        <v>1</v>
      </c>
      <c r="AC15" s="340">
        <v>0</v>
      </c>
      <c r="AD15" s="340">
        <v>0</v>
      </c>
      <c r="AE15" s="342">
        <v>0</v>
      </c>
      <c r="AF15" s="60">
        <f t="shared" si="6"/>
        <v>1</v>
      </c>
      <c r="AG15" s="331"/>
      <c r="AH15" s="342"/>
      <c r="AI15" s="345" t="s">
        <v>508</v>
      </c>
      <c r="AJ15" s="345">
        <v>150</v>
      </c>
      <c r="AK15" s="417">
        <v>16.3689</v>
      </c>
    </row>
    <row r="16" spans="1:45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278">
        <v>1.5</v>
      </c>
      <c r="H16" s="96">
        <f t="shared" si="2"/>
        <v>373.59030000000001</v>
      </c>
      <c r="I16" s="281">
        <f t="shared" ref="I16:I24" si="9">E16-H16</f>
        <v>226.40969999999999</v>
      </c>
      <c r="J16" s="102" t="s">
        <v>422</v>
      </c>
      <c r="K16" s="108">
        <v>258.625</v>
      </c>
      <c r="L16" s="108">
        <v>500</v>
      </c>
      <c r="M16" s="108">
        <f t="shared" si="7"/>
        <v>249.06020000000001</v>
      </c>
      <c r="N16" s="284">
        <v>1.5</v>
      </c>
      <c r="O16" s="288">
        <f t="shared" si="4"/>
        <v>373.59030000000001</v>
      </c>
      <c r="P16" s="203">
        <f t="shared" ref="P16:P24" si="10">L16-O16</f>
        <v>126.40969999999999</v>
      </c>
      <c r="Q16" s="83" t="str">
        <f t="shared" si="8"/>
        <v>No</v>
      </c>
      <c r="R16" s="60"/>
      <c r="S16" s="99"/>
      <c r="Y16" s="332"/>
      <c r="Z16" s="60" t="s">
        <v>91</v>
      </c>
      <c r="AA16" s="340">
        <v>1</v>
      </c>
      <c r="AB16" s="340">
        <v>3</v>
      </c>
      <c r="AC16" s="342">
        <v>0</v>
      </c>
      <c r="AD16" s="342">
        <v>0</v>
      </c>
      <c r="AE16" s="342">
        <v>0</v>
      </c>
      <c r="AF16" s="60">
        <f t="shared" si="6"/>
        <v>4</v>
      </c>
      <c r="AG16" s="332"/>
      <c r="AH16" s="342"/>
      <c r="AI16" s="345" t="s">
        <v>509</v>
      </c>
      <c r="AJ16" s="345">
        <v>200</v>
      </c>
      <c r="AK16" s="417">
        <v>16.746700000000001</v>
      </c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278">
        <v>1.5</v>
      </c>
      <c r="H17" s="96">
        <f t="shared" si="2"/>
        <v>278.15129999999999</v>
      </c>
      <c r="I17" s="281">
        <f t="shared" si="9"/>
        <v>171.84870000000001</v>
      </c>
      <c r="J17" s="102" t="s">
        <v>385</v>
      </c>
      <c r="K17" s="108">
        <v>975.03499999999997</v>
      </c>
      <c r="L17" s="108">
        <v>450</v>
      </c>
      <c r="M17" s="108">
        <f t="shared" si="7"/>
        <v>185.4342</v>
      </c>
      <c r="N17" s="284">
        <v>1.5</v>
      </c>
      <c r="O17" s="288">
        <f t="shared" si="4"/>
        <v>278.15129999999999</v>
      </c>
      <c r="P17" s="203">
        <f t="shared" si="10"/>
        <v>171.84870000000001</v>
      </c>
      <c r="Q17" s="83" t="str">
        <f t="shared" si="8"/>
        <v>No</v>
      </c>
      <c r="R17" s="60"/>
      <c r="S17" s="99"/>
      <c r="Y17" s="332"/>
      <c r="Z17" s="60" t="s">
        <v>92</v>
      </c>
      <c r="AA17" s="342">
        <v>0</v>
      </c>
      <c r="AB17" s="342">
        <v>0</v>
      </c>
      <c r="AC17" s="342">
        <v>1</v>
      </c>
      <c r="AD17" s="342">
        <v>0</v>
      </c>
      <c r="AE17" s="342">
        <v>0</v>
      </c>
      <c r="AF17" s="60">
        <f t="shared" si="6"/>
        <v>1</v>
      </c>
      <c r="AG17" s="332"/>
      <c r="AH17" s="409"/>
      <c r="AI17" s="345" t="s">
        <v>510</v>
      </c>
      <c r="AJ17" s="345">
        <v>250</v>
      </c>
      <c r="AK17" s="417">
        <v>16.886600000000001</v>
      </c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278">
        <v>1.5</v>
      </c>
      <c r="H18" s="96">
        <f t="shared" si="2"/>
        <v>320.77244999999999</v>
      </c>
      <c r="I18" s="281">
        <f t="shared" si="9"/>
        <v>129.22755000000001</v>
      </c>
      <c r="J18" s="102" t="s">
        <v>421</v>
      </c>
      <c r="K18" s="108">
        <v>1025.3</v>
      </c>
      <c r="L18" s="108">
        <v>450</v>
      </c>
      <c r="M18" s="108">
        <f t="shared" si="7"/>
        <v>213.84829999999999</v>
      </c>
      <c r="N18" s="284">
        <v>1.5</v>
      </c>
      <c r="O18" s="288">
        <f t="shared" si="4"/>
        <v>320.77244999999999</v>
      </c>
      <c r="P18" s="203">
        <f t="shared" si="10"/>
        <v>129.22755000000001</v>
      </c>
      <c r="Q18" s="83" t="str">
        <f t="shared" si="8"/>
        <v>No</v>
      </c>
      <c r="R18" s="60"/>
      <c r="S18" s="89"/>
      <c r="U18" s="234"/>
      <c r="V18" s="58"/>
      <c r="Y18" s="332"/>
      <c r="Z18" s="60" t="s">
        <v>93</v>
      </c>
      <c r="AA18" s="342">
        <v>2</v>
      </c>
      <c r="AB18" s="340">
        <v>1</v>
      </c>
      <c r="AC18" s="342">
        <v>1</v>
      </c>
      <c r="AD18" s="342">
        <v>0</v>
      </c>
      <c r="AE18" s="342">
        <v>0</v>
      </c>
      <c r="AF18" s="60">
        <f t="shared" si="6"/>
        <v>4</v>
      </c>
      <c r="AG18" s="332"/>
      <c r="AH18" s="332"/>
      <c r="AI18" s="346" t="s">
        <v>558</v>
      </c>
      <c r="AJ18" s="346">
        <v>300</v>
      </c>
      <c r="AK18" s="418">
        <v>17</v>
      </c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278">
        <v>1.5</v>
      </c>
      <c r="H19" s="96">
        <f t="shared" si="2"/>
        <v>481.17255</v>
      </c>
      <c r="I19" s="281">
        <f t="shared" si="9"/>
        <v>118.82745</v>
      </c>
      <c r="J19" s="102" t="s">
        <v>420</v>
      </c>
      <c r="K19" s="108">
        <v>440.09</v>
      </c>
      <c r="L19" s="108">
        <v>600</v>
      </c>
      <c r="M19" s="108">
        <f t="shared" si="7"/>
        <v>320.7817</v>
      </c>
      <c r="N19" s="284">
        <v>1.5</v>
      </c>
      <c r="O19" s="288">
        <f t="shared" si="4"/>
        <v>481.17255</v>
      </c>
      <c r="P19" s="203">
        <f t="shared" si="10"/>
        <v>118.82745</v>
      </c>
      <c r="Q19" s="83" t="str">
        <f t="shared" si="8"/>
        <v>No</v>
      </c>
      <c r="R19" s="60"/>
      <c r="S19" s="89"/>
      <c r="U19" s="270" t="s">
        <v>455</v>
      </c>
      <c r="V19" s="271"/>
      <c r="W19" s="274"/>
      <c r="Y19" s="332"/>
      <c r="Z19" s="60" t="s">
        <v>94</v>
      </c>
      <c r="AA19" s="342">
        <v>3</v>
      </c>
      <c r="AB19" s="340">
        <v>1</v>
      </c>
      <c r="AC19" s="342">
        <v>1</v>
      </c>
      <c r="AD19" s="342">
        <v>0</v>
      </c>
      <c r="AE19" s="342">
        <v>0</v>
      </c>
      <c r="AF19" s="60">
        <f t="shared" si="6"/>
        <v>5</v>
      </c>
      <c r="AG19" s="18"/>
      <c r="AH19" s="18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278">
        <v>1.5</v>
      </c>
      <c r="H20" s="96">
        <f t="shared" si="2"/>
        <v>33.525000000000006</v>
      </c>
      <c r="I20" s="281">
        <f t="shared" si="9"/>
        <v>166.47499999999999</v>
      </c>
      <c r="J20" s="92" t="s">
        <v>418</v>
      </c>
      <c r="K20" s="94">
        <v>541.49</v>
      </c>
      <c r="L20" s="94">
        <v>150</v>
      </c>
      <c r="M20" s="94">
        <f t="shared" si="7"/>
        <v>22.35</v>
      </c>
      <c r="N20" s="284">
        <v>1.5</v>
      </c>
      <c r="O20" s="288">
        <f t="shared" si="4"/>
        <v>33.525000000000006</v>
      </c>
      <c r="P20" s="203">
        <f t="shared" si="10"/>
        <v>116.47499999999999</v>
      </c>
      <c r="Q20" s="83" t="str">
        <f t="shared" si="8"/>
        <v>No</v>
      </c>
      <c r="R20" s="60"/>
      <c r="S20" s="99"/>
      <c r="U20" s="91"/>
      <c r="V20" s="20"/>
      <c r="W20" s="100"/>
      <c r="Y20" s="332"/>
      <c r="Z20" s="347" t="s">
        <v>505</v>
      </c>
      <c r="AA20" s="348">
        <v>0</v>
      </c>
      <c r="AB20" s="348">
        <v>0</v>
      </c>
      <c r="AC20" s="348">
        <v>0</v>
      </c>
      <c r="AD20" s="348">
        <v>0</v>
      </c>
      <c r="AE20" s="348">
        <v>0</v>
      </c>
      <c r="AF20" s="347">
        <f t="shared" si="6"/>
        <v>0</v>
      </c>
      <c r="AG20" s="332"/>
      <c r="AH20" s="332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276">
        <v>1.5</v>
      </c>
      <c r="H21" s="86">
        <f t="shared" si="2"/>
        <v>300.16829999999999</v>
      </c>
      <c r="I21" s="279">
        <f t="shared" si="9"/>
        <v>99.831700000000012</v>
      </c>
      <c r="J21" s="101" t="s">
        <v>416</v>
      </c>
      <c r="K21" s="84">
        <v>733.18499999999995</v>
      </c>
      <c r="L21" s="84">
        <v>300</v>
      </c>
      <c r="M21" s="84">
        <f t="shared" si="7"/>
        <v>200.1122</v>
      </c>
      <c r="N21" s="283">
        <v>1.5</v>
      </c>
      <c r="O21" s="287">
        <f t="shared" si="4"/>
        <v>300.16829999999999</v>
      </c>
      <c r="P21" s="203">
        <f t="shared" si="10"/>
        <v>-0.1682999999999879</v>
      </c>
      <c r="Q21" s="218" t="s">
        <v>478</v>
      </c>
      <c r="R21" s="211"/>
      <c r="S21" s="106"/>
      <c r="U21" s="138" t="s">
        <v>390</v>
      </c>
      <c r="V21" s="137" t="s">
        <v>389</v>
      </c>
      <c r="W21" s="136" t="s">
        <v>388</v>
      </c>
      <c r="Y21" s="18"/>
      <c r="Z21" s="312" t="s">
        <v>515</v>
      </c>
      <c r="AA21" s="349">
        <f t="shared" ref="AA21:AF21" si="11">SUM(AA9:AA20)</f>
        <v>10</v>
      </c>
      <c r="AB21" s="349">
        <f t="shared" si="11"/>
        <v>9</v>
      </c>
      <c r="AC21" s="349">
        <f t="shared" si="11"/>
        <v>9</v>
      </c>
      <c r="AD21" s="349">
        <f t="shared" si="11"/>
        <v>0</v>
      </c>
      <c r="AE21" s="349">
        <f t="shared" si="11"/>
        <v>0</v>
      </c>
      <c r="AF21" s="350">
        <f t="shared" si="11"/>
        <v>28</v>
      </c>
      <c r="AG21" s="332"/>
      <c r="AH21" s="332"/>
      <c r="AI21" s="520" t="s">
        <v>575</v>
      </c>
      <c r="AJ21" s="521"/>
      <c r="AK21" s="521"/>
      <c r="AL21" s="521"/>
      <c r="AM21" s="521"/>
      <c r="AN21" s="522"/>
      <c r="AO21" s="164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278">
        <v>1.5</v>
      </c>
      <c r="H22" s="96">
        <f t="shared" si="2"/>
        <v>624.22170000000006</v>
      </c>
      <c r="I22" s="281">
        <f t="shared" si="9"/>
        <v>125.77829999999994</v>
      </c>
      <c r="J22" s="102" t="s">
        <v>361</v>
      </c>
      <c r="K22" s="108">
        <v>692.19500000000005</v>
      </c>
      <c r="L22" s="108">
        <v>750</v>
      </c>
      <c r="M22" s="108">
        <f t="shared" si="7"/>
        <v>416.14780000000002</v>
      </c>
      <c r="N22" s="284">
        <v>1.5</v>
      </c>
      <c r="O22" s="288">
        <f t="shared" si="4"/>
        <v>624.22170000000006</v>
      </c>
      <c r="P22" s="203">
        <f t="shared" si="10"/>
        <v>125.77829999999994</v>
      </c>
      <c r="Q22" s="83" t="str">
        <f t="shared" si="8"/>
        <v>No</v>
      </c>
      <c r="R22" s="210"/>
      <c r="S22" s="207"/>
      <c r="U22" s="167" t="s">
        <v>475</v>
      </c>
      <c r="V22" s="166">
        <v>46.44</v>
      </c>
      <c r="W22" s="100">
        <f>(V22/E10)*100</f>
        <v>11.61</v>
      </c>
      <c r="Y22" s="18"/>
      <c r="Z22" s="312" t="s">
        <v>514</v>
      </c>
      <c r="AA22" s="351">
        <f>PRODUCT(AA21*AK14)</f>
        <v>150</v>
      </c>
      <c r="AB22" s="414">
        <f>PRODUCT(AB21*AK15)</f>
        <v>147.3201</v>
      </c>
      <c r="AC22" s="414">
        <f>PRODUCT(AC21*AK16)</f>
        <v>150.72030000000001</v>
      </c>
      <c r="AD22" s="414">
        <f>PRODUCT(AD21*AK17)</f>
        <v>0</v>
      </c>
      <c r="AE22" s="414">
        <f>PRODUCT(AE21*AK18)</f>
        <v>0</v>
      </c>
      <c r="AF22" s="415">
        <f>SUM(AA22:AE22)</f>
        <v>448.04040000000003</v>
      </c>
      <c r="AG22" s="332"/>
      <c r="AH22" s="332"/>
      <c r="AI22" s="336" t="s">
        <v>506</v>
      </c>
      <c r="AJ22" s="338" t="s">
        <v>507</v>
      </c>
      <c r="AK22" s="338" t="s">
        <v>508</v>
      </c>
      <c r="AL22" s="338" t="s">
        <v>509</v>
      </c>
      <c r="AM22" s="338" t="s">
        <v>510</v>
      </c>
      <c r="AN22" s="339" t="s">
        <v>558</v>
      </c>
      <c r="AO22" s="312" t="s">
        <v>417</v>
      </c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278">
        <v>1.5</v>
      </c>
      <c r="H23" s="96">
        <f t="shared" si="2"/>
        <v>36.154499999999999</v>
      </c>
      <c r="I23" s="281">
        <f t="shared" si="9"/>
        <v>163.84550000000002</v>
      </c>
      <c r="J23" s="102" t="s">
        <v>412</v>
      </c>
      <c r="K23" s="108">
        <v>820.63</v>
      </c>
      <c r="L23" s="108">
        <v>150</v>
      </c>
      <c r="M23" s="108">
        <f t="shared" si="7"/>
        <v>24.103000000000002</v>
      </c>
      <c r="N23" s="284">
        <v>1.5</v>
      </c>
      <c r="O23" s="288">
        <f t="shared" si="4"/>
        <v>36.154499999999999</v>
      </c>
      <c r="P23" s="203">
        <f t="shared" si="10"/>
        <v>113.8455</v>
      </c>
      <c r="Q23" s="83" t="str">
        <f t="shared" si="8"/>
        <v>No</v>
      </c>
      <c r="R23" s="210"/>
      <c r="S23" s="207"/>
      <c r="U23" s="167" t="s">
        <v>12</v>
      </c>
      <c r="V23" s="166">
        <v>27.45</v>
      </c>
      <c r="W23" s="100">
        <f>(V23/E19)*100</f>
        <v>4.5750000000000002</v>
      </c>
      <c r="Y23" s="332"/>
      <c r="Z23" s="312" t="s">
        <v>513</v>
      </c>
      <c r="AA23" s="351">
        <f>AA21*AJ14</f>
        <v>1000</v>
      </c>
      <c r="AB23" s="351">
        <f>AB21*AJ15</f>
        <v>1350</v>
      </c>
      <c r="AC23" s="351">
        <f>AC21*AJ16</f>
        <v>1800</v>
      </c>
      <c r="AD23" s="351">
        <f>AD21*AJ17</f>
        <v>0</v>
      </c>
      <c r="AE23" s="351">
        <f>AE21*AJ18</f>
        <v>0</v>
      </c>
      <c r="AF23" s="312">
        <f>SUM(AA23:AE23)</f>
        <v>4150</v>
      </c>
      <c r="AG23" s="332"/>
      <c r="AH23" s="332"/>
      <c r="AI23" s="60" t="s">
        <v>84</v>
      </c>
      <c r="AJ23" s="342">
        <f>AA9+AA29</f>
        <v>0</v>
      </c>
      <c r="AK23" s="342">
        <f t="shared" ref="AK23:AN34" si="12">AB9+AB29</f>
        <v>8</v>
      </c>
      <c r="AL23" s="342">
        <f t="shared" si="12"/>
        <v>3</v>
      </c>
      <c r="AM23" s="342">
        <f t="shared" si="12"/>
        <v>2</v>
      </c>
      <c r="AN23" s="342">
        <f t="shared" si="12"/>
        <v>0</v>
      </c>
      <c r="AO23" s="343">
        <f>SUM(AJ23:AN23)</f>
        <v>13</v>
      </c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277">
        <v>1.5</v>
      </c>
      <c r="H24" s="74">
        <f t="shared" si="2"/>
        <v>33.525000000000006</v>
      </c>
      <c r="I24" s="280">
        <f t="shared" si="9"/>
        <v>166.47499999999999</v>
      </c>
      <c r="J24" s="92" t="s">
        <v>410</v>
      </c>
      <c r="K24" s="94">
        <v>660.63</v>
      </c>
      <c r="L24" s="94">
        <v>150</v>
      </c>
      <c r="M24" s="94">
        <f t="shared" si="7"/>
        <v>22.35</v>
      </c>
      <c r="N24" s="285">
        <v>1.5</v>
      </c>
      <c r="O24" s="289">
        <f t="shared" si="4"/>
        <v>33.525000000000006</v>
      </c>
      <c r="P24" s="203">
        <f t="shared" si="10"/>
        <v>116.47499999999999</v>
      </c>
      <c r="Q24" s="83" t="str">
        <f t="shared" si="8"/>
        <v>No</v>
      </c>
      <c r="R24" s="209"/>
      <c r="S24" s="105"/>
      <c r="U24" s="167" t="s">
        <v>20</v>
      </c>
      <c r="V24" s="166">
        <v>9.3800000000000008</v>
      </c>
      <c r="W24" s="100">
        <f>(V24/600)*100</f>
        <v>1.5633333333333337</v>
      </c>
      <c r="Y24" s="332"/>
      <c r="Z24" s="332"/>
      <c r="AA24" s="332"/>
      <c r="AB24" s="332"/>
      <c r="AC24" s="332"/>
      <c r="AD24" s="332"/>
      <c r="AE24" s="332"/>
      <c r="AF24" s="332"/>
      <c r="AI24" s="60" t="s">
        <v>85</v>
      </c>
      <c r="AJ24" s="342">
        <f t="shared" ref="AJ24:AJ34" si="13">AA10+AA30</f>
        <v>1</v>
      </c>
      <c r="AK24" s="342">
        <f t="shared" si="12"/>
        <v>11</v>
      </c>
      <c r="AL24" s="342">
        <f t="shared" si="12"/>
        <v>6</v>
      </c>
      <c r="AM24" s="342">
        <f t="shared" si="12"/>
        <v>0</v>
      </c>
      <c r="AN24" s="342">
        <f t="shared" si="12"/>
        <v>4</v>
      </c>
      <c r="AO24" s="60">
        <f t="shared" ref="AO24:AO34" si="14">SUM(AJ24:AN24)</f>
        <v>22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96">
        <v>1.5</v>
      </c>
      <c r="H25" s="96">
        <f t="shared" si="2"/>
        <v>0</v>
      </c>
      <c r="I25" s="95"/>
      <c r="J25" s="84"/>
      <c r="K25" s="84"/>
      <c r="L25" s="84"/>
      <c r="M25" s="83"/>
      <c r="N25" s="92">
        <v>1.5</v>
      </c>
      <c r="O25" s="93">
        <f t="shared" si="4"/>
        <v>0</v>
      </c>
      <c r="P25" s="82"/>
      <c r="Q25" s="83"/>
      <c r="R25" s="206"/>
      <c r="S25" s="233"/>
      <c r="U25" s="167" t="s">
        <v>27</v>
      </c>
      <c r="V25" s="166">
        <v>202.83</v>
      </c>
      <c r="W25" s="100">
        <f>(V25/E46)*100</f>
        <v>50.707500000000003</v>
      </c>
      <c r="Y25" s="332"/>
      <c r="Z25" s="332"/>
      <c r="AA25" s="332"/>
      <c r="AB25" s="332"/>
      <c r="AC25" s="332"/>
      <c r="AD25" s="332"/>
      <c r="AE25" s="332"/>
      <c r="AF25" s="332"/>
      <c r="AI25" s="60" t="s">
        <v>86</v>
      </c>
      <c r="AJ25" s="342">
        <f t="shared" si="13"/>
        <v>1</v>
      </c>
      <c r="AK25" s="342">
        <f t="shared" si="12"/>
        <v>1</v>
      </c>
      <c r="AL25" s="342">
        <f t="shared" si="12"/>
        <v>4</v>
      </c>
      <c r="AM25" s="342">
        <f t="shared" si="12"/>
        <v>0</v>
      </c>
      <c r="AN25" s="342">
        <f t="shared" si="12"/>
        <v>2</v>
      </c>
      <c r="AO25" s="60">
        <f t="shared" si="14"/>
        <v>8</v>
      </c>
    </row>
    <row r="26" spans="1:41" ht="13.5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276">
        <v>1.5</v>
      </c>
      <c r="H26" s="86">
        <f t="shared" si="2"/>
        <v>996.77129999999988</v>
      </c>
      <c r="I26" s="279">
        <f>E26-H26</f>
        <v>203.22870000000012</v>
      </c>
      <c r="J26" s="101" t="s">
        <v>405</v>
      </c>
      <c r="K26" s="84">
        <v>799.22</v>
      </c>
      <c r="L26" s="84">
        <v>900</v>
      </c>
      <c r="M26" s="84">
        <f t="shared" ref="M26:M56" si="15">F26</f>
        <v>664.51419999999996</v>
      </c>
      <c r="N26" s="283">
        <v>1.5</v>
      </c>
      <c r="O26" s="287">
        <f t="shared" si="4"/>
        <v>996.77129999999988</v>
      </c>
      <c r="P26" s="82">
        <f>L26-O26</f>
        <v>-96.771299999999883</v>
      </c>
      <c r="Q26" s="218" t="str">
        <f t="shared" ref="Q26:Q56" si="16">IF(P26&gt;=0,"No","Yes")</f>
        <v>Yes</v>
      </c>
      <c r="R26" s="232" t="s">
        <v>463</v>
      </c>
      <c r="S26" s="231" t="s">
        <v>464</v>
      </c>
      <c r="U26" s="167" t="s">
        <v>327</v>
      </c>
      <c r="V26" s="166">
        <f>200.31+267.37</f>
        <v>467.68</v>
      </c>
      <c r="W26" s="100">
        <f>(V26/600)*100</f>
        <v>77.946666666666658</v>
      </c>
      <c r="Y26" s="409"/>
      <c r="Z26" s="409"/>
      <c r="AA26" s="409"/>
      <c r="AB26" s="409"/>
      <c r="AC26" s="409"/>
      <c r="AD26" s="409"/>
      <c r="AE26" s="409"/>
      <c r="AF26" s="409"/>
      <c r="AI26" s="60" t="s">
        <v>87</v>
      </c>
      <c r="AJ26" s="342">
        <f t="shared" si="13"/>
        <v>0</v>
      </c>
      <c r="AK26" s="342">
        <f t="shared" si="12"/>
        <v>20</v>
      </c>
      <c r="AL26" s="342">
        <f t="shared" si="12"/>
        <v>30</v>
      </c>
      <c r="AM26" s="342">
        <f t="shared" si="12"/>
        <v>15</v>
      </c>
      <c r="AN26" s="342">
        <f t="shared" si="12"/>
        <v>0</v>
      </c>
      <c r="AO26" s="60">
        <f t="shared" si="14"/>
        <v>65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278">
        <v>1.5</v>
      </c>
      <c r="H27" s="96">
        <f t="shared" si="2"/>
        <v>637.00244999999995</v>
      </c>
      <c r="I27" s="281">
        <f t="shared" ref="I27:I56" si="17">E27-H27</f>
        <v>262.99755000000005</v>
      </c>
      <c r="J27" s="282" t="s">
        <v>404</v>
      </c>
      <c r="K27" s="153">
        <v>973.76</v>
      </c>
      <c r="L27" s="153">
        <v>900</v>
      </c>
      <c r="M27" s="153">
        <f t="shared" si="15"/>
        <v>424.66829999999999</v>
      </c>
      <c r="N27" s="284">
        <v>1.5</v>
      </c>
      <c r="O27" s="288">
        <f t="shared" si="4"/>
        <v>637.00244999999995</v>
      </c>
      <c r="P27" s="82">
        <f t="shared" ref="P27:P56" si="18">L27-O27</f>
        <v>262.99755000000005</v>
      </c>
      <c r="Q27" s="201" t="str">
        <f t="shared" si="16"/>
        <v>No</v>
      </c>
      <c r="R27" s="230" t="s">
        <v>465</v>
      </c>
      <c r="S27" s="229" t="s">
        <v>466</v>
      </c>
      <c r="U27" s="167" t="s">
        <v>19</v>
      </c>
      <c r="V27" s="166">
        <v>32.39</v>
      </c>
      <c r="W27" s="100">
        <f>(V27/1000)*100</f>
        <v>3.2390000000000003</v>
      </c>
      <c r="Y27" s="409"/>
      <c r="Z27" s="520" t="s">
        <v>574</v>
      </c>
      <c r="AA27" s="521"/>
      <c r="AB27" s="521"/>
      <c r="AC27" s="521"/>
      <c r="AD27" s="521"/>
      <c r="AE27" s="522"/>
      <c r="AF27" s="164"/>
      <c r="AI27" s="60" t="s">
        <v>88</v>
      </c>
      <c r="AJ27" s="342">
        <f t="shared" si="13"/>
        <v>1</v>
      </c>
      <c r="AK27" s="342">
        <f t="shared" si="12"/>
        <v>2</v>
      </c>
      <c r="AL27" s="342">
        <f t="shared" si="12"/>
        <v>16</v>
      </c>
      <c r="AM27" s="342">
        <f t="shared" si="12"/>
        <v>1</v>
      </c>
      <c r="AN27" s="342">
        <f t="shared" si="12"/>
        <v>0</v>
      </c>
      <c r="AO27" s="60">
        <f t="shared" si="14"/>
        <v>20</v>
      </c>
    </row>
    <row r="28" spans="1:41" ht="13.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276">
        <v>1.5</v>
      </c>
      <c r="H28" s="86">
        <f t="shared" si="2"/>
        <v>621.76125000000002</v>
      </c>
      <c r="I28" s="279">
        <f t="shared" si="17"/>
        <v>178.23874999999998</v>
      </c>
      <c r="J28" s="92" t="s">
        <v>402</v>
      </c>
      <c r="K28" s="94">
        <v>849.47500000000002</v>
      </c>
      <c r="L28" s="94">
        <v>600</v>
      </c>
      <c r="M28" s="94">
        <f t="shared" si="15"/>
        <v>414.50749999999999</v>
      </c>
      <c r="N28" s="283">
        <v>1.5</v>
      </c>
      <c r="O28" s="287">
        <f t="shared" si="4"/>
        <v>621.76125000000002</v>
      </c>
      <c r="P28" s="82">
        <f t="shared" si="18"/>
        <v>-21.761250000000018</v>
      </c>
      <c r="Q28" s="221" t="str">
        <f t="shared" si="16"/>
        <v>Yes</v>
      </c>
      <c r="R28" s="232" t="s">
        <v>467</v>
      </c>
      <c r="S28" s="272" t="s">
        <v>468</v>
      </c>
      <c r="U28" s="167" t="s">
        <v>28</v>
      </c>
      <c r="V28" s="166">
        <v>194.45</v>
      </c>
      <c r="W28" s="224">
        <f>(V28/150)*100</f>
        <v>129.63333333333333</v>
      </c>
      <c r="Y28" s="368"/>
      <c r="Z28" s="336" t="s">
        <v>506</v>
      </c>
      <c r="AA28" s="338" t="s">
        <v>507</v>
      </c>
      <c r="AB28" s="338" t="s">
        <v>508</v>
      </c>
      <c r="AC28" s="338" t="s">
        <v>509</v>
      </c>
      <c r="AD28" s="338" t="s">
        <v>510</v>
      </c>
      <c r="AE28" s="339" t="s">
        <v>558</v>
      </c>
      <c r="AF28" s="312" t="s">
        <v>417</v>
      </c>
      <c r="AI28" s="60" t="s">
        <v>89</v>
      </c>
      <c r="AJ28" s="342">
        <f t="shared" si="13"/>
        <v>1</v>
      </c>
      <c r="AK28" s="342">
        <f t="shared" si="12"/>
        <v>13</v>
      </c>
      <c r="AL28" s="342">
        <f t="shared" si="12"/>
        <v>1</v>
      </c>
      <c r="AM28" s="342">
        <f t="shared" si="12"/>
        <v>1</v>
      </c>
      <c r="AN28" s="342">
        <f t="shared" si="12"/>
        <v>0</v>
      </c>
      <c r="AO28" s="60">
        <f t="shared" si="14"/>
        <v>16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278">
        <v>1.5</v>
      </c>
      <c r="H29" s="96">
        <f t="shared" si="2"/>
        <v>278.15129999999999</v>
      </c>
      <c r="I29" s="281">
        <f t="shared" si="17"/>
        <v>171.84870000000001</v>
      </c>
      <c r="J29" s="92" t="s">
        <v>385</v>
      </c>
      <c r="K29" s="94">
        <v>975.03499999999997</v>
      </c>
      <c r="L29" s="94">
        <v>450</v>
      </c>
      <c r="M29" s="94">
        <f t="shared" si="15"/>
        <v>185.4342</v>
      </c>
      <c r="N29" s="284">
        <v>1.5</v>
      </c>
      <c r="O29" s="288">
        <f t="shared" si="4"/>
        <v>278.15129999999999</v>
      </c>
      <c r="P29" s="82">
        <f t="shared" si="18"/>
        <v>171.84870000000001</v>
      </c>
      <c r="Q29" s="205" t="str">
        <f t="shared" si="16"/>
        <v>No</v>
      </c>
      <c r="R29" s="292"/>
      <c r="S29" s="293"/>
      <c r="U29" s="167" t="s">
        <v>30</v>
      </c>
      <c r="V29" s="166">
        <v>168.95</v>
      </c>
      <c r="W29" s="223">
        <f>(V29/200)*100</f>
        <v>84.474999999999994</v>
      </c>
      <c r="Y29" s="409"/>
      <c r="Z29" s="60" t="s">
        <v>84</v>
      </c>
      <c r="AA29" s="342">
        <v>0</v>
      </c>
      <c r="AB29" s="342">
        <f>8</f>
        <v>8</v>
      </c>
      <c r="AC29" s="412">
        <f>2+1</f>
        <v>3</v>
      </c>
      <c r="AD29" s="412">
        <f>2</f>
        <v>2</v>
      </c>
      <c r="AE29" s="342">
        <v>0</v>
      </c>
      <c r="AF29" s="343">
        <f>SUM(AA29:AE29)</f>
        <v>13</v>
      </c>
      <c r="AI29" s="60" t="s">
        <v>90</v>
      </c>
      <c r="AJ29" s="342">
        <f t="shared" si="13"/>
        <v>0</v>
      </c>
      <c r="AK29" s="342">
        <f t="shared" si="12"/>
        <v>1</v>
      </c>
      <c r="AL29" s="342">
        <f t="shared" si="12"/>
        <v>1</v>
      </c>
      <c r="AM29" s="342">
        <f t="shared" si="12"/>
        <v>2</v>
      </c>
      <c r="AN29" s="342">
        <f t="shared" si="12"/>
        <v>2</v>
      </c>
      <c r="AO29" s="60">
        <f t="shared" si="14"/>
        <v>6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278">
        <v>1.5</v>
      </c>
      <c r="H30" s="96">
        <f t="shared" si="2"/>
        <v>320.77244999999999</v>
      </c>
      <c r="I30" s="281">
        <f t="shared" si="17"/>
        <v>129.22755000000001</v>
      </c>
      <c r="J30" s="102" t="s">
        <v>399</v>
      </c>
      <c r="K30" s="108">
        <v>1347.24</v>
      </c>
      <c r="L30" s="108">
        <v>300</v>
      </c>
      <c r="M30" s="108">
        <f t="shared" si="15"/>
        <v>213.84829999999999</v>
      </c>
      <c r="N30" s="284">
        <v>1.5</v>
      </c>
      <c r="O30" s="288">
        <f t="shared" si="4"/>
        <v>320.77244999999999</v>
      </c>
      <c r="P30" s="82">
        <f t="shared" si="18"/>
        <v>-20.772449999999992</v>
      </c>
      <c r="Q30" s="221" t="str">
        <f t="shared" si="16"/>
        <v>Yes</v>
      </c>
      <c r="R30" s="228" t="s">
        <v>469</v>
      </c>
      <c r="S30" s="227" t="s">
        <v>470</v>
      </c>
      <c r="U30" s="167" t="s">
        <v>31</v>
      </c>
      <c r="V30" s="166">
        <f>213.05+280.104</f>
        <v>493.154</v>
      </c>
      <c r="W30" s="100">
        <f>V30/200 * 100</f>
        <v>246.577</v>
      </c>
      <c r="Y30" s="405"/>
      <c r="Z30" s="60" t="s">
        <v>85</v>
      </c>
      <c r="AA30" s="342">
        <v>0</v>
      </c>
      <c r="AB30" s="342">
        <f>5+3+3</f>
        <v>11</v>
      </c>
      <c r="AC30" s="342">
        <f>4+2</f>
        <v>6</v>
      </c>
      <c r="AD30" s="342">
        <v>0</v>
      </c>
      <c r="AE30" s="342">
        <f>2+2</f>
        <v>4</v>
      </c>
      <c r="AF30" s="60">
        <f t="shared" ref="AF30:AF40" si="19">SUM(AA30:AE30)</f>
        <v>21</v>
      </c>
      <c r="AI30" s="60" t="s">
        <v>91</v>
      </c>
      <c r="AJ30" s="342">
        <f t="shared" si="13"/>
        <v>1</v>
      </c>
      <c r="AK30" s="342">
        <f t="shared" si="12"/>
        <v>20</v>
      </c>
      <c r="AL30" s="342">
        <f t="shared" si="12"/>
        <v>3</v>
      </c>
      <c r="AM30" s="342">
        <f t="shared" si="12"/>
        <v>2</v>
      </c>
      <c r="AN30" s="342">
        <f t="shared" si="12"/>
        <v>0</v>
      </c>
      <c r="AO30" s="60">
        <f t="shared" si="14"/>
        <v>26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278">
        <v>1.5</v>
      </c>
      <c r="H31" s="96">
        <f t="shared" si="2"/>
        <v>481.17255</v>
      </c>
      <c r="I31" s="281">
        <f t="shared" si="17"/>
        <v>118.82745</v>
      </c>
      <c r="J31" s="92" t="s">
        <v>397</v>
      </c>
      <c r="K31" s="94">
        <v>762.03</v>
      </c>
      <c r="L31" s="94">
        <v>450</v>
      </c>
      <c r="M31" s="94">
        <f t="shared" si="15"/>
        <v>320.7817</v>
      </c>
      <c r="N31" s="284">
        <v>1.5</v>
      </c>
      <c r="O31" s="288">
        <f t="shared" si="4"/>
        <v>481.17255</v>
      </c>
      <c r="P31" s="82">
        <f t="shared" si="18"/>
        <v>-31.172550000000001</v>
      </c>
      <c r="Q31" s="221" t="str">
        <f t="shared" si="16"/>
        <v>Yes</v>
      </c>
      <c r="R31" s="228"/>
      <c r="S31" s="227"/>
      <c r="U31" s="167" t="s">
        <v>395</v>
      </c>
      <c r="V31" s="166">
        <v>62.64</v>
      </c>
      <c r="W31" s="100"/>
      <c r="X31" s="20"/>
      <c r="Y31" s="409"/>
      <c r="Z31" s="60" t="s">
        <v>86</v>
      </c>
      <c r="AA31" s="342">
        <v>0</v>
      </c>
      <c r="AB31" s="342">
        <v>0</v>
      </c>
      <c r="AC31" s="340">
        <f>3+1</f>
        <v>4</v>
      </c>
      <c r="AD31" s="342">
        <v>0</v>
      </c>
      <c r="AE31" s="342">
        <f>2</f>
        <v>2</v>
      </c>
      <c r="AF31" s="60">
        <f t="shared" si="19"/>
        <v>6</v>
      </c>
      <c r="AI31" s="60" t="s">
        <v>92</v>
      </c>
      <c r="AJ31" s="342">
        <f t="shared" si="13"/>
        <v>0</v>
      </c>
      <c r="AK31" s="342">
        <f t="shared" si="12"/>
        <v>6</v>
      </c>
      <c r="AL31" s="342">
        <f t="shared" si="12"/>
        <v>14</v>
      </c>
      <c r="AM31" s="342">
        <f t="shared" si="12"/>
        <v>0</v>
      </c>
      <c r="AN31" s="342">
        <f t="shared" si="12"/>
        <v>0</v>
      </c>
      <c r="AO31" s="60">
        <f t="shared" si="14"/>
        <v>20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278">
        <v>1.5</v>
      </c>
      <c r="H32" s="96">
        <f t="shared" si="2"/>
        <v>416.36130000000003</v>
      </c>
      <c r="I32" s="281">
        <f t="shared" si="17"/>
        <v>83.638699999999972</v>
      </c>
      <c r="J32" s="92" t="s">
        <v>394</v>
      </c>
      <c r="K32" s="94">
        <v>922.03</v>
      </c>
      <c r="L32" s="94">
        <v>300</v>
      </c>
      <c r="M32" s="108">
        <f t="shared" si="15"/>
        <v>277.57420000000002</v>
      </c>
      <c r="N32" s="284">
        <v>1.5</v>
      </c>
      <c r="O32" s="288">
        <f t="shared" si="4"/>
        <v>416.36130000000003</v>
      </c>
      <c r="P32" s="82">
        <f t="shared" si="18"/>
        <v>-116.36130000000003</v>
      </c>
      <c r="Q32" s="221" t="str">
        <f t="shared" si="16"/>
        <v>Yes</v>
      </c>
      <c r="R32" s="294"/>
      <c r="S32" s="295"/>
      <c r="U32" s="167" t="s">
        <v>22</v>
      </c>
      <c r="V32" s="166">
        <v>16.78</v>
      </c>
      <c r="W32" s="100"/>
      <c r="Y32" s="409"/>
      <c r="Z32" s="60" t="s">
        <v>87</v>
      </c>
      <c r="AA32" s="342">
        <v>0</v>
      </c>
      <c r="AB32" s="413">
        <f>8+6+6</f>
        <v>20</v>
      </c>
      <c r="AC32" s="342">
        <f>4+3+6+11+3</f>
        <v>27</v>
      </c>
      <c r="AD32" s="342">
        <f>2+6+7</f>
        <v>15</v>
      </c>
      <c r="AE32" s="342">
        <v>0</v>
      </c>
      <c r="AF32" s="60">
        <f t="shared" si="19"/>
        <v>62</v>
      </c>
      <c r="AI32" s="60" t="s">
        <v>93</v>
      </c>
      <c r="AJ32" s="342">
        <f t="shared" si="13"/>
        <v>2</v>
      </c>
      <c r="AK32" s="342">
        <f t="shared" si="12"/>
        <v>1</v>
      </c>
      <c r="AL32" s="342">
        <f t="shared" si="12"/>
        <v>4</v>
      </c>
      <c r="AM32" s="342">
        <f t="shared" si="12"/>
        <v>6</v>
      </c>
      <c r="AN32" s="342">
        <f t="shared" si="12"/>
        <v>0</v>
      </c>
      <c r="AO32" s="60">
        <f t="shared" si="14"/>
        <v>13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276">
        <v>1.5</v>
      </c>
      <c r="H33" s="86">
        <f t="shared" si="2"/>
        <v>890.08500000000004</v>
      </c>
      <c r="I33" s="279">
        <f t="shared" si="17"/>
        <v>309.91499999999996</v>
      </c>
      <c r="J33" s="101" t="s">
        <v>391</v>
      </c>
      <c r="K33" s="84">
        <v>778.62</v>
      </c>
      <c r="L33" s="84">
        <v>1200</v>
      </c>
      <c r="M33" s="84">
        <f t="shared" si="15"/>
        <v>593.39</v>
      </c>
      <c r="N33" s="283">
        <v>1.5</v>
      </c>
      <c r="O33" s="287">
        <f t="shared" si="4"/>
        <v>890.08500000000004</v>
      </c>
      <c r="P33" s="82">
        <f t="shared" si="18"/>
        <v>309.91499999999996</v>
      </c>
      <c r="Q33" s="201" t="str">
        <f t="shared" si="16"/>
        <v>No</v>
      </c>
      <c r="R33" s="211"/>
      <c r="S33" s="106"/>
      <c r="U33" s="167" t="s">
        <v>24</v>
      </c>
      <c r="V33" s="166">
        <v>47.14</v>
      </c>
      <c r="W33" s="100"/>
      <c r="Y33" s="409"/>
      <c r="Z33" s="60" t="s">
        <v>88</v>
      </c>
      <c r="AA33" s="342">
        <v>0</v>
      </c>
      <c r="AB33" s="342">
        <v>0</v>
      </c>
      <c r="AC33" s="342">
        <f>2+2+1+6+1+1</f>
        <v>13</v>
      </c>
      <c r="AD33" s="342">
        <f>1</f>
        <v>1</v>
      </c>
      <c r="AE33" s="342">
        <v>0</v>
      </c>
      <c r="AF33" s="60">
        <f t="shared" si="19"/>
        <v>14</v>
      </c>
      <c r="AI33" s="60" t="s">
        <v>94</v>
      </c>
      <c r="AJ33" s="342">
        <f t="shared" si="13"/>
        <v>3</v>
      </c>
      <c r="AK33" s="342">
        <f t="shared" si="12"/>
        <v>3</v>
      </c>
      <c r="AL33" s="342">
        <f t="shared" si="12"/>
        <v>4</v>
      </c>
      <c r="AM33" s="342">
        <f t="shared" si="12"/>
        <v>7</v>
      </c>
      <c r="AN33" s="342">
        <f t="shared" si="12"/>
        <v>0</v>
      </c>
      <c r="AO33" s="60">
        <f t="shared" si="14"/>
        <v>17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278">
        <v>1.5</v>
      </c>
      <c r="H34" s="96">
        <f t="shared" si="2"/>
        <v>278.15129999999999</v>
      </c>
      <c r="I34" s="281">
        <f t="shared" si="17"/>
        <v>171.84870000000001</v>
      </c>
      <c r="J34" s="102" t="s">
        <v>385</v>
      </c>
      <c r="K34" s="108">
        <v>975.03499999999997</v>
      </c>
      <c r="L34" s="108">
        <v>450</v>
      </c>
      <c r="M34" s="108">
        <f t="shared" si="15"/>
        <v>185.4342</v>
      </c>
      <c r="N34" s="284">
        <v>1.5</v>
      </c>
      <c r="O34" s="288">
        <f t="shared" si="4"/>
        <v>278.15129999999999</v>
      </c>
      <c r="P34" s="82">
        <f t="shared" si="18"/>
        <v>171.84870000000001</v>
      </c>
      <c r="Q34" s="201" t="str">
        <f t="shared" si="16"/>
        <v>No</v>
      </c>
      <c r="R34" s="209"/>
      <c r="S34" s="105"/>
      <c r="U34" s="167" t="s">
        <v>10</v>
      </c>
      <c r="V34" s="166">
        <v>8.65</v>
      </c>
      <c r="W34" s="100"/>
      <c r="Y34" s="409"/>
      <c r="Z34" s="60" t="s">
        <v>89</v>
      </c>
      <c r="AA34" s="342">
        <v>0</v>
      </c>
      <c r="AB34" s="342">
        <f>5+6+2</f>
        <v>13</v>
      </c>
      <c r="AC34" s="342">
        <f>1</f>
        <v>1</v>
      </c>
      <c r="AD34" s="342">
        <f>1</f>
        <v>1</v>
      </c>
      <c r="AE34" s="342">
        <v>0</v>
      </c>
      <c r="AF34" s="60">
        <f t="shared" si="19"/>
        <v>15</v>
      </c>
      <c r="AI34" s="347" t="s">
        <v>505</v>
      </c>
      <c r="AJ34" s="342">
        <f t="shared" si="13"/>
        <v>0</v>
      </c>
      <c r="AK34" s="342">
        <f t="shared" si="12"/>
        <v>1</v>
      </c>
      <c r="AL34" s="342">
        <f t="shared" si="12"/>
        <v>3</v>
      </c>
      <c r="AM34" s="342">
        <f t="shared" si="12"/>
        <v>0</v>
      </c>
      <c r="AN34" s="342">
        <f t="shared" si="12"/>
        <v>0</v>
      </c>
      <c r="AO34" s="347">
        <f t="shared" si="14"/>
        <v>4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278">
        <v>1.5</v>
      </c>
      <c r="H35" s="96">
        <f t="shared" si="2"/>
        <v>737.21355000000005</v>
      </c>
      <c r="I35" s="281">
        <f t="shared" si="17"/>
        <v>162.78644999999995</v>
      </c>
      <c r="J35" s="92" t="s">
        <v>381</v>
      </c>
      <c r="K35" s="94">
        <v>660.12</v>
      </c>
      <c r="L35" s="94">
        <v>900</v>
      </c>
      <c r="M35" s="94">
        <f t="shared" si="15"/>
        <v>491.47570000000002</v>
      </c>
      <c r="N35" s="284">
        <v>1.5</v>
      </c>
      <c r="O35" s="288">
        <f t="shared" si="4"/>
        <v>737.21355000000005</v>
      </c>
      <c r="P35" s="82">
        <f t="shared" si="18"/>
        <v>162.78644999999995</v>
      </c>
      <c r="Q35" s="201" t="str">
        <f t="shared" si="16"/>
        <v>No</v>
      </c>
      <c r="R35" s="222"/>
      <c r="S35" s="134"/>
      <c r="U35" s="167" t="s">
        <v>13</v>
      </c>
      <c r="V35" s="166">
        <v>209.21</v>
      </c>
      <c r="W35" s="100"/>
      <c r="Y35" s="409"/>
      <c r="Z35" s="60" t="s">
        <v>90</v>
      </c>
      <c r="AA35" s="342">
        <v>0</v>
      </c>
      <c r="AB35" s="340">
        <v>0</v>
      </c>
      <c r="AC35" s="340">
        <f>1</f>
        <v>1</v>
      </c>
      <c r="AD35" s="342">
        <f>2</f>
        <v>2</v>
      </c>
      <c r="AE35" s="342">
        <f>2</f>
        <v>2</v>
      </c>
      <c r="AF35" s="60">
        <f t="shared" si="19"/>
        <v>5</v>
      </c>
      <c r="AI35" s="312" t="s">
        <v>515</v>
      </c>
      <c r="AJ35" s="349">
        <f t="shared" ref="AJ35:AO35" si="20">SUM(AJ23:AJ34)</f>
        <v>10</v>
      </c>
      <c r="AK35" s="349">
        <f t="shared" si="20"/>
        <v>87</v>
      </c>
      <c r="AL35" s="349">
        <f t="shared" si="20"/>
        <v>89</v>
      </c>
      <c r="AM35" s="349">
        <f t="shared" si="20"/>
        <v>36</v>
      </c>
      <c r="AN35" s="349">
        <f t="shared" si="20"/>
        <v>8</v>
      </c>
      <c r="AO35" s="350">
        <f t="shared" si="20"/>
        <v>230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276">
        <v>1.5</v>
      </c>
      <c r="H36" s="86">
        <f t="shared" si="2"/>
        <v>320.77244999999999</v>
      </c>
      <c r="I36" s="279">
        <f t="shared" si="17"/>
        <v>129.22755000000001</v>
      </c>
      <c r="J36" s="101" t="s">
        <v>377</v>
      </c>
      <c r="K36" s="84">
        <v>844.89</v>
      </c>
      <c r="L36" s="84">
        <v>450</v>
      </c>
      <c r="M36" s="84">
        <f t="shared" si="15"/>
        <v>213.84829999999999</v>
      </c>
      <c r="N36" s="283">
        <v>1.5</v>
      </c>
      <c r="O36" s="287">
        <f t="shared" si="4"/>
        <v>320.77244999999999</v>
      </c>
      <c r="P36" s="82">
        <f t="shared" si="18"/>
        <v>129.22755000000001</v>
      </c>
      <c r="Q36" s="205" t="str">
        <f t="shared" si="16"/>
        <v>No</v>
      </c>
      <c r="R36" s="206"/>
      <c r="S36" s="77"/>
      <c r="U36" s="167" t="s">
        <v>476</v>
      </c>
      <c r="V36" s="166">
        <v>560.23</v>
      </c>
      <c r="W36" s="100"/>
      <c r="X36" s="20"/>
      <c r="Y36" s="409"/>
      <c r="Z36" s="60" t="s">
        <v>91</v>
      </c>
      <c r="AA36" s="342">
        <v>0</v>
      </c>
      <c r="AB36" s="340">
        <f>3+6+2+3+2+1</f>
        <v>17</v>
      </c>
      <c r="AC36" s="342">
        <f>1+2</f>
        <v>3</v>
      </c>
      <c r="AD36" s="342">
        <f>2</f>
        <v>2</v>
      </c>
      <c r="AE36" s="342">
        <v>0</v>
      </c>
      <c r="AF36" s="60">
        <f t="shared" si="19"/>
        <v>22</v>
      </c>
      <c r="AI36" s="312" t="s">
        <v>514</v>
      </c>
      <c r="AJ36" s="351">
        <f>PRODUCT(AJ35*AK14)</f>
        <v>150</v>
      </c>
      <c r="AK36" s="414">
        <f>PRODUCT(AK35*AK15)</f>
        <v>1424.0943</v>
      </c>
      <c r="AL36" s="414">
        <f>PRODUCT(AL35*AK16)</f>
        <v>1490.4563000000001</v>
      </c>
      <c r="AM36" s="414">
        <f>PRODUCT(AM35*AK17)</f>
        <v>607.91759999999999</v>
      </c>
      <c r="AN36" s="414">
        <f>PRODUCT(AN35*AK18)</f>
        <v>136</v>
      </c>
      <c r="AO36" s="415">
        <f>SUM(AJ36:AN36)</f>
        <v>3808.4682000000003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277">
        <v>1.5</v>
      </c>
      <c r="H37" s="74">
        <f t="shared" si="2"/>
        <v>1726.992</v>
      </c>
      <c r="I37" s="280">
        <f t="shared" si="17"/>
        <v>473.00800000000004</v>
      </c>
      <c r="J37" s="92" t="s">
        <v>374</v>
      </c>
      <c r="K37" s="94">
        <v>503.42500000000001</v>
      </c>
      <c r="L37" s="94">
        <v>2200</v>
      </c>
      <c r="M37" s="94">
        <f t="shared" si="15"/>
        <v>1151.328</v>
      </c>
      <c r="N37" s="285">
        <v>1.5</v>
      </c>
      <c r="O37" s="289">
        <f t="shared" si="4"/>
        <v>1726.992</v>
      </c>
      <c r="P37" s="82">
        <f t="shared" si="18"/>
        <v>473.00800000000004</v>
      </c>
      <c r="Q37" s="205" t="str">
        <f t="shared" si="16"/>
        <v>No</v>
      </c>
      <c r="R37" s="204"/>
      <c r="S37" s="66"/>
      <c r="U37" s="259" t="s">
        <v>477</v>
      </c>
      <c r="V37" s="258">
        <v>130</v>
      </c>
      <c r="W37" s="90"/>
      <c r="Y37" s="409"/>
      <c r="Z37" s="60" t="s">
        <v>92</v>
      </c>
      <c r="AA37" s="342">
        <v>0</v>
      </c>
      <c r="AB37" s="340">
        <f>3+3</f>
        <v>6</v>
      </c>
      <c r="AC37" s="342">
        <f>11+2</f>
        <v>13</v>
      </c>
      <c r="AD37" s="342">
        <v>0</v>
      </c>
      <c r="AE37" s="342">
        <v>0</v>
      </c>
      <c r="AF37" s="60">
        <f t="shared" si="19"/>
        <v>19</v>
      </c>
      <c r="AI37" s="312" t="s">
        <v>559</v>
      </c>
      <c r="AJ37" s="351">
        <f>AJ35*AJ14</f>
        <v>1000</v>
      </c>
      <c r="AK37" s="351">
        <f>AK35*AJ15</f>
        <v>13050</v>
      </c>
      <c r="AL37" s="351">
        <f>AL35*AJ16</f>
        <v>17800</v>
      </c>
      <c r="AM37" s="351">
        <f>AM35*AJ17</f>
        <v>9000</v>
      </c>
      <c r="AN37" s="351">
        <f>AN35*AJ18</f>
        <v>2400</v>
      </c>
      <c r="AO37" s="312">
        <f>SUM(AJ37:AN37)</f>
        <v>43250</v>
      </c>
    </row>
    <row r="38" spans="1:41" ht="13.5" thickBot="1">
      <c r="A38" s="11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96">
        <v>1.5</v>
      </c>
      <c r="H38" s="96">
        <f t="shared" si="2"/>
        <v>1169.28495</v>
      </c>
      <c r="I38" s="275">
        <f t="shared" si="17"/>
        <v>330.71505000000002</v>
      </c>
      <c r="J38" s="84" t="s">
        <v>371</v>
      </c>
      <c r="K38" s="84">
        <v>539.80499999999995</v>
      </c>
      <c r="L38" s="84">
        <v>900</v>
      </c>
      <c r="M38" s="83">
        <f t="shared" si="15"/>
        <v>779.52329999999995</v>
      </c>
      <c r="N38" s="92">
        <v>1.5</v>
      </c>
      <c r="O38" s="93">
        <f t="shared" si="4"/>
        <v>1169.28495</v>
      </c>
      <c r="P38" s="82">
        <f t="shared" si="18"/>
        <v>-269.28494999999998</v>
      </c>
      <c r="Q38" s="221" t="str">
        <f t="shared" si="16"/>
        <v>Yes</v>
      </c>
      <c r="R38" s="220" t="s">
        <v>471</v>
      </c>
      <c r="S38" s="219" t="s">
        <v>472</v>
      </c>
      <c r="U38" s="126" t="s">
        <v>369</v>
      </c>
      <c r="V38" s="269">
        <f>SUM(V22:V37)</f>
        <v>2677.3740000000003</v>
      </c>
      <c r="Y38" s="409"/>
      <c r="Z38" s="60" t="s">
        <v>93</v>
      </c>
      <c r="AA38" s="342">
        <v>0</v>
      </c>
      <c r="AB38" s="340">
        <v>0</v>
      </c>
      <c r="AC38" s="342">
        <f>2+1</f>
        <v>3</v>
      </c>
      <c r="AD38" s="342">
        <f>6</f>
        <v>6</v>
      </c>
      <c r="AE38" s="342">
        <v>0</v>
      </c>
      <c r="AF38" s="60">
        <f t="shared" si="19"/>
        <v>9</v>
      </c>
      <c r="AI38" s="320"/>
      <c r="AJ38" s="320"/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276">
        <v>1.5</v>
      </c>
      <c r="H39" s="86">
        <f t="shared" si="2"/>
        <v>1329.2317499999999</v>
      </c>
      <c r="I39" s="279">
        <f t="shared" si="17"/>
        <v>420.76825000000008</v>
      </c>
      <c r="J39" s="101" t="s">
        <v>366</v>
      </c>
      <c r="K39" s="84">
        <v>585.61500000000001</v>
      </c>
      <c r="L39" s="84">
        <v>1050</v>
      </c>
      <c r="M39" s="84">
        <f t="shared" si="15"/>
        <v>886.15449999999998</v>
      </c>
      <c r="N39" s="283">
        <v>1.5</v>
      </c>
      <c r="O39" s="287">
        <f t="shared" si="4"/>
        <v>1329.2317499999999</v>
      </c>
      <c r="P39" s="82">
        <f t="shared" si="18"/>
        <v>-279.23174999999992</v>
      </c>
      <c r="Q39" s="218" t="str">
        <f t="shared" si="16"/>
        <v>Yes</v>
      </c>
      <c r="R39" s="217" t="s">
        <v>454</v>
      </c>
      <c r="S39" s="216" t="s">
        <v>473</v>
      </c>
      <c r="U39" s="17" t="s">
        <v>365</v>
      </c>
      <c r="V39" s="17">
        <f>V38/9100.11497</f>
        <v>0.2942132059678802</v>
      </c>
      <c r="Y39" s="409"/>
      <c r="Z39" s="60" t="s">
        <v>94</v>
      </c>
      <c r="AA39" s="342">
        <v>0</v>
      </c>
      <c r="AB39" s="413">
        <f>2</f>
        <v>2</v>
      </c>
      <c r="AC39" s="342">
        <f>2+1</f>
        <v>3</v>
      </c>
      <c r="AD39" s="342">
        <f>7</f>
        <v>7</v>
      </c>
      <c r="AE39" s="342">
        <v>0</v>
      </c>
      <c r="AF39" s="60">
        <f t="shared" si="19"/>
        <v>12</v>
      </c>
      <c r="AI39" s="320"/>
      <c r="AJ39" s="320"/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8">
        <v>1.5</v>
      </c>
      <c r="H40" s="96">
        <f t="shared" si="2"/>
        <v>350.71049999999997</v>
      </c>
      <c r="I40" s="281">
        <f t="shared" si="17"/>
        <v>249.28950000000003</v>
      </c>
      <c r="J40" s="70" t="s">
        <v>328</v>
      </c>
      <c r="K40" s="72">
        <v>673.16499999999996</v>
      </c>
      <c r="L40" s="72">
        <v>450</v>
      </c>
      <c r="M40" s="72">
        <f t="shared" si="15"/>
        <v>233.80699999999999</v>
      </c>
      <c r="N40" s="284">
        <v>1.5</v>
      </c>
      <c r="O40" s="288">
        <f t="shared" si="4"/>
        <v>350.71049999999997</v>
      </c>
      <c r="P40" s="82">
        <f t="shared" si="18"/>
        <v>99.289500000000032</v>
      </c>
      <c r="Q40" s="201" t="str">
        <f t="shared" si="16"/>
        <v>No</v>
      </c>
      <c r="R40" s="215" t="s">
        <v>453</v>
      </c>
      <c r="S40" s="214" t="s">
        <v>474</v>
      </c>
      <c r="Y40" s="332"/>
      <c r="Z40" s="347" t="s">
        <v>505</v>
      </c>
      <c r="AA40" s="342">
        <v>0</v>
      </c>
      <c r="AB40" s="348">
        <f>1</f>
        <v>1</v>
      </c>
      <c r="AC40" s="348">
        <f>3</f>
        <v>3</v>
      </c>
      <c r="AD40" s="348">
        <v>0</v>
      </c>
      <c r="AE40" s="342">
        <v>0</v>
      </c>
      <c r="AF40" s="347">
        <f t="shared" si="19"/>
        <v>4</v>
      </c>
      <c r="AI40" s="320"/>
      <c r="AJ40" s="320"/>
    </row>
    <row r="41" spans="1:41" ht="13.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276">
        <v>1.5</v>
      </c>
      <c r="H41" s="86">
        <f t="shared" si="2"/>
        <v>624.22170000000006</v>
      </c>
      <c r="I41" s="279">
        <f t="shared" si="17"/>
        <v>125.77829999999994</v>
      </c>
      <c r="J41" s="92" t="s">
        <v>361</v>
      </c>
      <c r="K41" s="94">
        <v>692.19500000000005</v>
      </c>
      <c r="L41" s="94">
        <v>750</v>
      </c>
      <c r="M41" s="94">
        <f t="shared" si="15"/>
        <v>416.14780000000002</v>
      </c>
      <c r="N41" s="283">
        <v>1.5</v>
      </c>
      <c r="O41" s="287">
        <f t="shared" si="4"/>
        <v>624.22170000000006</v>
      </c>
      <c r="P41" s="82">
        <f t="shared" si="18"/>
        <v>125.77829999999994</v>
      </c>
      <c r="Q41" s="201" t="str">
        <f t="shared" si="16"/>
        <v>No</v>
      </c>
      <c r="R41" s="209"/>
      <c r="S41" s="105"/>
      <c r="Y41" s="332"/>
      <c r="Z41" s="312" t="s">
        <v>515</v>
      </c>
      <c r="AA41" s="349">
        <f t="shared" ref="AA41:AF41" si="21">SUM(AA29:AA40)</f>
        <v>0</v>
      </c>
      <c r="AB41" s="349">
        <f t="shared" si="21"/>
        <v>78</v>
      </c>
      <c r="AC41" s="349">
        <f t="shared" si="21"/>
        <v>80</v>
      </c>
      <c r="AD41" s="349">
        <f t="shared" si="21"/>
        <v>36</v>
      </c>
      <c r="AE41" s="349">
        <f t="shared" si="21"/>
        <v>8</v>
      </c>
      <c r="AF41" s="350">
        <f t="shared" si="21"/>
        <v>202</v>
      </c>
      <c r="AI41" s="320"/>
      <c r="AJ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278">
        <v>1.5</v>
      </c>
      <c r="H42" s="96">
        <f t="shared" si="2"/>
        <v>637.00244999999995</v>
      </c>
      <c r="I42" s="281">
        <f t="shared" si="17"/>
        <v>262.99755000000005</v>
      </c>
      <c r="J42" s="102" t="s">
        <v>359</v>
      </c>
      <c r="K42" s="108">
        <v>1033.6600000000001</v>
      </c>
      <c r="L42" s="108">
        <v>900</v>
      </c>
      <c r="M42" s="108">
        <f t="shared" si="15"/>
        <v>424.66829999999999</v>
      </c>
      <c r="N42" s="284">
        <v>1.5</v>
      </c>
      <c r="O42" s="288">
        <f t="shared" si="4"/>
        <v>637.00244999999995</v>
      </c>
      <c r="P42" s="82">
        <f t="shared" si="18"/>
        <v>262.99755000000005</v>
      </c>
      <c r="Q42" s="201" t="str">
        <f t="shared" si="16"/>
        <v>No</v>
      </c>
      <c r="R42" s="209"/>
      <c r="S42" s="105"/>
      <c r="Y42" s="332"/>
      <c r="Z42" s="312" t="s">
        <v>514</v>
      </c>
      <c r="AA42" s="414">
        <f>PRODUCT(AA41*AK14)</f>
        <v>0</v>
      </c>
      <c r="AB42" s="414">
        <f>PRODUCT(AB41*AK15)</f>
        <v>1276.7742000000001</v>
      </c>
      <c r="AC42" s="414">
        <f>PRODUCT(AC41*AK16)</f>
        <v>1339.7360000000001</v>
      </c>
      <c r="AD42" s="414">
        <f>PRODUCT(AD41*AK17)</f>
        <v>607.91759999999999</v>
      </c>
      <c r="AE42" s="414">
        <f>PRODUCT(AE41*AK18)</f>
        <v>136</v>
      </c>
      <c r="AF42" s="415">
        <f>SUM(AA42:AE42)</f>
        <v>3360.4278000000004</v>
      </c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277">
        <v>1.5</v>
      </c>
      <c r="H43" s="74">
        <f t="shared" si="2"/>
        <v>120.505005</v>
      </c>
      <c r="I43" s="280">
        <f t="shared" si="17"/>
        <v>129.49499500000002</v>
      </c>
      <c r="J43" s="92" t="s">
        <v>357</v>
      </c>
      <c r="K43" s="94">
        <v>811.21</v>
      </c>
      <c r="L43" s="94">
        <v>150</v>
      </c>
      <c r="M43" s="108">
        <f t="shared" si="15"/>
        <v>80.336669999999998</v>
      </c>
      <c r="N43" s="285">
        <v>1.5</v>
      </c>
      <c r="O43" s="289">
        <f t="shared" si="4"/>
        <v>120.505005</v>
      </c>
      <c r="P43" s="82">
        <f t="shared" si="18"/>
        <v>29.494995000000003</v>
      </c>
      <c r="Q43" s="201" t="str">
        <f t="shared" si="16"/>
        <v>No</v>
      </c>
      <c r="R43" s="209"/>
      <c r="S43" s="105"/>
      <c r="Y43" s="332"/>
      <c r="Z43" s="312" t="s">
        <v>559</v>
      </c>
      <c r="AA43" s="351">
        <f>AA41*AJ14</f>
        <v>0</v>
      </c>
      <c r="AB43" s="351">
        <f>AB41*AJ15</f>
        <v>11700</v>
      </c>
      <c r="AC43" s="351">
        <f>AC41*AJ16</f>
        <v>16000</v>
      </c>
      <c r="AD43" s="351">
        <f>AD41*AJ17</f>
        <v>9000</v>
      </c>
      <c r="AE43" s="351">
        <f>AE41*AJ18</f>
        <v>2400</v>
      </c>
      <c r="AF43" s="312">
        <f>SUM(AA43:AE43)</f>
        <v>39100</v>
      </c>
    </row>
    <row r="44" spans="1:41" ht="13.5" thickBot="1">
      <c r="A44" s="11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96">
        <v>1.5</v>
      </c>
      <c r="H44" s="96">
        <f t="shared" si="2"/>
        <v>100.86274499999999</v>
      </c>
      <c r="I44" s="275">
        <f t="shared" si="17"/>
        <v>99.13725500000001</v>
      </c>
      <c r="J44" s="84" t="s">
        <v>354</v>
      </c>
      <c r="K44" s="84">
        <v>607.995</v>
      </c>
      <c r="L44" s="84">
        <v>150</v>
      </c>
      <c r="M44" s="83">
        <f t="shared" si="15"/>
        <v>67.241829999999993</v>
      </c>
      <c r="N44" s="92">
        <v>1.5</v>
      </c>
      <c r="O44" s="93">
        <f t="shared" si="4"/>
        <v>100.86274499999999</v>
      </c>
      <c r="P44" s="82">
        <f t="shared" si="18"/>
        <v>49.13725500000001</v>
      </c>
      <c r="Q44" s="205" t="str">
        <f t="shared" si="16"/>
        <v>No</v>
      </c>
      <c r="R44" s="213"/>
      <c r="S44" s="212"/>
      <c r="Y44" s="332"/>
      <c r="Z44" s="332"/>
      <c r="AA44" s="332"/>
      <c r="AB44" s="332"/>
      <c r="AC44" s="332"/>
      <c r="AD44" s="332"/>
      <c r="AE44" s="332"/>
      <c r="AF44" s="332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276">
        <v>1.5</v>
      </c>
      <c r="H45" s="86">
        <f t="shared" si="2"/>
        <v>263.87879999999996</v>
      </c>
      <c r="I45" s="279">
        <f t="shared" si="17"/>
        <v>186.12120000000004</v>
      </c>
      <c r="J45" s="101" t="s">
        <v>352</v>
      </c>
      <c r="K45" s="84">
        <v>1051.23</v>
      </c>
      <c r="L45" s="84">
        <v>450</v>
      </c>
      <c r="M45" s="84">
        <f t="shared" si="15"/>
        <v>175.91919999999999</v>
      </c>
      <c r="N45" s="283">
        <v>1.5</v>
      </c>
      <c r="O45" s="287">
        <f t="shared" si="4"/>
        <v>263.87879999999996</v>
      </c>
      <c r="P45" s="82">
        <f t="shared" si="18"/>
        <v>186.12120000000004</v>
      </c>
      <c r="Q45" s="201" t="str">
        <f t="shared" si="16"/>
        <v>No</v>
      </c>
      <c r="R45" s="211"/>
      <c r="S45" s="106"/>
      <c r="Y45" s="332"/>
      <c r="Z45" s="332"/>
      <c r="AA45" s="332"/>
      <c r="AB45" s="332"/>
      <c r="AC45" s="332"/>
      <c r="AD45" s="332"/>
      <c r="AE45" s="332"/>
      <c r="AF45" s="332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278">
        <v>1.5</v>
      </c>
      <c r="H46" s="96">
        <f t="shared" si="2"/>
        <v>172.67144999999999</v>
      </c>
      <c r="I46" s="281">
        <f t="shared" si="17"/>
        <v>227.32855000000001</v>
      </c>
      <c r="J46" s="102" t="s">
        <v>348</v>
      </c>
      <c r="K46" s="108">
        <v>838.745</v>
      </c>
      <c r="L46" s="108">
        <v>300</v>
      </c>
      <c r="M46" s="108">
        <f t="shared" si="15"/>
        <v>115.1143</v>
      </c>
      <c r="N46" s="284">
        <v>1.5</v>
      </c>
      <c r="O46" s="288">
        <f t="shared" si="4"/>
        <v>172.67144999999999</v>
      </c>
      <c r="P46" s="82">
        <f t="shared" si="18"/>
        <v>127.32855000000001</v>
      </c>
      <c r="Q46" s="201" t="str">
        <f t="shared" si="16"/>
        <v>No</v>
      </c>
      <c r="R46" s="210"/>
      <c r="S46" s="207"/>
      <c r="Y46" s="332"/>
      <c r="Z46" s="332"/>
      <c r="AA46" s="332"/>
      <c r="AB46" s="332"/>
      <c r="AC46" s="332"/>
      <c r="AD46" s="332"/>
      <c r="AE46" s="332"/>
      <c r="AF46" s="332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278">
        <v>1.5</v>
      </c>
      <c r="H47" s="96">
        <f t="shared" si="2"/>
        <v>131.35275000000001</v>
      </c>
      <c r="I47" s="281">
        <f t="shared" si="17"/>
        <v>168.64724999999999</v>
      </c>
      <c r="J47" s="102" t="s">
        <v>346</v>
      </c>
      <c r="K47" s="108">
        <v>792.93499999999995</v>
      </c>
      <c r="L47" s="108">
        <v>300</v>
      </c>
      <c r="M47" s="108">
        <f t="shared" si="15"/>
        <v>87.5685</v>
      </c>
      <c r="N47" s="284">
        <v>1.5</v>
      </c>
      <c r="O47" s="288">
        <f t="shared" si="4"/>
        <v>131.35275000000001</v>
      </c>
      <c r="P47" s="82">
        <f t="shared" si="18"/>
        <v>168.64724999999999</v>
      </c>
      <c r="Q47" s="201" t="str">
        <f t="shared" si="16"/>
        <v>No</v>
      </c>
      <c r="R47" s="210"/>
      <c r="S47" s="207"/>
      <c r="Y47" s="18"/>
      <c r="Z47" s="18"/>
      <c r="AA47" s="332"/>
      <c r="AB47" s="18"/>
      <c r="AC47" s="332"/>
      <c r="AD47" s="332"/>
      <c r="AE47" s="335"/>
      <c r="AF47" s="332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278">
        <v>1.5</v>
      </c>
      <c r="H48" s="96">
        <f t="shared" si="2"/>
        <v>69.246000000000009</v>
      </c>
      <c r="I48" s="281">
        <f t="shared" si="17"/>
        <v>80.753999999999991</v>
      </c>
      <c r="J48" s="92" t="s">
        <v>345</v>
      </c>
      <c r="K48" s="94">
        <v>934.80499999999995</v>
      </c>
      <c r="L48" s="94">
        <v>150</v>
      </c>
      <c r="M48" s="94">
        <f t="shared" si="15"/>
        <v>46.164000000000001</v>
      </c>
      <c r="N48" s="284">
        <v>1.5</v>
      </c>
      <c r="O48" s="288">
        <f t="shared" si="4"/>
        <v>69.246000000000009</v>
      </c>
      <c r="P48" s="82">
        <f t="shared" si="18"/>
        <v>80.753999999999991</v>
      </c>
      <c r="Q48" s="201" t="str">
        <f t="shared" si="16"/>
        <v>No</v>
      </c>
      <c r="R48" s="209"/>
      <c r="S48" s="105"/>
      <c r="Y48" s="18"/>
      <c r="Z48" s="18"/>
      <c r="AA48" s="332"/>
      <c r="AB48" s="18"/>
      <c r="AC48" s="332"/>
      <c r="AD48" s="332"/>
      <c r="AE48" s="335"/>
      <c r="AF48" s="332"/>
    </row>
    <row r="49" spans="1:19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276">
        <v>1.5</v>
      </c>
      <c r="H49" s="86">
        <f t="shared" si="2"/>
        <v>263.87879999999996</v>
      </c>
      <c r="I49" s="279">
        <f t="shared" si="17"/>
        <v>186.12120000000004</v>
      </c>
      <c r="J49" s="101" t="s">
        <v>341</v>
      </c>
      <c r="K49" s="84">
        <v>992.44500000000005</v>
      </c>
      <c r="L49" s="84">
        <v>450</v>
      </c>
      <c r="M49" s="84">
        <f t="shared" si="15"/>
        <v>175.91919999999999</v>
      </c>
      <c r="N49" s="283">
        <v>1.5</v>
      </c>
      <c r="O49" s="287">
        <f t="shared" si="4"/>
        <v>263.87879999999996</v>
      </c>
      <c r="P49" s="82">
        <f t="shared" si="18"/>
        <v>186.12120000000004</v>
      </c>
      <c r="Q49" s="201" t="str">
        <f t="shared" si="16"/>
        <v>No</v>
      </c>
      <c r="R49" s="202"/>
      <c r="S49" s="106"/>
    </row>
    <row r="50" spans="1:19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278">
        <v>1.5</v>
      </c>
      <c r="H50" s="96">
        <f t="shared" si="2"/>
        <v>69.246000000000009</v>
      </c>
      <c r="I50" s="281">
        <f t="shared" si="17"/>
        <v>80.753999999999991</v>
      </c>
      <c r="J50" s="92" t="s">
        <v>337</v>
      </c>
      <c r="K50" s="94">
        <v>817.04499999999996</v>
      </c>
      <c r="L50" s="94">
        <v>150</v>
      </c>
      <c r="M50" s="94">
        <f t="shared" si="15"/>
        <v>46.164000000000001</v>
      </c>
      <c r="N50" s="284">
        <v>1.5</v>
      </c>
      <c r="O50" s="288">
        <f t="shared" si="4"/>
        <v>69.246000000000009</v>
      </c>
      <c r="P50" s="82">
        <f t="shared" si="18"/>
        <v>80.753999999999991</v>
      </c>
      <c r="Q50" s="201" t="str">
        <f t="shared" si="16"/>
        <v>No</v>
      </c>
      <c r="R50" s="208"/>
      <c r="S50" s="207"/>
    </row>
    <row r="51" spans="1:19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276">
        <v>1.5</v>
      </c>
      <c r="H51" s="86">
        <f t="shared" si="2"/>
        <v>69.246000000000009</v>
      </c>
      <c r="I51" s="279">
        <f t="shared" si="17"/>
        <v>80.753999999999991</v>
      </c>
      <c r="J51" s="101" t="s">
        <v>337</v>
      </c>
      <c r="K51" s="84">
        <v>817.04499999999996</v>
      </c>
      <c r="L51" s="84">
        <v>150</v>
      </c>
      <c r="M51" s="84">
        <f t="shared" si="15"/>
        <v>46.164000000000001</v>
      </c>
      <c r="N51" s="283">
        <v>1.5</v>
      </c>
      <c r="O51" s="287">
        <f t="shared" si="4"/>
        <v>69.246000000000009</v>
      </c>
      <c r="P51" s="82">
        <f t="shared" si="18"/>
        <v>80.753999999999991</v>
      </c>
      <c r="Q51" s="205" t="str">
        <f t="shared" si="16"/>
        <v>No</v>
      </c>
      <c r="R51" s="206"/>
      <c r="S51" s="77"/>
    </row>
    <row r="52" spans="1:19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278">
        <v>1.5</v>
      </c>
      <c r="H52" s="96">
        <f t="shared" si="2"/>
        <v>205.31295</v>
      </c>
      <c r="I52" s="281">
        <f t="shared" si="17"/>
        <v>194.68705</v>
      </c>
      <c r="J52" s="92" t="s">
        <v>325</v>
      </c>
      <c r="K52" s="94">
        <v>518.48</v>
      </c>
      <c r="L52" s="94">
        <v>400</v>
      </c>
      <c r="M52" s="94">
        <f t="shared" si="15"/>
        <v>136.87530000000001</v>
      </c>
      <c r="N52" s="284">
        <v>1.5</v>
      </c>
      <c r="O52" s="288">
        <f t="shared" si="4"/>
        <v>205.31295</v>
      </c>
      <c r="P52" s="82">
        <f t="shared" si="18"/>
        <v>194.68705</v>
      </c>
      <c r="Q52" s="205" t="str">
        <f t="shared" si="16"/>
        <v>No</v>
      </c>
      <c r="R52" s="204"/>
      <c r="S52" s="66"/>
    </row>
    <row r="53" spans="1:19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276">
        <v>1.5</v>
      </c>
      <c r="H53" s="86">
        <f t="shared" si="2"/>
        <v>131.35275000000001</v>
      </c>
      <c r="I53" s="279">
        <f t="shared" si="17"/>
        <v>168.64724999999999</v>
      </c>
      <c r="J53" s="101" t="s">
        <v>334</v>
      </c>
      <c r="K53" s="84">
        <v>792.93499999999995</v>
      </c>
      <c r="L53" s="84">
        <v>300</v>
      </c>
      <c r="M53" s="84">
        <f t="shared" si="15"/>
        <v>87.5685</v>
      </c>
      <c r="N53" s="283">
        <v>1.5</v>
      </c>
      <c r="O53" s="287">
        <f t="shared" si="4"/>
        <v>131.35275000000001</v>
      </c>
      <c r="P53" s="82">
        <f t="shared" si="18"/>
        <v>168.64724999999999</v>
      </c>
      <c r="Q53" s="201" t="str">
        <f t="shared" si="16"/>
        <v>No</v>
      </c>
      <c r="R53" s="60"/>
      <c r="S53" s="100"/>
    </row>
    <row r="54" spans="1:19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278">
        <v>1.5</v>
      </c>
      <c r="H54" s="96">
        <f t="shared" si="2"/>
        <v>49.947495000000004</v>
      </c>
      <c r="I54" s="281">
        <f t="shared" si="17"/>
        <v>150.052505</v>
      </c>
      <c r="J54" s="92" t="s">
        <v>331</v>
      </c>
      <c r="K54" s="94">
        <v>524.75</v>
      </c>
      <c r="L54" s="94">
        <v>200</v>
      </c>
      <c r="M54" s="94">
        <f t="shared" si="15"/>
        <v>33.29833</v>
      </c>
      <c r="N54" s="284">
        <v>1.5</v>
      </c>
      <c r="O54" s="288">
        <f t="shared" si="4"/>
        <v>49.947495000000004</v>
      </c>
      <c r="P54" s="82">
        <f t="shared" si="18"/>
        <v>150.052505</v>
      </c>
      <c r="Q54" s="201" t="str">
        <f t="shared" si="16"/>
        <v>No</v>
      </c>
      <c r="R54" s="60"/>
      <c r="S54" s="100"/>
    </row>
    <row r="55" spans="1:19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276">
        <v>1.5</v>
      </c>
      <c r="H55" s="86">
        <f t="shared" si="2"/>
        <v>350.71049999999997</v>
      </c>
      <c r="I55" s="279">
        <f t="shared" si="17"/>
        <v>249.28950000000003</v>
      </c>
      <c r="J55" s="101" t="s">
        <v>328</v>
      </c>
      <c r="K55" s="84">
        <v>673.16499999999996</v>
      </c>
      <c r="L55" s="84">
        <v>450</v>
      </c>
      <c r="M55" s="84">
        <f t="shared" si="15"/>
        <v>233.80699999999999</v>
      </c>
      <c r="N55" s="283">
        <v>1.5</v>
      </c>
      <c r="O55" s="287">
        <f t="shared" si="4"/>
        <v>350.71049999999997</v>
      </c>
      <c r="P55" s="82">
        <f t="shared" si="18"/>
        <v>99.289500000000032</v>
      </c>
      <c r="Q55" s="201" t="str">
        <f t="shared" si="16"/>
        <v>No</v>
      </c>
      <c r="R55" s="202"/>
      <c r="S55" s="106"/>
    </row>
    <row r="56" spans="1:19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7">
        <v>1.5</v>
      </c>
      <c r="H56" s="74">
        <f t="shared" si="2"/>
        <v>205.31295</v>
      </c>
      <c r="I56" s="280">
        <f t="shared" si="17"/>
        <v>194.68705</v>
      </c>
      <c r="J56" s="70" t="s">
        <v>325</v>
      </c>
      <c r="K56" s="72">
        <v>518.48</v>
      </c>
      <c r="L56" s="72">
        <v>400</v>
      </c>
      <c r="M56" s="153">
        <f t="shared" si="15"/>
        <v>136.87530000000001</v>
      </c>
      <c r="N56" s="285">
        <v>1.5</v>
      </c>
      <c r="O56" s="289">
        <f t="shared" si="4"/>
        <v>205.31295</v>
      </c>
      <c r="P56" s="82">
        <f t="shared" si="18"/>
        <v>194.68705</v>
      </c>
      <c r="Q56" s="201" t="str">
        <f t="shared" si="16"/>
        <v>No</v>
      </c>
      <c r="R56" s="200"/>
      <c r="S56" s="199"/>
    </row>
    <row r="57" spans="1:19">
      <c r="A57" s="20"/>
      <c r="B57" s="64"/>
      <c r="C57" s="20"/>
      <c r="D57" s="20"/>
      <c r="E57" s="20"/>
      <c r="F57" s="64"/>
      <c r="G57" s="64"/>
      <c r="H57" s="64"/>
      <c r="I57" s="20"/>
      <c r="J57" s="20"/>
      <c r="K57" s="20"/>
      <c r="L57" s="20"/>
      <c r="M57" s="20"/>
      <c r="N57" s="20"/>
      <c r="O57" s="20"/>
      <c r="P57" s="20"/>
      <c r="Q57" s="20"/>
      <c r="R57" s="11"/>
      <c r="S57" s="20"/>
    </row>
    <row r="58" spans="1:19">
      <c r="A58" s="20"/>
      <c r="B58" s="64"/>
      <c r="C58" s="20"/>
      <c r="D58" s="20"/>
      <c r="E58" s="20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Q58" s="20"/>
      <c r="R58" s="11"/>
      <c r="S58" s="20"/>
    </row>
    <row r="59" spans="1:19">
      <c r="A59" s="20"/>
      <c r="B59" s="64"/>
      <c r="C59" s="20"/>
      <c r="D59" s="20"/>
      <c r="E59" s="20"/>
      <c r="F59" s="64"/>
      <c r="G59" s="64"/>
      <c r="H59" s="64"/>
      <c r="I59" s="20"/>
      <c r="J59" s="20"/>
      <c r="K59" s="20"/>
      <c r="L59" s="20"/>
      <c r="M59" s="20"/>
      <c r="N59" s="20"/>
      <c r="O59" s="20"/>
      <c r="P59" s="20"/>
      <c r="Q59" s="20"/>
      <c r="R59" s="11"/>
      <c r="S59" s="20"/>
    </row>
    <row r="60" spans="1:19">
      <c r="A60" s="20"/>
      <c r="B60" s="64"/>
      <c r="C60" s="20"/>
      <c r="D60" s="20"/>
      <c r="E60" s="20"/>
      <c r="F60" s="64"/>
      <c r="G60" s="64"/>
      <c r="H60" s="64"/>
      <c r="I60" s="20"/>
      <c r="J60" s="20"/>
      <c r="K60" s="20"/>
      <c r="L60" s="20"/>
      <c r="M60" s="20"/>
      <c r="N60" s="20"/>
      <c r="O60" s="20"/>
      <c r="P60" s="20"/>
      <c r="Q60" s="20"/>
      <c r="R60" s="11"/>
      <c r="S60" s="20"/>
    </row>
    <row r="61" spans="1:19">
      <c r="A61" s="20"/>
      <c r="B61" s="64"/>
      <c r="C61" s="20"/>
      <c r="D61" s="20"/>
      <c r="E61" s="20"/>
      <c r="F61" s="64"/>
      <c r="G61" s="64"/>
      <c r="H61" s="64"/>
      <c r="I61" s="20"/>
      <c r="J61" s="20"/>
      <c r="K61" s="20"/>
      <c r="L61" s="20"/>
      <c r="M61" s="20"/>
      <c r="N61" s="20"/>
      <c r="O61" s="20"/>
      <c r="P61" s="20"/>
      <c r="Q61" s="20"/>
      <c r="R61" s="11"/>
      <c r="S61" s="20"/>
    </row>
    <row r="62" spans="1:19">
      <c r="A62" s="20"/>
      <c r="B62" s="65"/>
      <c r="C62" s="20"/>
      <c r="D62" s="20"/>
      <c r="E62" s="20"/>
      <c r="F62" s="64"/>
      <c r="G62" s="64"/>
      <c r="H62" s="64"/>
      <c r="I62" s="20"/>
      <c r="J62" s="20"/>
      <c r="K62" s="20"/>
      <c r="L62" s="20"/>
      <c r="M62" s="20"/>
      <c r="N62" s="20"/>
      <c r="O62" s="20"/>
      <c r="P62" s="20"/>
      <c r="Q62" s="20"/>
      <c r="R62" s="11"/>
      <c r="S62" s="20"/>
    </row>
    <row r="63" spans="1:19">
      <c r="A63" s="20"/>
      <c r="B63" s="65"/>
      <c r="C63" s="20"/>
      <c r="D63" s="20"/>
      <c r="E63" s="20"/>
      <c r="F63" s="64"/>
      <c r="G63" s="64"/>
      <c r="H63" s="64"/>
      <c r="I63" s="20"/>
      <c r="J63" s="20"/>
      <c r="K63" s="20"/>
      <c r="L63" s="20"/>
      <c r="M63" s="20"/>
      <c r="N63" s="20"/>
      <c r="O63" s="20"/>
      <c r="P63" s="20"/>
      <c r="Q63" s="20"/>
      <c r="R63" s="11"/>
      <c r="S63" s="20"/>
    </row>
    <row r="64" spans="1:19">
      <c r="A64" s="20"/>
      <c r="B64" s="65"/>
      <c r="C64" s="20"/>
      <c r="D64" s="20"/>
      <c r="E64" s="20"/>
      <c r="F64" s="64"/>
      <c r="G64" s="64"/>
      <c r="H64" s="64"/>
      <c r="I64" s="20"/>
      <c r="J64" s="20"/>
      <c r="K64" s="20"/>
      <c r="L64" s="20"/>
      <c r="M64" s="20"/>
      <c r="N64" s="20"/>
      <c r="O64" s="20"/>
      <c r="P64" s="20"/>
      <c r="Q64" s="20"/>
      <c r="R64" s="11"/>
      <c r="S64" s="20"/>
    </row>
    <row r="65" spans="1:22">
      <c r="A65" s="20"/>
      <c r="B65" s="64"/>
      <c r="C65" s="20"/>
      <c r="D65" s="20"/>
      <c r="L65" s="20"/>
      <c r="M65" s="20"/>
      <c r="N65" s="20"/>
      <c r="O65" s="20"/>
      <c r="Q65" s="20"/>
      <c r="R65" s="11"/>
      <c r="S65" s="20"/>
    </row>
    <row r="66" spans="1:22">
      <c r="A66" s="20"/>
      <c r="B66" s="64"/>
      <c r="C66" s="20"/>
      <c r="D66" s="20"/>
      <c r="L66" s="20"/>
      <c r="M66" s="20"/>
      <c r="N66" s="20"/>
      <c r="O66" s="20"/>
      <c r="Q66" s="20"/>
      <c r="R66" s="11"/>
      <c r="S66" s="20"/>
    </row>
    <row r="67" spans="1:22">
      <c r="A67" s="20"/>
      <c r="B67" s="64"/>
      <c r="C67" s="20"/>
      <c r="D67" s="20"/>
      <c r="L67" s="20"/>
      <c r="M67" s="20"/>
      <c r="N67" s="20"/>
      <c r="O67" s="20"/>
      <c r="Q67" s="20"/>
      <c r="R67" s="11"/>
      <c r="S67" s="20"/>
    </row>
    <row r="68" spans="1:22">
      <c r="A68" s="20"/>
      <c r="B68" s="64"/>
      <c r="C68" s="20"/>
      <c r="D68" s="20"/>
      <c r="E68" s="20"/>
      <c r="F68" s="64"/>
      <c r="G68" s="64"/>
      <c r="H68" s="64"/>
      <c r="I68" s="20"/>
      <c r="J68" s="20"/>
      <c r="K68" s="20"/>
      <c r="L68" s="20"/>
      <c r="M68" s="20"/>
      <c r="N68" s="20"/>
      <c r="O68" s="20"/>
      <c r="P68" s="20"/>
      <c r="Q68" s="20"/>
      <c r="R68" s="11"/>
      <c r="S68" s="20"/>
    </row>
    <row r="69" spans="1:22">
      <c r="B69" s="64"/>
      <c r="C69" s="20"/>
      <c r="D69" s="20"/>
      <c r="E69" s="20"/>
      <c r="F69" s="64"/>
      <c r="G69" s="64"/>
      <c r="H69" s="64"/>
      <c r="I69" s="20"/>
      <c r="J69" s="20"/>
      <c r="K69" s="20"/>
      <c r="L69" s="20"/>
      <c r="M69" s="20"/>
      <c r="N69" s="20"/>
      <c r="O69" s="20"/>
      <c r="P69" s="20"/>
      <c r="Q69" s="20"/>
      <c r="R69" s="11"/>
      <c r="S69" s="20"/>
      <c r="U69" s="58"/>
      <c r="V69" s="58"/>
    </row>
    <row r="70" spans="1:22">
      <c r="B70" s="64"/>
      <c r="C70" s="20"/>
      <c r="D70" s="20"/>
      <c r="E70" s="20"/>
      <c r="F70" s="64"/>
      <c r="G70" s="64"/>
      <c r="H70" s="64"/>
      <c r="I70" s="20"/>
      <c r="J70" s="20"/>
      <c r="K70" s="20"/>
      <c r="L70" s="20"/>
      <c r="M70" s="20"/>
      <c r="N70" s="20"/>
      <c r="O70" s="20"/>
      <c r="P70" s="20"/>
      <c r="Q70" s="20"/>
      <c r="R70" s="11"/>
      <c r="S70" s="20"/>
      <c r="U70" s="58"/>
      <c r="V70" s="58"/>
    </row>
    <row r="71" spans="1:22">
      <c r="B71" s="64"/>
      <c r="C71" s="20"/>
      <c r="D71" s="20"/>
      <c r="E71" s="20"/>
      <c r="F71" s="64"/>
      <c r="G71" s="64"/>
      <c r="H71" s="64"/>
      <c r="I71" s="20"/>
      <c r="J71" s="20"/>
      <c r="K71" s="20"/>
      <c r="L71" s="20"/>
      <c r="M71" s="20"/>
      <c r="N71" s="20"/>
      <c r="O71" s="20"/>
      <c r="P71" s="20"/>
      <c r="Q71" s="20"/>
      <c r="R71" s="11"/>
      <c r="S71" s="20"/>
      <c r="U71" s="58"/>
      <c r="V71" s="58"/>
    </row>
    <row r="72" spans="1:22">
      <c r="B72" s="64"/>
      <c r="C72" s="20"/>
      <c r="D72" s="20"/>
      <c r="E72" s="20"/>
      <c r="F72" s="64"/>
      <c r="G72" s="64"/>
      <c r="H72" s="64"/>
      <c r="I72" s="20"/>
      <c r="J72" s="20"/>
      <c r="K72" s="20"/>
      <c r="L72" s="20"/>
      <c r="M72" s="20"/>
      <c r="N72" s="20"/>
      <c r="O72" s="20"/>
      <c r="P72" s="20"/>
      <c r="Q72" s="20"/>
      <c r="R72" s="11"/>
      <c r="S72" s="20"/>
      <c r="U72" s="58"/>
      <c r="V72" s="58"/>
    </row>
    <row r="73" spans="1:22">
      <c r="B73" s="64"/>
      <c r="C73" s="20"/>
      <c r="D73" s="20"/>
      <c r="E73" s="20"/>
      <c r="F73" s="64"/>
      <c r="G73" s="64"/>
      <c r="H73" s="64"/>
      <c r="I73" s="20"/>
      <c r="J73" s="20"/>
      <c r="K73" s="20"/>
      <c r="L73" s="20"/>
      <c r="M73" s="20"/>
      <c r="N73" s="20"/>
      <c r="O73" s="20"/>
      <c r="P73" s="20"/>
      <c r="Q73" s="20"/>
      <c r="R73" s="11"/>
      <c r="S73" s="20"/>
      <c r="U73" s="58"/>
    </row>
    <row r="74" spans="1:22">
      <c r="B74" s="64"/>
      <c r="C74" s="20"/>
      <c r="D74" s="20"/>
      <c r="E74" s="20"/>
      <c r="F74" s="64"/>
      <c r="G74" s="64"/>
      <c r="H74" s="64"/>
      <c r="I74" s="20"/>
      <c r="J74" s="20"/>
      <c r="K74" s="20"/>
      <c r="L74" s="20"/>
      <c r="M74" s="20"/>
      <c r="N74" s="20"/>
      <c r="O74" s="20"/>
      <c r="P74" s="20"/>
      <c r="Q74" s="20"/>
      <c r="R74" s="11"/>
      <c r="S74" s="20"/>
      <c r="U74" s="58"/>
    </row>
    <row r="75" spans="1:22">
      <c r="B75" s="64"/>
      <c r="C75" s="20"/>
      <c r="D75" s="20"/>
      <c r="E75" s="20"/>
      <c r="F75" s="64"/>
      <c r="G75" s="64"/>
      <c r="H75" s="64"/>
      <c r="I75" s="20"/>
      <c r="J75" s="20"/>
      <c r="K75" s="20"/>
      <c r="L75" s="20"/>
      <c r="M75" s="20"/>
      <c r="N75" s="20"/>
      <c r="O75" s="20"/>
      <c r="P75" s="20"/>
      <c r="Q75" s="20"/>
      <c r="R75" s="11"/>
      <c r="S75" s="20"/>
    </row>
    <row r="76" spans="1:22">
      <c r="B76" s="64"/>
      <c r="C76" s="20"/>
      <c r="D76" s="20"/>
      <c r="E76" s="20"/>
      <c r="F76" s="64"/>
      <c r="G76" s="64"/>
      <c r="H76" s="64"/>
      <c r="I76" s="20"/>
      <c r="J76" s="20"/>
      <c r="K76" s="20"/>
      <c r="L76" s="20"/>
      <c r="M76" s="20"/>
      <c r="N76" s="20"/>
      <c r="O76" s="20"/>
      <c r="P76" s="20"/>
      <c r="Q76" s="20"/>
      <c r="R76" s="11"/>
      <c r="S76" s="20"/>
    </row>
    <row r="77" spans="1:22">
      <c r="B77" s="64"/>
      <c r="C77" s="20"/>
      <c r="D77" s="20"/>
      <c r="E77" s="20"/>
      <c r="F77" s="64"/>
      <c r="G77" s="64"/>
      <c r="H77" s="64"/>
      <c r="I77" s="20"/>
      <c r="J77" s="20"/>
      <c r="K77" s="20"/>
      <c r="L77" s="20"/>
      <c r="M77" s="20"/>
      <c r="N77" s="20"/>
      <c r="O77" s="20"/>
      <c r="P77" s="20"/>
      <c r="Q77" s="20"/>
      <c r="R77" s="11"/>
      <c r="S77" s="20"/>
    </row>
    <row r="78" spans="1:22">
      <c r="B78" s="64"/>
      <c r="C78" s="20"/>
      <c r="D78" s="20"/>
      <c r="E78" s="20"/>
      <c r="F78" s="64"/>
      <c r="G78" s="64"/>
      <c r="H78" s="64"/>
      <c r="I78" s="20"/>
      <c r="J78" s="20"/>
      <c r="K78" s="20"/>
      <c r="L78" s="20"/>
      <c r="M78" s="20"/>
      <c r="N78" s="20"/>
      <c r="O78" s="20"/>
      <c r="P78" s="20"/>
      <c r="Q78" s="20"/>
      <c r="R78" s="11"/>
      <c r="S78" s="20"/>
    </row>
    <row r="79" spans="1:22">
      <c r="B79" s="64"/>
      <c r="C79" s="20"/>
      <c r="D79" s="20"/>
      <c r="E79" s="20"/>
      <c r="F79" s="64"/>
      <c r="G79" s="64"/>
      <c r="H79" s="64"/>
      <c r="I79" s="20"/>
      <c r="J79" s="20"/>
      <c r="K79" s="20"/>
      <c r="L79" s="20"/>
      <c r="M79" s="20"/>
      <c r="N79" s="20"/>
      <c r="O79" s="20"/>
      <c r="P79" s="20"/>
      <c r="Q79" s="20"/>
      <c r="R79" s="11"/>
      <c r="S79" s="20"/>
    </row>
    <row r="80" spans="1:22">
      <c r="B80" s="64"/>
      <c r="C80" s="20"/>
      <c r="D80" s="20"/>
      <c r="E80" s="20"/>
      <c r="F80" s="64"/>
      <c r="G80" s="64"/>
      <c r="H80" s="64"/>
      <c r="I80" s="20"/>
      <c r="J80" s="20"/>
      <c r="K80" s="20"/>
      <c r="L80" s="20"/>
      <c r="M80" s="20"/>
      <c r="N80" s="20"/>
      <c r="O80" s="20"/>
      <c r="P80" s="20"/>
      <c r="Q80" s="20"/>
      <c r="R80" s="11"/>
      <c r="S80" s="20"/>
    </row>
    <row r="81" spans="2:19">
      <c r="B81" s="64"/>
      <c r="C81" s="20"/>
      <c r="D81" s="20"/>
      <c r="E81" s="20"/>
      <c r="F81" s="64"/>
      <c r="G81" s="64"/>
      <c r="H81" s="64"/>
      <c r="I81" s="20"/>
      <c r="J81" s="20"/>
      <c r="K81" s="20"/>
      <c r="L81" s="20"/>
      <c r="M81" s="20"/>
      <c r="N81" s="20"/>
      <c r="O81" s="20"/>
      <c r="P81" s="20"/>
      <c r="Q81" s="20"/>
      <c r="R81" s="11"/>
      <c r="S81" s="20"/>
    </row>
    <row r="82" spans="2:19">
      <c r="B82" s="64"/>
      <c r="C82" s="20"/>
      <c r="D82" s="20"/>
      <c r="E82" s="20"/>
      <c r="F82" s="64"/>
      <c r="G82" s="64"/>
      <c r="H82" s="64"/>
      <c r="I82" s="20"/>
      <c r="J82" s="20"/>
      <c r="K82" s="20"/>
      <c r="L82" s="20"/>
      <c r="M82" s="20"/>
      <c r="N82" s="20"/>
      <c r="O82" s="20"/>
      <c r="P82" s="20"/>
      <c r="Q82" s="20"/>
      <c r="R82" s="11"/>
      <c r="S82" s="20"/>
    </row>
    <row r="83" spans="2:19">
      <c r="B83" s="64"/>
      <c r="C83" s="20"/>
      <c r="D83" s="20"/>
      <c r="E83" s="20"/>
      <c r="F83" s="64"/>
      <c r="G83" s="64"/>
      <c r="H83" s="64"/>
      <c r="I83" s="20"/>
      <c r="J83" s="20"/>
      <c r="K83" s="20"/>
      <c r="L83" s="20"/>
      <c r="M83" s="20"/>
      <c r="N83" s="20"/>
      <c r="O83" s="20"/>
      <c r="P83" s="20"/>
      <c r="Q83" s="20"/>
      <c r="R83" s="11"/>
      <c r="S83" s="20"/>
    </row>
    <row r="84" spans="2:19">
      <c r="B84" s="64"/>
      <c r="C84" s="20"/>
      <c r="D84" s="20"/>
      <c r="E84" s="20"/>
      <c r="F84" s="64"/>
      <c r="G84" s="64"/>
      <c r="H84" s="64"/>
      <c r="I84" s="20"/>
      <c r="J84" s="20"/>
      <c r="K84" s="20"/>
      <c r="L84" s="20"/>
      <c r="M84" s="20"/>
      <c r="N84" s="20"/>
      <c r="O84" s="20"/>
      <c r="P84" s="20"/>
      <c r="Q84" s="20"/>
      <c r="R84" s="11"/>
      <c r="S84" s="20"/>
    </row>
    <row r="85" spans="2:19">
      <c r="B85" s="64"/>
      <c r="C85" s="20"/>
      <c r="D85" s="20"/>
      <c r="E85" s="20"/>
      <c r="F85" s="64"/>
      <c r="G85" s="64"/>
      <c r="H85" s="64"/>
      <c r="I85" s="20"/>
      <c r="J85" s="20"/>
      <c r="K85" s="20"/>
      <c r="L85" s="20"/>
      <c r="M85" s="20"/>
      <c r="N85" s="20"/>
      <c r="O85" s="20"/>
      <c r="P85" s="20"/>
      <c r="Q85" s="20"/>
      <c r="R85" s="11"/>
      <c r="S85" s="20"/>
    </row>
    <row r="86" spans="2:19">
      <c r="B86" s="64"/>
      <c r="C86" s="20"/>
      <c r="D86" s="20"/>
      <c r="E86" s="20"/>
      <c r="F86" s="64"/>
      <c r="G86" s="64"/>
      <c r="H86" s="64"/>
      <c r="I86" s="20"/>
      <c r="J86" s="20"/>
      <c r="K86" s="20"/>
      <c r="L86" s="20"/>
      <c r="M86" s="20"/>
      <c r="N86" s="20"/>
      <c r="O86" s="20"/>
      <c r="P86" s="20"/>
      <c r="Q86" s="20"/>
      <c r="R86" s="11"/>
      <c r="S86" s="20"/>
    </row>
    <row r="87" spans="2:19">
      <c r="B87" s="64"/>
      <c r="C87" s="20"/>
      <c r="D87" s="20"/>
      <c r="E87" s="20"/>
      <c r="F87" s="64"/>
      <c r="G87" s="64"/>
      <c r="H87" s="64"/>
      <c r="I87" s="20"/>
      <c r="J87" s="20"/>
      <c r="K87" s="20"/>
      <c r="L87" s="20"/>
      <c r="M87" s="20"/>
      <c r="N87" s="20"/>
      <c r="O87" s="20"/>
      <c r="P87" s="20"/>
      <c r="Q87" s="20"/>
      <c r="R87" s="11"/>
      <c r="S87" s="20"/>
    </row>
    <row r="88" spans="2:19">
      <c r="B88" s="64"/>
      <c r="C88" s="20"/>
      <c r="D88" s="20"/>
      <c r="E88" s="20"/>
      <c r="F88" s="64"/>
      <c r="G88" s="64"/>
      <c r="H88" s="64"/>
      <c r="I88" s="20"/>
      <c r="J88" s="20"/>
      <c r="K88" s="20"/>
      <c r="L88" s="20"/>
      <c r="M88" s="20"/>
      <c r="N88" s="20"/>
      <c r="O88" s="20"/>
      <c r="P88" s="20"/>
      <c r="Q88" s="20"/>
      <c r="R88" s="11"/>
      <c r="S88" s="20"/>
    </row>
    <row r="89" spans="2:19">
      <c r="B89" s="64"/>
      <c r="C89" s="20"/>
      <c r="D89" s="20"/>
      <c r="E89" s="20"/>
      <c r="F89" s="64"/>
      <c r="G89" s="64"/>
      <c r="H89" s="64"/>
      <c r="I89" s="20"/>
      <c r="J89" s="20"/>
      <c r="K89" s="20"/>
      <c r="L89" s="20"/>
      <c r="M89" s="20"/>
      <c r="N89" s="20"/>
      <c r="O89" s="20"/>
      <c r="P89" s="20"/>
      <c r="Q89" s="20"/>
      <c r="R89" s="11"/>
      <c r="S89" s="20"/>
    </row>
    <row r="90" spans="2:19">
      <c r="B90" s="64"/>
      <c r="C90" s="20"/>
      <c r="D90" s="20"/>
      <c r="E90" s="20"/>
      <c r="F90" s="64"/>
      <c r="G90" s="64"/>
      <c r="H90" s="64"/>
      <c r="I90" s="20"/>
      <c r="J90" s="20"/>
      <c r="K90" s="20"/>
      <c r="L90" s="20"/>
      <c r="M90" s="20"/>
      <c r="N90" s="20"/>
      <c r="O90" s="20"/>
      <c r="P90" s="20"/>
      <c r="Q90" s="20"/>
      <c r="R90" s="11"/>
      <c r="S90" s="20"/>
    </row>
    <row r="91" spans="2:19">
      <c r="B91" s="64"/>
      <c r="C91" s="20"/>
      <c r="D91" s="20"/>
      <c r="E91" s="20"/>
      <c r="F91" s="64"/>
      <c r="G91" s="64"/>
      <c r="H91" s="64"/>
      <c r="I91" s="20"/>
      <c r="J91" s="20"/>
      <c r="K91" s="20"/>
      <c r="L91" s="20"/>
      <c r="M91" s="20"/>
      <c r="N91" s="20"/>
      <c r="O91" s="20"/>
      <c r="P91" s="20"/>
      <c r="Q91" s="20"/>
      <c r="R91" s="11"/>
      <c r="S91" s="20"/>
    </row>
    <row r="92" spans="2:19">
      <c r="B92" s="64"/>
      <c r="C92" s="20"/>
      <c r="D92" s="20"/>
      <c r="E92" s="20"/>
      <c r="F92" s="64"/>
      <c r="G92" s="64"/>
      <c r="H92" s="64"/>
      <c r="I92" s="20"/>
      <c r="J92" s="20"/>
      <c r="K92" s="20"/>
      <c r="L92" s="20"/>
      <c r="M92" s="20"/>
      <c r="N92" s="20"/>
      <c r="O92" s="20"/>
      <c r="P92" s="20"/>
      <c r="Q92" s="20"/>
      <c r="R92" s="11"/>
      <c r="S92" s="20"/>
    </row>
    <row r="93" spans="2:19">
      <c r="B93" s="64"/>
      <c r="C93" s="20"/>
      <c r="D93" s="20"/>
      <c r="E93" s="20"/>
      <c r="F93" s="64"/>
      <c r="G93" s="64"/>
      <c r="H93" s="64"/>
      <c r="I93" s="20"/>
      <c r="J93" s="20"/>
      <c r="K93" s="20"/>
      <c r="L93" s="20"/>
      <c r="M93" s="20"/>
      <c r="N93" s="20"/>
      <c r="O93" s="20"/>
      <c r="P93" s="20"/>
      <c r="Q93" s="20"/>
      <c r="R93" s="11"/>
      <c r="S93" s="20"/>
    </row>
    <row r="94" spans="2:19">
      <c r="B94" s="64"/>
      <c r="C94" s="20"/>
      <c r="D94" s="20"/>
      <c r="E94" s="20"/>
      <c r="F94" s="64"/>
      <c r="G94" s="64"/>
      <c r="H94" s="64"/>
      <c r="I94" s="20"/>
      <c r="J94" s="20"/>
      <c r="K94" s="20"/>
      <c r="L94" s="20"/>
      <c r="M94" s="20"/>
      <c r="N94" s="20"/>
      <c r="O94" s="20"/>
      <c r="P94" s="20"/>
      <c r="Q94" s="20"/>
      <c r="R94" s="11"/>
      <c r="S94" s="20"/>
    </row>
    <row r="95" spans="2:19">
      <c r="B95" s="64"/>
      <c r="C95" s="20"/>
      <c r="D95" s="20"/>
      <c r="E95" s="20"/>
      <c r="F95" s="64"/>
      <c r="G95" s="64"/>
      <c r="H95" s="64"/>
      <c r="I95" s="20"/>
      <c r="J95" s="20"/>
      <c r="K95" s="20"/>
      <c r="L95" s="20"/>
      <c r="M95" s="20"/>
      <c r="N95" s="20"/>
      <c r="O95" s="20"/>
      <c r="P95" s="20"/>
      <c r="Q95" s="20"/>
      <c r="R95" s="11"/>
      <c r="S95" s="20"/>
    </row>
    <row r="96" spans="2:19">
      <c r="B96" s="64"/>
      <c r="C96" s="20"/>
      <c r="D96" s="20"/>
      <c r="E96" s="20"/>
      <c r="F96" s="64"/>
      <c r="G96" s="64"/>
      <c r="H96" s="64"/>
      <c r="I96" s="20"/>
      <c r="J96" s="20"/>
      <c r="K96" s="20"/>
      <c r="L96" s="20"/>
      <c r="M96" s="20"/>
      <c r="N96" s="20"/>
      <c r="O96" s="20"/>
      <c r="P96" s="20"/>
      <c r="Q96" s="20"/>
      <c r="R96" s="11"/>
      <c r="S96" s="20"/>
    </row>
    <row r="97" spans="2:19">
      <c r="B97" s="64"/>
      <c r="C97" s="20"/>
      <c r="D97" s="20"/>
      <c r="E97" s="20"/>
      <c r="F97" s="64"/>
      <c r="G97" s="64"/>
      <c r="H97" s="64"/>
      <c r="I97" s="20"/>
      <c r="J97" s="20"/>
      <c r="K97" s="20"/>
      <c r="L97" s="20"/>
      <c r="M97" s="20"/>
      <c r="N97" s="20"/>
      <c r="O97" s="20"/>
      <c r="P97" s="20"/>
      <c r="Q97" s="20"/>
      <c r="R97" s="11"/>
      <c r="S97" s="20"/>
    </row>
    <row r="98" spans="2:19">
      <c r="B98" s="64"/>
      <c r="C98" s="20"/>
      <c r="D98" s="20"/>
      <c r="E98" s="20"/>
      <c r="F98" s="64"/>
      <c r="G98" s="64"/>
      <c r="H98" s="64"/>
      <c r="I98" s="20"/>
      <c r="J98" s="20"/>
      <c r="K98" s="20"/>
      <c r="L98" s="20"/>
      <c r="M98" s="20"/>
      <c r="N98" s="20"/>
      <c r="O98" s="20"/>
      <c r="P98" s="20"/>
      <c r="Q98" s="20"/>
      <c r="R98" s="11"/>
      <c r="S98" s="20"/>
    </row>
    <row r="99" spans="2:19">
      <c r="B99" s="64"/>
      <c r="C99" s="20"/>
      <c r="D99" s="20"/>
      <c r="E99" s="20"/>
      <c r="F99" s="64"/>
      <c r="G99" s="64"/>
      <c r="H99" s="64"/>
      <c r="I99" s="20"/>
      <c r="J99" s="20"/>
      <c r="K99" s="20"/>
      <c r="L99" s="20"/>
      <c r="M99" s="20"/>
      <c r="N99" s="20"/>
      <c r="O99" s="20"/>
      <c r="P99" s="20"/>
      <c r="Q99" s="20"/>
      <c r="R99" s="11"/>
      <c r="S99" s="20"/>
    </row>
    <row r="100" spans="2:19">
      <c r="B100" s="64"/>
      <c r="C100" s="20"/>
      <c r="D100" s="20"/>
      <c r="E100" s="20"/>
      <c r="F100" s="64"/>
      <c r="G100" s="64"/>
      <c r="H100" s="64"/>
      <c r="I100" s="20"/>
      <c r="J100" s="20"/>
      <c r="K100" s="20"/>
      <c r="L100" s="20"/>
      <c r="M100" s="20"/>
      <c r="N100" s="20"/>
      <c r="O100" s="20"/>
      <c r="P100" s="20"/>
      <c r="Q100" s="20"/>
      <c r="R100" s="11"/>
      <c r="S100" s="20"/>
    </row>
    <row r="101" spans="2:19">
      <c r="B101" s="64"/>
      <c r="C101" s="20"/>
      <c r="D101" s="20"/>
      <c r="E101" s="20"/>
      <c r="F101" s="64"/>
      <c r="G101" s="64"/>
      <c r="H101" s="64"/>
      <c r="I101" s="20"/>
      <c r="J101" s="20"/>
      <c r="K101" s="20"/>
      <c r="L101" s="20"/>
      <c r="M101" s="20"/>
      <c r="N101" s="20"/>
      <c r="O101" s="20"/>
      <c r="P101" s="20"/>
      <c r="Q101" s="20"/>
      <c r="R101" s="11"/>
      <c r="S101" s="20"/>
    </row>
    <row r="102" spans="2:19">
      <c r="B102" s="64"/>
      <c r="C102" s="20"/>
      <c r="D102" s="20"/>
      <c r="E102" s="20"/>
      <c r="F102" s="64"/>
      <c r="G102" s="64"/>
      <c r="H102" s="64"/>
      <c r="I102" s="20"/>
      <c r="J102" s="20"/>
      <c r="K102" s="20"/>
      <c r="L102" s="20"/>
      <c r="M102" s="20"/>
      <c r="N102" s="20"/>
      <c r="O102" s="20"/>
      <c r="P102" s="20"/>
      <c r="Q102" s="20"/>
      <c r="R102" s="11"/>
      <c r="S102" s="20"/>
    </row>
    <row r="103" spans="2:19">
      <c r="B103" s="64"/>
      <c r="C103" s="20"/>
      <c r="D103" s="20"/>
      <c r="E103" s="20"/>
      <c r="F103" s="64"/>
      <c r="G103" s="64"/>
      <c r="H103" s="64"/>
      <c r="I103" s="20"/>
      <c r="J103" s="20"/>
      <c r="K103" s="20"/>
      <c r="L103" s="20"/>
      <c r="M103" s="20"/>
      <c r="N103" s="20"/>
      <c r="O103" s="20"/>
      <c r="P103" s="20"/>
      <c r="Q103" s="20"/>
      <c r="R103" s="11"/>
      <c r="S103" s="20"/>
    </row>
    <row r="104" spans="2:19">
      <c r="B104" s="64"/>
      <c r="C104" s="20"/>
      <c r="D104" s="20"/>
      <c r="E104" s="20"/>
      <c r="F104" s="64"/>
      <c r="G104" s="64"/>
      <c r="H104" s="64"/>
      <c r="I104" s="20"/>
      <c r="J104" s="20"/>
      <c r="K104" s="20"/>
      <c r="L104" s="20"/>
      <c r="M104" s="20"/>
      <c r="N104" s="20"/>
      <c r="O104" s="20"/>
      <c r="P104" s="20"/>
      <c r="Q104" s="20"/>
      <c r="R104" s="11"/>
      <c r="S104" s="20"/>
    </row>
    <row r="105" spans="2:19">
      <c r="B105" s="64"/>
      <c r="C105" s="20"/>
      <c r="D105" s="20"/>
      <c r="E105" s="20"/>
      <c r="F105" s="64"/>
      <c r="G105" s="64"/>
      <c r="H105" s="64"/>
      <c r="I105" s="20"/>
      <c r="J105" s="20"/>
      <c r="K105" s="20"/>
      <c r="L105" s="20"/>
      <c r="M105" s="20"/>
      <c r="N105" s="20"/>
      <c r="O105" s="20"/>
      <c r="P105" s="20"/>
      <c r="Q105" s="20"/>
      <c r="R105" s="11"/>
      <c r="S105" s="20"/>
    </row>
    <row r="106" spans="2:19">
      <c r="B106" s="64"/>
      <c r="C106" s="20"/>
      <c r="D106" s="20"/>
      <c r="E106" s="20"/>
      <c r="F106" s="64"/>
      <c r="G106" s="64"/>
      <c r="H106" s="64"/>
      <c r="I106" s="20"/>
      <c r="J106" s="20"/>
      <c r="K106" s="20"/>
      <c r="L106" s="20"/>
      <c r="M106" s="20"/>
      <c r="N106" s="20"/>
      <c r="O106" s="20"/>
      <c r="P106" s="20"/>
      <c r="Q106" s="20"/>
      <c r="R106" s="11"/>
      <c r="S106" s="20"/>
    </row>
    <row r="107" spans="2:19">
      <c r="B107" s="64"/>
      <c r="C107" s="20"/>
      <c r="D107" s="20"/>
      <c r="E107" s="20"/>
      <c r="F107" s="64"/>
      <c r="G107" s="64"/>
      <c r="H107" s="64"/>
      <c r="I107" s="20"/>
      <c r="J107" s="20"/>
      <c r="K107" s="20"/>
      <c r="L107" s="20"/>
      <c r="M107" s="20"/>
      <c r="N107" s="20"/>
      <c r="O107" s="20"/>
      <c r="P107" s="20"/>
      <c r="Q107" s="20"/>
      <c r="R107" s="11"/>
      <c r="S107" s="20"/>
    </row>
    <row r="108" spans="2:19">
      <c r="B108" s="64"/>
      <c r="C108" s="20"/>
      <c r="D108" s="20"/>
      <c r="E108" s="20"/>
      <c r="F108" s="64"/>
      <c r="G108" s="64"/>
      <c r="H108" s="64"/>
      <c r="I108" s="20"/>
      <c r="J108" s="20"/>
      <c r="K108" s="20"/>
      <c r="L108" s="20"/>
      <c r="M108" s="20"/>
      <c r="N108" s="20"/>
      <c r="O108" s="20"/>
      <c r="P108" s="20"/>
      <c r="Q108" s="20"/>
      <c r="R108" s="11"/>
      <c r="S108" s="20"/>
    </row>
    <row r="109" spans="2:19">
      <c r="B109" s="64"/>
      <c r="C109" s="20"/>
      <c r="D109" s="20"/>
      <c r="E109" s="20"/>
      <c r="F109" s="64"/>
      <c r="G109" s="64"/>
      <c r="H109" s="64"/>
      <c r="I109" s="20"/>
      <c r="J109" s="20"/>
      <c r="K109" s="20"/>
      <c r="L109" s="20"/>
      <c r="M109" s="20"/>
      <c r="N109" s="20"/>
      <c r="O109" s="20"/>
      <c r="P109" s="20"/>
      <c r="Q109" s="20"/>
      <c r="R109" s="11"/>
      <c r="S109" s="20"/>
    </row>
    <row r="110" spans="2:19">
      <c r="B110" s="64"/>
      <c r="C110" s="20"/>
      <c r="D110" s="20"/>
      <c r="E110" s="20"/>
      <c r="F110" s="64"/>
      <c r="G110" s="64"/>
      <c r="H110" s="64"/>
      <c r="I110" s="20"/>
      <c r="J110" s="20"/>
      <c r="K110" s="20"/>
      <c r="L110" s="20"/>
      <c r="M110" s="20"/>
      <c r="N110" s="20"/>
      <c r="O110" s="20"/>
      <c r="P110" s="20"/>
      <c r="Q110" s="20"/>
      <c r="R110" s="11"/>
      <c r="S110" s="20"/>
    </row>
    <row r="111" spans="2:19">
      <c r="B111" s="64"/>
      <c r="C111" s="20"/>
      <c r="D111" s="20"/>
      <c r="E111" s="20"/>
      <c r="F111" s="64"/>
      <c r="G111" s="64"/>
      <c r="H111" s="64"/>
      <c r="I111" s="20"/>
      <c r="J111" s="20"/>
      <c r="K111" s="20"/>
      <c r="L111" s="20"/>
      <c r="M111" s="20"/>
      <c r="N111" s="20"/>
      <c r="O111" s="20"/>
      <c r="P111" s="20"/>
      <c r="Q111" s="20"/>
      <c r="R111" s="11"/>
      <c r="S111" s="20"/>
    </row>
    <row r="112" spans="2:19">
      <c r="B112" s="64"/>
      <c r="C112" s="20"/>
      <c r="D112" s="20"/>
      <c r="E112" s="20"/>
      <c r="F112" s="64"/>
      <c r="G112" s="64"/>
      <c r="H112" s="64"/>
      <c r="I112" s="20"/>
      <c r="J112" s="20"/>
      <c r="K112" s="20"/>
      <c r="L112" s="20"/>
      <c r="M112" s="20"/>
      <c r="N112" s="20"/>
      <c r="O112" s="20"/>
      <c r="P112" s="20"/>
      <c r="Q112" s="20"/>
      <c r="R112" s="11"/>
      <c r="S112" s="20"/>
    </row>
    <row r="113" spans="1:19">
      <c r="B113" s="64"/>
      <c r="C113" s="20"/>
      <c r="D113" s="20"/>
      <c r="E113" s="20"/>
      <c r="F113" s="64"/>
      <c r="G113" s="64"/>
      <c r="H113" s="64"/>
      <c r="I113" s="20"/>
      <c r="J113" s="20"/>
      <c r="K113" s="20"/>
      <c r="L113" s="20"/>
      <c r="M113" s="20"/>
      <c r="N113" s="20"/>
      <c r="O113" s="20"/>
      <c r="P113" s="20"/>
      <c r="Q113" s="20"/>
      <c r="R113" s="11"/>
      <c r="S113" s="20"/>
    </row>
    <row r="114" spans="1:19">
      <c r="B114" s="64"/>
      <c r="C114" s="20"/>
      <c r="D114" s="20"/>
      <c r="E114" s="20"/>
      <c r="F114" s="64"/>
      <c r="G114" s="64"/>
      <c r="H114" s="64"/>
      <c r="I114" s="20"/>
      <c r="J114" s="20"/>
      <c r="K114" s="20"/>
      <c r="L114" s="20"/>
      <c r="M114" s="20"/>
      <c r="N114" s="20"/>
      <c r="O114" s="20"/>
      <c r="P114" s="20"/>
      <c r="Q114" s="20"/>
      <c r="R114" s="11"/>
      <c r="S114" s="20"/>
    </row>
    <row r="115" spans="1:19">
      <c r="B115" s="64"/>
      <c r="C115" s="20"/>
      <c r="D115" s="20"/>
      <c r="E115" s="20"/>
      <c r="F115" s="64"/>
      <c r="G115" s="64"/>
      <c r="H115" s="64"/>
      <c r="I115" s="20"/>
      <c r="J115" s="20"/>
      <c r="K115" s="20"/>
      <c r="L115" s="20"/>
      <c r="M115" s="20"/>
      <c r="N115" s="20"/>
      <c r="O115" s="20"/>
      <c r="P115" s="20"/>
      <c r="Q115" s="20"/>
      <c r="R115" s="11"/>
      <c r="S115" s="20"/>
    </row>
    <row r="116" spans="1:19">
      <c r="B116" s="64"/>
      <c r="C116" s="20"/>
      <c r="D116" s="20"/>
      <c r="E116" s="20"/>
      <c r="F116" s="64"/>
      <c r="G116" s="64"/>
      <c r="H116" s="64"/>
      <c r="I116" s="20"/>
      <c r="J116" s="20"/>
      <c r="K116" s="20"/>
      <c r="L116" s="20"/>
      <c r="M116" s="20"/>
      <c r="N116" s="20"/>
      <c r="O116" s="20"/>
      <c r="P116" s="20"/>
      <c r="Q116" s="20"/>
      <c r="R116" s="11"/>
      <c r="S116" s="20"/>
    </row>
    <row r="117" spans="1:19">
      <c r="B117" s="64"/>
      <c r="C117" s="20"/>
      <c r="D117" s="20"/>
      <c r="E117" s="20"/>
      <c r="F117" s="64"/>
      <c r="G117" s="64"/>
      <c r="H117" s="64"/>
      <c r="I117" s="20"/>
      <c r="J117" s="20"/>
      <c r="K117" s="20"/>
      <c r="L117" s="20"/>
      <c r="M117" s="20"/>
      <c r="N117" s="20"/>
      <c r="O117" s="20"/>
      <c r="P117" s="20"/>
      <c r="Q117" s="20"/>
      <c r="R117" s="11"/>
      <c r="S117" s="20"/>
    </row>
    <row r="118" spans="1:19">
      <c r="B118" s="64"/>
      <c r="C118" s="20"/>
      <c r="D118" s="20"/>
      <c r="E118" s="20"/>
      <c r="F118" s="64"/>
      <c r="G118" s="64"/>
      <c r="H118" s="64"/>
      <c r="I118" s="20"/>
      <c r="J118" s="20"/>
      <c r="K118" s="20"/>
      <c r="L118" s="20"/>
      <c r="M118" s="20"/>
      <c r="N118" s="20"/>
      <c r="O118" s="20"/>
      <c r="P118" s="20"/>
      <c r="Q118" s="20"/>
      <c r="R118" s="11"/>
      <c r="S118" s="20"/>
    </row>
    <row r="119" spans="1:19">
      <c r="B119" s="64"/>
      <c r="C119" s="20"/>
      <c r="D119" s="20"/>
      <c r="E119" s="20"/>
      <c r="F119" s="64"/>
      <c r="G119" s="64"/>
      <c r="H119" s="64"/>
      <c r="I119" s="20"/>
      <c r="J119" s="20"/>
      <c r="K119" s="20"/>
      <c r="L119" s="20"/>
      <c r="M119" s="20"/>
      <c r="N119" s="20"/>
      <c r="O119" s="20"/>
      <c r="P119" s="20"/>
      <c r="Q119" s="20"/>
      <c r="R119" s="11"/>
      <c r="S119" s="20"/>
    </row>
    <row r="120" spans="1:19">
      <c r="B120" s="64"/>
      <c r="C120" s="20"/>
      <c r="D120" s="20"/>
      <c r="E120" s="20"/>
      <c r="F120" s="64"/>
      <c r="G120" s="64"/>
      <c r="H120" s="64"/>
      <c r="I120" s="20"/>
      <c r="J120" s="20"/>
      <c r="K120" s="20"/>
      <c r="L120" s="20"/>
      <c r="M120" s="20"/>
      <c r="N120" s="20"/>
      <c r="O120" s="20"/>
      <c r="P120" s="20"/>
      <c r="Q120" s="20"/>
      <c r="R120" s="11"/>
      <c r="S120" s="20"/>
    </row>
    <row r="121" spans="1:19">
      <c r="B121" s="64"/>
      <c r="C121" s="20"/>
      <c r="D121" s="20"/>
      <c r="E121" s="20"/>
      <c r="F121" s="64"/>
      <c r="G121" s="64"/>
      <c r="H121" s="64"/>
      <c r="I121" s="20"/>
      <c r="J121" s="20"/>
      <c r="K121" s="20"/>
      <c r="L121" s="20"/>
      <c r="M121" s="20"/>
      <c r="N121" s="20"/>
      <c r="O121" s="20"/>
      <c r="P121" s="20"/>
      <c r="Q121" s="20"/>
      <c r="R121" s="11"/>
      <c r="S121" s="20"/>
    </row>
    <row r="122" spans="1:19">
      <c r="B122" s="64"/>
      <c r="C122" s="20"/>
      <c r="D122" s="20"/>
      <c r="E122" s="20"/>
      <c r="F122" s="64"/>
      <c r="G122" s="64"/>
      <c r="H122" s="64"/>
      <c r="I122" s="20"/>
      <c r="J122" s="20"/>
      <c r="K122" s="20"/>
      <c r="L122" s="20"/>
      <c r="M122" s="20"/>
      <c r="N122" s="20"/>
      <c r="O122" s="20"/>
      <c r="P122" s="20"/>
      <c r="Q122" s="20"/>
      <c r="R122" s="11"/>
      <c r="S122" s="20"/>
    </row>
    <row r="123" spans="1:19">
      <c r="B123" s="64"/>
      <c r="C123" s="20"/>
      <c r="D123" s="20"/>
      <c r="E123" s="20"/>
      <c r="F123" s="64"/>
      <c r="G123" s="64"/>
      <c r="H123" s="64"/>
      <c r="I123" s="20"/>
      <c r="J123" s="20"/>
      <c r="K123" s="20"/>
      <c r="L123" s="20"/>
      <c r="M123" s="20"/>
      <c r="N123" s="20"/>
      <c r="O123" s="20"/>
      <c r="P123" s="20"/>
      <c r="Q123" s="20"/>
      <c r="R123" s="11"/>
      <c r="S123" s="20"/>
    </row>
    <row r="124" spans="1:19">
      <c r="A124" s="20"/>
      <c r="B124" s="64"/>
      <c r="C124" s="20"/>
      <c r="D124" s="20"/>
      <c r="E124" s="20"/>
      <c r="F124" s="64"/>
      <c r="G124" s="64"/>
      <c r="H124" s="64"/>
      <c r="I124" s="20"/>
      <c r="J124" s="20"/>
      <c r="K124" s="20"/>
      <c r="L124" s="20"/>
      <c r="M124" s="20"/>
      <c r="N124" s="20"/>
      <c r="O124" s="20"/>
      <c r="P124" s="20"/>
      <c r="Q124" s="20"/>
      <c r="R124" s="11"/>
      <c r="S124" s="20"/>
    </row>
    <row r="125" spans="1:19">
      <c r="A125" s="20"/>
      <c r="B125" s="64"/>
      <c r="C125" s="20"/>
      <c r="D125" s="20"/>
      <c r="E125" s="20"/>
      <c r="F125" s="64"/>
      <c r="G125" s="64"/>
      <c r="H125" s="64"/>
      <c r="I125" s="20"/>
      <c r="J125" s="20"/>
      <c r="K125" s="20"/>
      <c r="L125" s="20"/>
      <c r="M125" s="20"/>
      <c r="N125" s="20"/>
      <c r="O125" s="20"/>
      <c r="P125" s="20"/>
      <c r="Q125" s="20"/>
      <c r="R125" s="11"/>
      <c r="S125" s="20"/>
    </row>
    <row r="126" spans="1:19">
      <c r="A126" s="20"/>
      <c r="B126" s="64"/>
      <c r="C126" s="20"/>
      <c r="D126" s="20"/>
      <c r="E126" s="20"/>
      <c r="F126" s="64"/>
      <c r="G126" s="64"/>
      <c r="H126" s="64"/>
      <c r="I126" s="20"/>
      <c r="J126" s="20"/>
      <c r="K126" s="20"/>
      <c r="L126" s="20"/>
      <c r="M126" s="20"/>
      <c r="N126" s="20"/>
      <c r="O126" s="20"/>
      <c r="P126" s="20"/>
      <c r="Q126" s="20"/>
      <c r="R126" s="11"/>
      <c r="S126" s="20"/>
    </row>
    <row r="127" spans="1:19">
      <c r="A127" s="20"/>
      <c r="B127" s="64"/>
      <c r="C127" s="20"/>
      <c r="D127" s="20"/>
      <c r="E127" s="20"/>
      <c r="F127" s="64"/>
      <c r="G127" s="64"/>
      <c r="H127" s="64"/>
      <c r="I127" s="20"/>
      <c r="J127" s="20"/>
      <c r="K127" s="20"/>
      <c r="L127" s="20"/>
      <c r="M127" s="20"/>
      <c r="N127" s="20"/>
      <c r="O127" s="20"/>
      <c r="P127" s="20"/>
      <c r="Q127" s="20"/>
      <c r="R127" s="11"/>
      <c r="S127" s="20"/>
    </row>
    <row r="128" spans="1:19">
      <c r="A128" s="20"/>
      <c r="B128" s="64"/>
      <c r="C128" s="20"/>
      <c r="D128" s="20"/>
      <c r="E128" s="20"/>
      <c r="F128" s="64"/>
      <c r="G128" s="64"/>
      <c r="H128" s="64"/>
      <c r="I128" s="20"/>
      <c r="J128" s="20"/>
      <c r="K128" s="20"/>
      <c r="L128" s="20"/>
      <c r="M128" s="20"/>
      <c r="N128" s="20"/>
      <c r="O128" s="20"/>
      <c r="P128" s="20"/>
      <c r="Q128" s="20"/>
      <c r="R128" s="11"/>
      <c r="S128" s="20"/>
    </row>
    <row r="129" spans="1:19">
      <c r="A129" s="20"/>
      <c r="B129" s="64"/>
      <c r="C129" s="20"/>
      <c r="D129" s="20"/>
      <c r="E129" s="20"/>
      <c r="F129" s="64"/>
      <c r="G129" s="64"/>
      <c r="H129" s="64"/>
      <c r="I129" s="20"/>
      <c r="J129" s="20"/>
      <c r="K129" s="20"/>
      <c r="L129" s="20"/>
      <c r="M129" s="20"/>
      <c r="N129" s="20"/>
      <c r="O129" s="20"/>
      <c r="P129" s="20"/>
      <c r="Q129" s="20"/>
      <c r="R129" s="11"/>
      <c r="S129" s="20"/>
    </row>
    <row r="130" spans="1:19">
      <c r="A130" s="20"/>
      <c r="B130" s="64"/>
      <c r="C130" s="20"/>
      <c r="D130" s="20"/>
      <c r="E130" s="20"/>
      <c r="F130" s="64"/>
      <c r="G130" s="64"/>
      <c r="H130" s="64"/>
      <c r="I130" s="20"/>
      <c r="J130" s="20"/>
      <c r="K130" s="20"/>
      <c r="L130" s="20"/>
      <c r="M130" s="20"/>
      <c r="N130" s="20"/>
      <c r="O130" s="20"/>
      <c r="P130" s="20"/>
      <c r="Q130" s="20"/>
      <c r="R130" s="11"/>
      <c r="S130" s="20"/>
    </row>
    <row r="131" spans="1:19">
      <c r="A131" s="20"/>
      <c r="B131" s="64"/>
      <c r="C131" s="20"/>
      <c r="D131" s="20"/>
      <c r="E131" s="20"/>
      <c r="F131" s="64"/>
      <c r="G131" s="64"/>
      <c r="H131" s="64"/>
      <c r="I131" s="20"/>
      <c r="J131" s="20"/>
      <c r="K131" s="20"/>
      <c r="L131" s="20"/>
      <c r="M131" s="20"/>
      <c r="N131" s="20"/>
      <c r="O131" s="20"/>
      <c r="P131" s="20"/>
      <c r="Q131" s="20"/>
      <c r="R131" s="11"/>
      <c r="S131" s="20"/>
    </row>
    <row r="132" spans="1:19">
      <c r="A132" s="20"/>
      <c r="B132" s="64"/>
      <c r="C132" s="20"/>
      <c r="D132" s="20"/>
      <c r="E132" s="20"/>
      <c r="F132" s="64"/>
      <c r="G132" s="64"/>
      <c r="H132" s="64"/>
      <c r="I132" s="20"/>
      <c r="J132" s="20"/>
      <c r="K132" s="20"/>
      <c r="L132" s="20"/>
      <c r="M132" s="20"/>
      <c r="N132" s="20"/>
      <c r="O132" s="20"/>
      <c r="P132" s="20"/>
      <c r="Q132" s="20"/>
      <c r="R132" s="11"/>
      <c r="S132" s="20"/>
    </row>
    <row r="133" spans="1:19">
      <c r="A133" s="20"/>
      <c r="B133" s="64"/>
      <c r="C133" s="20"/>
      <c r="D133" s="20"/>
      <c r="E133" s="20"/>
      <c r="F133" s="64"/>
      <c r="G133" s="64"/>
      <c r="H133" s="64"/>
      <c r="I133" s="20"/>
      <c r="J133" s="20"/>
      <c r="K133" s="20"/>
      <c r="L133" s="20"/>
      <c r="M133" s="20"/>
      <c r="N133" s="20"/>
      <c r="O133" s="20"/>
      <c r="P133" s="20"/>
      <c r="Q133" s="20"/>
      <c r="R133" s="11"/>
      <c r="S133" s="20"/>
    </row>
    <row r="134" spans="1:19">
      <c r="A134" s="20"/>
      <c r="B134" s="64"/>
      <c r="C134" s="20"/>
      <c r="D134" s="20"/>
      <c r="E134" s="20"/>
      <c r="F134" s="64"/>
      <c r="G134" s="64"/>
      <c r="H134" s="64"/>
      <c r="I134" s="20"/>
      <c r="J134" s="20"/>
      <c r="K134" s="20"/>
      <c r="L134" s="20"/>
      <c r="M134" s="20"/>
      <c r="N134" s="20"/>
      <c r="O134" s="20"/>
      <c r="P134" s="20"/>
      <c r="Q134" s="20"/>
      <c r="R134" s="11"/>
      <c r="S134" s="20"/>
    </row>
    <row r="135" spans="1:19">
      <c r="A135" s="20"/>
      <c r="B135" s="64"/>
      <c r="C135" s="20"/>
      <c r="D135" s="20"/>
      <c r="E135" s="20"/>
      <c r="F135" s="64"/>
      <c r="G135" s="64"/>
      <c r="H135" s="64"/>
      <c r="I135" s="20"/>
      <c r="J135" s="20"/>
      <c r="K135" s="20"/>
      <c r="L135" s="20"/>
      <c r="M135" s="20"/>
      <c r="N135" s="20"/>
      <c r="O135" s="20"/>
      <c r="P135" s="20"/>
      <c r="Q135" s="20"/>
      <c r="R135" s="11"/>
      <c r="S135" s="20"/>
    </row>
    <row r="136" spans="1:19">
      <c r="A136" s="20"/>
      <c r="B136" s="64"/>
      <c r="C136" s="20"/>
      <c r="D136" s="20"/>
      <c r="E136" s="20"/>
      <c r="F136" s="64"/>
      <c r="G136" s="64"/>
      <c r="H136" s="64"/>
      <c r="I136" s="20"/>
      <c r="J136" s="20"/>
      <c r="K136" s="20"/>
      <c r="L136" s="20"/>
      <c r="M136" s="20"/>
      <c r="N136" s="20"/>
      <c r="O136" s="20"/>
      <c r="P136" s="20"/>
      <c r="Q136" s="20"/>
      <c r="R136" s="11"/>
      <c r="S136" s="20"/>
    </row>
    <row r="137" spans="1:19">
      <c r="A137" s="20"/>
      <c r="B137" s="64"/>
      <c r="C137" s="20"/>
      <c r="D137" s="20"/>
      <c r="E137" s="20"/>
      <c r="F137" s="64"/>
      <c r="G137" s="64"/>
      <c r="H137" s="64"/>
      <c r="I137" s="20"/>
      <c r="J137" s="20"/>
      <c r="K137" s="20"/>
      <c r="L137" s="20"/>
      <c r="M137" s="20"/>
      <c r="N137" s="20"/>
      <c r="O137" s="20"/>
      <c r="P137" s="20"/>
      <c r="Q137" s="20"/>
      <c r="R137" s="11"/>
      <c r="S137" s="20"/>
    </row>
    <row r="138" spans="1:19">
      <c r="A138" s="20"/>
      <c r="B138" s="64"/>
      <c r="C138" s="20"/>
      <c r="D138" s="20"/>
      <c r="E138" s="20"/>
      <c r="F138" s="64"/>
      <c r="G138" s="64"/>
      <c r="H138" s="64"/>
      <c r="I138" s="20"/>
      <c r="J138" s="20"/>
      <c r="K138" s="20"/>
      <c r="L138" s="20"/>
      <c r="M138" s="20"/>
      <c r="N138" s="20"/>
      <c r="O138" s="20"/>
      <c r="P138" s="20"/>
      <c r="Q138" s="20"/>
      <c r="R138" s="11"/>
      <c r="S138" s="20"/>
    </row>
    <row r="139" spans="1:19">
      <c r="A139" s="20"/>
      <c r="B139" s="64"/>
      <c r="C139" s="20"/>
      <c r="D139" s="20"/>
      <c r="E139" s="20"/>
      <c r="F139" s="64"/>
      <c r="G139" s="64"/>
      <c r="H139" s="64"/>
      <c r="I139" s="20"/>
      <c r="J139" s="20"/>
      <c r="K139" s="20"/>
      <c r="L139" s="20"/>
      <c r="M139" s="20"/>
      <c r="N139" s="20"/>
      <c r="O139" s="20"/>
      <c r="P139" s="20"/>
      <c r="Q139" s="20"/>
      <c r="R139" s="11"/>
      <c r="S139" s="20"/>
    </row>
    <row r="140" spans="1:19">
      <c r="A140" s="20"/>
      <c r="B140" s="64"/>
      <c r="C140" s="20"/>
      <c r="D140" s="20"/>
      <c r="E140" s="20"/>
      <c r="F140" s="64"/>
      <c r="G140" s="64"/>
      <c r="H140" s="64"/>
      <c r="I140" s="20"/>
      <c r="J140" s="20"/>
      <c r="K140" s="20"/>
      <c r="L140" s="20"/>
      <c r="M140" s="20"/>
      <c r="N140" s="20"/>
      <c r="O140" s="20"/>
      <c r="P140" s="20"/>
      <c r="Q140" s="20"/>
      <c r="R140" s="11"/>
      <c r="S140" s="20"/>
    </row>
    <row r="141" spans="1:19">
      <c r="A141" s="20"/>
      <c r="B141" s="64"/>
      <c r="C141" s="20"/>
      <c r="D141" s="20"/>
      <c r="E141" s="20"/>
      <c r="F141" s="64"/>
      <c r="G141" s="64"/>
      <c r="H141" s="64"/>
      <c r="I141" s="20"/>
      <c r="J141" s="20"/>
      <c r="K141" s="20"/>
      <c r="L141" s="20"/>
      <c r="M141" s="20"/>
      <c r="N141" s="20"/>
      <c r="O141" s="20"/>
      <c r="P141" s="20"/>
      <c r="Q141" s="20"/>
      <c r="R141" s="11"/>
      <c r="S141" s="20"/>
    </row>
    <row r="142" spans="1:19">
      <c r="A142" s="20"/>
      <c r="B142" s="64"/>
      <c r="C142" s="20"/>
      <c r="D142" s="20"/>
      <c r="E142" s="20"/>
      <c r="F142" s="64"/>
      <c r="G142" s="64"/>
      <c r="H142" s="64"/>
      <c r="I142" s="20"/>
      <c r="J142" s="20"/>
      <c r="K142" s="20"/>
      <c r="L142" s="20"/>
      <c r="M142" s="20"/>
      <c r="N142" s="20"/>
      <c r="O142" s="20"/>
      <c r="P142" s="20"/>
      <c r="Q142" s="20"/>
      <c r="R142" s="11"/>
      <c r="S142" s="20"/>
    </row>
    <row r="143" spans="1:19">
      <c r="A143" s="20"/>
      <c r="B143" s="64"/>
      <c r="C143" s="20"/>
      <c r="D143" s="20"/>
      <c r="E143" s="20"/>
      <c r="F143" s="64"/>
      <c r="G143" s="64"/>
      <c r="H143" s="64"/>
      <c r="I143" s="20"/>
      <c r="J143" s="20"/>
      <c r="K143" s="20"/>
      <c r="L143" s="20"/>
      <c r="M143" s="20"/>
      <c r="N143" s="20"/>
      <c r="O143" s="20"/>
      <c r="P143" s="20"/>
      <c r="Q143" s="20"/>
      <c r="R143" s="11"/>
      <c r="S143" s="20"/>
    </row>
    <row r="144" spans="1:19">
      <c r="A144" s="20"/>
      <c r="B144" s="64"/>
      <c r="C144" s="20"/>
      <c r="D144" s="20"/>
      <c r="E144" s="20"/>
      <c r="F144" s="64"/>
      <c r="G144" s="64"/>
      <c r="H144" s="64"/>
      <c r="I144" s="20"/>
      <c r="J144" s="20"/>
      <c r="K144" s="20"/>
      <c r="L144" s="20"/>
      <c r="M144" s="20"/>
      <c r="N144" s="20"/>
      <c r="O144" s="20"/>
      <c r="P144" s="20"/>
      <c r="Q144" s="20"/>
      <c r="R144" s="11"/>
      <c r="S144" s="20"/>
    </row>
    <row r="145" spans="1:19">
      <c r="A145" s="20"/>
      <c r="B145" s="64"/>
      <c r="C145" s="20"/>
      <c r="D145" s="20"/>
      <c r="E145" s="20"/>
      <c r="F145" s="64"/>
      <c r="G145" s="64"/>
      <c r="H145" s="64"/>
      <c r="I145" s="20"/>
      <c r="J145" s="20"/>
      <c r="K145" s="20"/>
      <c r="L145" s="20"/>
      <c r="M145" s="20"/>
      <c r="N145" s="20"/>
      <c r="O145" s="20"/>
      <c r="P145" s="20"/>
      <c r="Q145" s="20"/>
      <c r="R145" s="11"/>
      <c r="S145" s="20"/>
    </row>
    <row r="146" spans="1:19">
      <c r="A146" s="20"/>
      <c r="B146" s="64"/>
      <c r="C146" s="20"/>
      <c r="D146" s="20"/>
      <c r="E146" s="20"/>
      <c r="F146" s="64"/>
      <c r="G146" s="64"/>
      <c r="H146" s="64"/>
      <c r="I146" s="20"/>
      <c r="J146" s="20"/>
      <c r="K146" s="20"/>
      <c r="L146" s="20"/>
      <c r="M146" s="20"/>
      <c r="N146" s="20"/>
      <c r="O146" s="20"/>
      <c r="P146" s="20"/>
      <c r="Q146" s="20"/>
      <c r="R146" s="11"/>
      <c r="S146" s="20"/>
    </row>
    <row r="147" spans="1:19">
      <c r="A147" s="20"/>
      <c r="B147" s="64"/>
      <c r="C147" s="20"/>
      <c r="D147" s="20"/>
      <c r="E147" s="20"/>
      <c r="F147" s="64"/>
      <c r="G147" s="64"/>
      <c r="H147" s="64"/>
      <c r="I147" s="20"/>
      <c r="J147" s="20"/>
      <c r="K147" s="20"/>
      <c r="L147" s="20"/>
      <c r="M147" s="20"/>
      <c r="N147" s="20"/>
      <c r="O147" s="20"/>
      <c r="P147" s="20"/>
      <c r="Q147" s="20"/>
      <c r="R147" s="11"/>
      <c r="S147" s="20"/>
    </row>
    <row r="148" spans="1:19">
      <c r="A148" s="20"/>
      <c r="B148" s="64"/>
      <c r="C148" s="20"/>
      <c r="D148" s="20"/>
      <c r="E148" s="20"/>
      <c r="F148" s="64"/>
      <c r="G148" s="64"/>
      <c r="H148" s="64"/>
      <c r="I148" s="20"/>
      <c r="J148" s="20"/>
      <c r="K148" s="20"/>
      <c r="L148" s="20"/>
      <c r="M148" s="20"/>
      <c r="N148" s="20"/>
      <c r="O148" s="20"/>
      <c r="P148" s="20"/>
      <c r="Q148" s="20"/>
      <c r="R148" s="11"/>
      <c r="S148" s="20"/>
    </row>
    <row r="149" spans="1:19">
      <c r="A149" s="20"/>
      <c r="B149" s="64"/>
      <c r="C149" s="20"/>
      <c r="D149" s="20"/>
      <c r="E149" s="20"/>
      <c r="F149" s="64"/>
      <c r="G149" s="64"/>
      <c r="H149" s="64"/>
      <c r="I149" s="20"/>
      <c r="J149" s="20"/>
      <c r="K149" s="20"/>
      <c r="L149" s="20"/>
      <c r="M149" s="20"/>
      <c r="N149" s="20"/>
      <c r="O149" s="20"/>
      <c r="P149" s="20"/>
      <c r="Q149" s="20"/>
      <c r="R149" s="11"/>
      <c r="S149" s="20"/>
    </row>
    <row r="150" spans="1:19">
      <c r="A150" s="20"/>
      <c r="B150" s="64"/>
      <c r="C150" s="20"/>
      <c r="D150" s="20"/>
      <c r="E150" s="20"/>
      <c r="F150" s="64"/>
      <c r="G150" s="64"/>
      <c r="H150" s="64"/>
      <c r="I150" s="20"/>
      <c r="J150" s="20"/>
      <c r="K150" s="20"/>
      <c r="L150" s="20"/>
      <c r="M150" s="20"/>
      <c r="N150" s="20"/>
      <c r="O150" s="20"/>
      <c r="P150" s="20"/>
      <c r="Q150" s="20"/>
      <c r="R150" s="11"/>
      <c r="S150" s="20"/>
    </row>
    <row r="151" spans="1:19">
      <c r="A151" s="20"/>
      <c r="B151" s="64"/>
      <c r="C151" s="20"/>
      <c r="D151" s="20"/>
      <c r="E151" s="20"/>
      <c r="F151" s="64"/>
      <c r="G151" s="64"/>
      <c r="H151" s="64"/>
      <c r="I151" s="20"/>
      <c r="J151" s="20"/>
      <c r="K151" s="20"/>
      <c r="L151" s="20"/>
      <c r="M151" s="20"/>
      <c r="N151" s="20"/>
      <c r="O151" s="20"/>
      <c r="P151" s="20"/>
      <c r="Q151" s="20"/>
      <c r="R151" s="11"/>
      <c r="S151" s="20"/>
    </row>
    <row r="152" spans="1:19">
      <c r="A152" s="20"/>
      <c r="B152" s="64"/>
      <c r="C152" s="20"/>
      <c r="D152" s="20"/>
      <c r="E152" s="20"/>
      <c r="F152" s="64"/>
      <c r="G152" s="64"/>
      <c r="H152" s="64"/>
      <c r="I152" s="20"/>
      <c r="J152" s="20"/>
      <c r="K152" s="20"/>
      <c r="L152" s="20"/>
      <c r="M152" s="20"/>
      <c r="N152" s="20"/>
      <c r="O152" s="20"/>
      <c r="P152" s="20"/>
      <c r="Q152" s="20"/>
      <c r="R152" s="11"/>
      <c r="S152" s="20"/>
    </row>
    <row r="153" spans="1:19">
      <c r="A153" s="20"/>
      <c r="B153" s="64"/>
      <c r="C153" s="20"/>
      <c r="D153" s="20"/>
      <c r="E153" s="20"/>
      <c r="F153" s="64"/>
      <c r="G153" s="64"/>
      <c r="H153" s="64"/>
      <c r="I153" s="20"/>
      <c r="J153" s="20"/>
      <c r="K153" s="20"/>
      <c r="L153" s="20"/>
      <c r="M153" s="20"/>
      <c r="N153" s="20"/>
      <c r="O153" s="20"/>
      <c r="P153" s="20"/>
      <c r="Q153" s="20"/>
      <c r="R153" s="11"/>
      <c r="S153" s="20"/>
    </row>
    <row r="154" spans="1:19">
      <c r="A154" s="20"/>
      <c r="B154" s="64"/>
      <c r="C154" s="20"/>
      <c r="D154" s="20"/>
      <c r="E154" s="20"/>
      <c r="F154" s="64"/>
      <c r="G154" s="64"/>
      <c r="H154" s="64"/>
      <c r="I154" s="20"/>
      <c r="J154" s="20"/>
      <c r="K154" s="20"/>
      <c r="L154" s="20"/>
      <c r="M154" s="20"/>
      <c r="N154" s="20"/>
      <c r="O154" s="20"/>
      <c r="P154" s="20"/>
      <c r="Q154" s="20"/>
      <c r="R154" s="11"/>
      <c r="S154" s="20"/>
    </row>
    <row r="155" spans="1:19">
      <c r="A155" s="20"/>
      <c r="B155" s="64"/>
      <c r="C155" s="20"/>
      <c r="D155" s="20"/>
      <c r="E155" s="20"/>
      <c r="F155" s="64"/>
      <c r="G155" s="64"/>
      <c r="H155" s="64"/>
      <c r="I155" s="20"/>
      <c r="J155" s="20"/>
      <c r="K155" s="20"/>
      <c r="L155" s="20"/>
      <c r="M155" s="20"/>
      <c r="N155" s="20"/>
      <c r="O155" s="20"/>
      <c r="P155" s="20"/>
      <c r="Q155" s="20"/>
      <c r="R155" s="11"/>
      <c r="S155" s="20"/>
    </row>
    <row r="156" spans="1:19">
      <c r="A156" s="20"/>
      <c r="B156" s="64"/>
      <c r="C156" s="20"/>
      <c r="D156" s="20"/>
      <c r="E156" s="20"/>
      <c r="F156" s="64"/>
      <c r="G156" s="64"/>
      <c r="H156" s="64"/>
      <c r="I156" s="20"/>
      <c r="J156" s="20"/>
      <c r="K156" s="20"/>
      <c r="L156" s="20"/>
      <c r="M156" s="20"/>
      <c r="N156" s="20"/>
      <c r="O156" s="20"/>
      <c r="P156" s="20"/>
      <c r="Q156" s="20"/>
      <c r="R156" s="11"/>
      <c r="S156" s="20"/>
    </row>
    <row r="157" spans="1:19">
      <c r="A157" s="20"/>
      <c r="B157" s="64"/>
      <c r="C157" s="20"/>
      <c r="D157" s="20"/>
      <c r="E157" s="20"/>
      <c r="F157" s="64"/>
      <c r="G157" s="64"/>
      <c r="H157" s="64"/>
      <c r="I157" s="20"/>
      <c r="J157" s="20"/>
      <c r="K157" s="20"/>
      <c r="L157" s="20"/>
      <c r="M157" s="20"/>
      <c r="N157" s="20"/>
      <c r="O157" s="20"/>
      <c r="P157" s="20"/>
      <c r="Q157" s="20"/>
      <c r="R157" s="11"/>
      <c r="S157" s="20"/>
    </row>
    <row r="158" spans="1:19">
      <c r="A158" s="20"/>
      <c r="B158" s="64"/>
      <c r="C158" s="20"/>
      <c r="D158" s="20"/>
      <c r="E158" s="20"/>
      <c r="F158" s="64"/>
      <c r="G158" s="64"/>
      <c r="H158" s="64"/>
      <c r="I158" s="20"/>
      <c r="J158" s="20"/>
      <c r="K158" s="20"/>
      <c r="L158" s="20"/>
      <c r="M158" s="20"/>
      <c r="N158" s="20"/>
      <c r="O158" s="20"/>
      <c r="P158" s="20"/>
      <c r="Q158" s="20"/>
      <c r="R158" s="11"/>
      <c r="S158" s="20"/>
    </row>
    <row r="159" spans="1:19">
      <c r="A159" s="20"/>
      <c r="B159" s="64"/>
      <c r="C159" s="20"/>
      <c r="D159" s="20"/>
      <c r="E159" s="20"/>
      <c r="F159" s="64"/>
      <c r="G159" s="64"/>
      <c r="H159" s="64"/>
      <c r="I159" s="20"/>
      <c r="J159" s="20"/>
      <c r="K159" s="20"/>
      <c r="L159" s="20"/>
      <c r="M159" s="20"/>
      <c r="N159" s="20"/>
      <c r="O159" s="20"/>
      <c r="P159" s="20"/>
      <c r="Q159" s="20"/>
      <c r="R159" s="11"/>
      <c r="S159" s="20"/>
    </row>
    <row r="160" spans="1:19">
      <c r="A160" s="20"/>
      <c r="B160" s="64"/>
      <c r="C160" s="20"/>
      <c r="D160" s="20"/>
      <c r="E160" s="20"/>
      <c r="F160" s="64"/>
      <c r="G160" s="64"/>
      <c r="H160" s="64"/>
      <c r="I160" s="20"/>
      <c r="J160" s="20"/>
      <c r="K160" s="20"/>
      <c r="L160" s="20"/>
      <c r="M160" s="20"/>
      <c r="N160" s="20"/>
      <c r="O160" s="20"/>
      <c r="P160" s="20"/>
      <c r="Q160" s="20"/>
      <c r="R160" s="11"/>
      <c r="S160" s="20"/>
    </row>
    <row r="161" spans="1:19">
      <c r="A161" s="20"/>
      <c r="B161" s="64"/>
      <c r="C161" s="20"/>
      <c r="D161" s="20"/>
      <c r="E161" s="20"/>
      <c r="F161" s="64"/>
      <c r="G161" s="64"/>
      <c r="H161" s="64"/>
      <c r="I161" s="20"/>
      <c r="J161" s="20"/>
      <c r="K161" s="20"/>
      <c r="L161" s="20"/>
      <c r="M161" s="20"/>
      <c r="N161" s="20"/>
      <c r="O161" s="20"/>
      <c r="P161" s="20"/>
      <c r="Q161" s="20"/>
      <c r="R161" s="11"/>
      <c r="S161" s="20"/>
    </row>
    <row r="162" spans="1:19">
      <c r="A162" s="20"/>
      <c r="B162" s="64"/>
      <c r="C162" s="20"/>
      <c r="D162" s="20"/>
      <c r="E162" s="20"/>
      <c r="F162" s="64"/>
      <c r="G162" s="64"/>
      <c r="H162" s="64"/>
      <c r="I162" s="20"/>
      <c r="J162" s="20"/>
      <c r="K162" s="20"/>
      <c r="L162" s="20"/>
      <c r="M162" s="20"/>
      <c r="N162" s="20"/>
      <c r="O162" s="20"/>
      <c r="P162" s="20"/>
      <c r="Q162" s="20"/>
      <c r="R162" s="11"/>
      <c r="S162" s="20"/>
    </row>
    <row r="163" spans="1:19">
      <c r="A163" s="20"/>
      <c r="B163" s="64"/>
      <c r="C163" s="20"/>
      <c r="D163" s="20"/>
      <c r="E163" s="20"/>
      <c r="F163" s="64"/>
      <c r="G163" s="64"/>
      <c r="H163" s="64"/>
      <c r="I163" s="20"/>
      <c r="J163" s="20"/>
      <c r="K163" s="20"/>
      <c r="L163" s="20"/>
      <c r="M163" s="20"/>
      <c r="N163" s="20"/>
      <c r="O163" s="20"/>
      <c r="P163" s="20"/>
      <c r="Q163" s="20"/>
      <c r="R163" s="11"/>
      <c r="S163" s="20"/>
    </row>
    <row r="164" spans="1:19">
      <c r="A164" s="20"/>
      <c r="B164" s="64"/>
      <c r="C164" s="20"/>
      <c r="D164" s="20"/>
      <c r="E164" s="20"/>
      <c r="F164" s="64"/>
      <c r="G164" s="64"/>
      <c r="H164" s="64"/>
      <c r="I164" s="20"/>
      <c r="J164" s="20"/>
      <c r="K164" s="20"/>
      <c r="L164" s="20"/>
      <c r="M164" s="20"/>
      <c r="N164" s="20"/>
      <c r="O164" s="20"/>
      <c r="P164" s="20"/>
      <c r="Q164" s="20"/>
      <c r="R164" s="11"/>
      <c r="S164" s="20"/>
    </row>
    <row r="165" spans="1:19">
      <c r="A165" s="20"/>
      <c r="B165" s="64"/>
      <c r="C165" s="20"/>
      <c r="D165" s="20"/>
      <c r="E165" s="20"/>
      <c r="F165" s="64"/>
      <c r="G165" s="64"/>
      <c r="H165" s="64"/>
      <c r="I165" s="20"/>
      <c r="J165" s="20"/>
      <c r="K165" s="20"/>
      <c r="L165" s="20"/>
      <c r="M165" s="20"/>
      <c r="N165" s="20"/>
      <c r="O165" s="20"/>
      <c r="P165" s="20"/>
      <c r="Q165" s="20"/>
      <c r="R165" s="11"/>
      <c r="S165" s="20"/>
    </row>
    <row r="166" spans="1:19">
      <c r="A166" s="20"/>
      <c r="B166" s="64"/>
      <c r="C166" s="20"/>
      <c r="D166" s="20"/>
      <c r="E166" s="20"/>
      <c r="F166" s="64"/>
      <c r="G166" s="64"/>
      <c r="H166" s="64"/>
      <c r="I166" s="20"/>
      <c r="J166" s="20"/>
      <c r="K166" s="20"/>
      <c r="L166" s="20"/>
      <c r="M166" s="20"/>
      <c r="N166" s="20"/>
      <c r="O166" s="20"/>
      <c r="P166" s="20"/>
      <c r="Q166" s="20"/>
      <c r="R166" s="11"/>
      <c r="S166" s="20"/>
    </row>
    <row r="167" spans="1:19">
      <c r="A167" s="20"/>
      <c r="B167" s="64"/>
      <c r="C167" s="20"/>
      <c r="D167" s="20"/>
      <c r="E167" s="20"/>
      <c r="F167" s="64"/>
      <c r="G167" s="64"/>
      <c r="H167" s="64"/>
      <c r="I167" s="20"/>
      <c r="J167" s="20"/>
      <c r="K167" s="20"/>
      <c r="L167" s="20"/>
      <c r="M167" s="20"/>
      <c r="N167" s="20"/>
      <c r="O167" s="20"/>
      <c r="P167" s="20"/>
      <c r="Q167" s="20"/>
      <c r="R167" s="11"/>
      <c r="S167" s="20"/>
    </row>
    <row r="168" spans="1:19">
      <c r="A168" s="20"/>
      <c r="B168" s="64"/>
      <c r="C168" s="20"/>
      <c r="D168" s="20"/>
      <c r="E168" s="20"/>
      <c r="F168" s="64"/>
      <c r="G168" s="64"/>
      <c r="H168" s="64"/>
      <c r="I168" s="20"/>
      <c r="J168" s="20"/>
      <c r="K168" s="20"/>
      <c r="L168" s="20"/>
      <c r="M168" s="20"/>
      <c r="N168" s="20"/>
      <c r="O168" s="20"/>
      <c r="P168" s="20"/>
      <c r="Q168" s="20"/>
      <c r="R168" s="11"/>
      <c r="S168" s="20"/>
    </row>
    <row r="169" spans="1:19">
      <c r="A169" s="20"/>
      <c r="B169" s="64"/>
      <c r="C169" s="20"/>
      <c r="D169" s="20"/>
      <c r="E169" s="20"/>
      <c r="F169" s="64"/>
      <c r="G169" s="64"/>
      <c r="H169" s="64"/>
      <c r="I169" s="20"/>
      <c r="J169" s="20"/>
      <c r="K169" s="20"/>
      <c r="L169" s="20"/>
      <c r="M169" s="20"/>
      <c r="N169" s="20"/>
      <c r="O169" s="20"/>
      <c r="P169" s="20"/>
      <c r="Q169" s="20"/>
      <c r="R169" s="11"/>
      <c r="S169" s="20"/>
    </row>
    <row r="170" spans="1:19">
      <c r="A170" s="20"/>
      <c r="B170" s="64"/>
      <c r="C170" s="20"/>
      <c r="D170" s="20"/>
      <c r="E170" s="20"/>
      <c r="F170" s="64"/>
      <c r="G170" s="64"/>
      <c r="H170" s="64"/>
      <c r="I170" s="20"/>
      <c r="J170" s="20"/>
      <c r="K170" s="20"/>
      <c r="L170" s="20"/>
      <c r="M170" s="20"/>
      <c r="N170" s="20"/>
      <c r="O170" s="20"/>
      <c r="P170" s="20"/>
      <c r="Q170" s="20"/>
      <c r="R170" s="11"/>
      <c r="S170" s="20"/>
    </row>
    <row r="171" spans="1:19">
      <c r="A171" s="20"/>
      <c r="B171" s="64"/>
      <c r="C171" s="20"/>
      <c r="D171" s="20"/>
      <c r="E171" s="20"/>
      <c r="F171" s="64"/>
      <c r="G171" s="64"/>
      <c r="H171" s="64"/>
      <c r="I171" s="20"/>
      <c r="J171" s="20"/>
      <c r="K171" s="20"/>
      <c r="L171" s="20"/>
      <c r="M171" s="20"/>
      <c r="N171" s="20"/>
      <c r="O171" s="20"/>
      <c r="P171" s="20"/>
      <c r="Q171" s="20"/>
      <c r="R171" s="11"/>
      <c r="S171" s="20"/>
    </row>
    <row r="172" spans="1:19">
      <c r="A172" s="20"/>
      <c r="B172" s="64"/>
      <c r="C172" s="20"/>
      <c r="D172" s="20"/>
      <c r="E172" s="20"/>
      <c r="F172" s="64"/>
      <c r="G172" s="64"/>
      <c r="H172" s="64"/>
      <c r="I172" s="20"/>
      <c r="J172" s="20"/>
      <c r="K172" s="20"/>
      <c r="L172" s="20"/>
      <c r="M172" s="20"/>
      <c r="N172" s="20"/>
      <c r="O172" s="20"/>
      <c r="P172" s="20"/>
      <c r="Q172" s="20"/>
      <c r="R172" s="11"/>
      <c r="S172" s="20"/>
    </row>
    <row r="173" spans="1:19">
      <c r="A173" s="20"/>
      <c r="B173" s="64"/>
      <c r="C173" s="20"/>
      <c r="D173" s="20"/>
      <c r="E173" s="20"/>
      <c r="F173" s="64"/>
      <c r="G173" s="64"/>
      <c r="H173" s="64"/>
      <c r="I173" s="20"/>
      <c r="J173" s="20"/>
      <c r="K173" s="20"/>
      <c r="L173" s="20"/>
      <c r="M173" s="20"/>
      <c r="N173" s="20"/>
      <c r="O173" s="20"/>
      <c r="P173" s="20"/>
      <c r="Q173" s="20"/>
      <c r="R173" s="11"/>
      <c r="S173" s="20"/>
    </row>
    <row r="174" spans="1:19">
      <c r="A174" s="20"/>
      <c r="B174" s="64"/>
      <c r="C174" s="20"/>
      <c r="D174" s="20"/>
      <c r="E174" s="20"/>
      <c r="F174" s="64"/>
      <c r="G174" s="64"/>
      <c r="H174" s="64"/>
      <c r="I174" s="20"/>
      <c r="J174" s="20"/>
      <c r="K174" s="20"/>
      <c r="L174" s="20"/>
      <c r="M174" s="20"/>
      <c r="N174" s="20"/>
      <c r="O174" s="20"/>
      <c r="P174" s="20"/>
      <c r="Q174" s="20"/>
      <c r="R174" s="11"/>
      <c r="S174" s="20"/>
    </row>
    <row r="175" spans="1:19">
      <c r="A175" s="20"/>
      <c r="B175" s="64"/>
      <c r="C175" s="20"/>
      <c r="D175" s="20"/>
      <c r="E175" s="20"/>
      <c r="F175" s="64"/>
      <c r="G175" s="64"/>
      <c r="H175" s="64"/>
      <c r="I175" s="20"/>
      <c r="J175" s="20"/>
      <c r="K175" s="20"/>
      <c r="L175" s="20"/>
      <c r="M175" s="20"/>
      <c r="N175" s="20"/>
      <c r="O175" s="20"/>
      <c r="P175" s="20"/>
      <c r="Q175" s="20"/>
      <c r="R175" s="11"/>
      <c r="S175" s="20"/>
    </row>
    <row r="176" spans="1:19">
      <c r="A176" s="20"/>
      <c r="B176" s="64"/>
      <c r="C176" s="20"/>
      <c r="D176" s="20"/>
      <c r="E176" s="20"/>
      <c r="F176" s="64"/>
      <c r="G176" s="64"/>
      <c r="H176" s="64"/>
      <c r="I176" s="20"/>
      <c r="J176" s="20"/>
      <c r="K176" s="20"/>
      <c r="L176" s="20"/>
      <c r="M176" s="20"/>
      <c r="N176" s="20"/>
      <c r="O176" s="20"/>
      <c r="P176" s="20"/>
      <c r="Q176" s="20"/>
      <c r="R176" s="11"/>
      <c r="S176" s="20"/>
    </row>
    <row r="177" spans="1:19">
      <c r="A177" s="20"/>
      <c r="B177" s="64"/>
      <c r="C177" s="20"/>
      <c r="D177" s="20"/>
      <c r="E177" s="20"/>
      <c r="F177" s="64"/>
      <c r="G177" s="64"/>
      <c r="H177" s="64"/>
      <c r="I177" s="20"/>
      <c r="J177" s="20"/>
      <c r="K177" s="20"/>
      <c r="L177" s="20"/>
      <c r="M177" s="20"/>
      <c r="N177" s="20"/>
      <c r="O177" s="20"/>
      <c r="P177" s="20"/>
      <c r="Q177" s="20"/>
      <c r="R177" s="11"/>
      <c r="S177" s="20"/>
    </row>
    <row r="178" spans="1:19">
      <c r="A178" s="20"/>
      <c r="B178" s="64"/>
      <c r="C178" s="20"/>
      <c r="D178" s="20"/>
      <c r="E178" s="20"/>
      <c r="F178" s="64"/>
      <c r="G178" s="64"/>
      <c r="H178" s="64"/>
      <c r="I178" s="20"/>
      <c r="J178" s="20"/>
      <c r="K178" s="20"/>
      <c r="L178" s="20"/>
      <c r="M178" s="20"/>
      <c r="N178" s="20"/>
      <c r="O178" s="20"/>
      <c r="P178" s="20"/>
      <c r="Q178" s="20"/>
      <c r="R178" s="11"/>
      <c r="S178" s="20"/>
    </row>
    <row r="179" spans="1:19">
      <c r="A179" s="20"/>
      <c r="B179" s="64"/>
      <c r="C179" s="20"/>
      <c r="D179" s="20"/>
      <c r="E179" s="20"/>
      <c r="F179" s="64"/>
      <c r="G179" s="64"/>
      <c r="H179" s="64"/>
      <c r="I179" s="20"/>
      <c r="J179" s="20"/>
      <c r="K179" s="20"/>
      <c r="L179" s="20"/>
      <c r="M179" s="20"/>
      <c r="N179" s="20"/>
      <c r="O179" s="20"/>
      <c r="P179" s="20"/>
      <c r="Q179" s="20"/>
      <c r="R179" s="11"/>
      <c r="S179" s="20"/>
    </row>
  </sheetData>
  <dataConsolidate/>
  <mergeCells count="25">
    <mergeCell ref="AI21:AN21"/>
    <mergeCell ref="Z27:AE27"/>
    <mergeCell ref="A6:A8"/>
    <mergeCell ref="A9:A13"/>
    <mergeCell ref="U1:W1"/>
    <mergeCell ref="Y2:AA2"/>
    <mergeCell ref="AA3:AB3"/>
    <mergeCell ref="AC3:AD3"/>
    <mergeCell ref="Z7:AE7"/>
    <mergeCell ref="A55:A56"/>
    <mergeCell ref="A36:A37"/>
    <mergeCell ref="A39:A40"/>
    <mergeCell ref="A41:A43"/>
    <mergeCell ref="J1:Q1"/>
    <mergeCell ref="A28:A32"/>
    <mergeCell ref="A49:A50"/>
    <mergeCell ref="A51:A52"/>
    <mergeCell ref="A53:A54"/>
    <mergeCell ref="A33:A35"/>
    <mergeCell ref="A45:A48"/>
    <mergeCell ref="C1:I1"/>
    <mergeCell ref="A15:A20"/>
    <mergeCell ref="A21:A24"/>
    <mergeCell ref="A26:A27"/>
    <mergeCell ref="A4:A5"/>
  </mergeCells>
  <conditionalFormatting sqref="L3:L56">
    <cfRule type="expression" dxfId="90" priority="9">
      <formula>(L3&lt;E3)</formula>
    </cfRule>
  </conditionalFormatting>
  <conditionalFormatting sqref="P3:P56">
    <cfRule type="cellIs" dxfId="89" priority="8" operator="lessThan">
      <formula>0</formula>
    </cfRule>
  </conditionalFormatting>
  <conditionalFormatting sqref="Q3:Q56">
    <cfRule type="containsText" dxfId="88" priority="7" operator="containsText" text="Yes">
      <formula>NOT(ISERROR(SEARCH("Yes",Q3)))</formula>
    </cfRule>
  </conditionalFormatting>
  <conditionalFormatting sqref="AA9:AF20">
    <cfRule type="cellIs" dxfId="87" priority="5" operator="greaterThan">
      <formula>0</formula>
    </cfRule>
  </conditionalFormatting>
  <conditionalFormatting sqref="AJ23:AO34">
    <cfRule type="cellIs" dxfId="86" priority="4" operator="greaterThan">
      <formula>0</formula>
    </cfRule>
  </conditionalFormatting>
  <conditionalFormatting sqref="AF29:AF40">
    <cfRule type="cellIs" dxfId="85" priority="3" operator="greaterThan">
      <formula>0</formula>
    </cfRule>
  </conditionalFormatting>
  <conditionalFormatting sqref="AB29:AE40">
    <cfRule type="cellIs" dxfId="84" priority="2" operator="greaterThan">
      <formula>0</formula>
    </cfRule>
  </conditionalFormatting>
  <conditionalFormatting sqref="AA29:AA40">
    <cfRule type="cellIs" dxfId="8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W2" zoomScale="80" zoomScaleNormal="80" workbookViewId="0">
      <selection activeCell="AF11" sqref="AF1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26.570312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27" width="9" style="5"/>
    <col min="28" max="28" width="29.28515625" style="5" customWidth="1"/>
    <col min="29" max="29" width="19.42578125" style="5" customWidth="1"/>
    <col min="30" max="30" width="19.7109375" style="5" customWidth="1"/>
    <col min="31" max="34" width="9" style="5"/>
    <col min="35" max="35" width="18.5703125" style="5" customWidth="1"/>
    <col min="36" max="36" width="14.28515625" style="5" customWidth="1"/>
    <col min="37" max="37" width="9" style="5"/>
    <col min="38" max="38" width="22.7109375" style="5" customWidth="1"/>
    <col min="39" max="16384" width="9" style="5"/>
  </cols>
  <sheetData>
    <row r="1" spans="1:38" ht="14.25" customHeight="1">
      <c r="A1" s="197"/>
      <c r="B1" s="198"/>
      <c r="C1" s="514" t="s">
        <v>452</v>
      </c>
      <c r="D1" s="515"/>
      <c r="E1" s="515"/>
      <c r="F1" s="515"/>
      <c r="G1" s="515"/>
      <c r="H1" s="515"/>
      <c r="I1" s="516"/>
      <c r="J1" s="257"/>
      <c r="K1" s="512" t="s">
        <v>451</v>
      </c>
      <c r="L1" s="513"/>
      <c r="M1" s="513"/>
      <c r="N1" s="513"/>
      <c r="O1" s="513"/>
      <c r="P1" s="513"/>
      <c r="Q1" s="513"/>
      <c r="R1" s="552"/>
      <c r="S1" s="7"/>
      <c r="T1" s="7"/>
    </row>
    <row r="2" spans="1:38" ht="13.5" thickBot="1">
      <c r="A2" s="197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256" t="s">
        <v>459</v>
      </c>
      <c r="K2" s="192" t="s">
        <v>446</v>
      </c>
      <c r="L2" s="192" t="s">
        <v>34</v>
      </c>
      <c r="M2" s="192" t="s">
        <v>33</v>
      </c>
      <c r="N2" s="191" t="s">
        <v>445</v>
      </c>
      <c r="O2" s="190" t="s">
        <v>460</v>
      </c>
      <c r="P2" s="190" t="s">
        <v>462</v>
      </c>
      <c r="Q2" s="190" t="s">
        <v>444</v>
      </c>
      <c r="R2" s="245" t="s">
        <v>458</v>
      </c>
      <c r="S2" s="11"/>
      <c r="T2" s="20"/>
    </row>
    <row r="3" spans="1:38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 t="shared" ref="I3:I13" si="0">E3-F3</f>
        <v>268.04599999999999</v>
      </c>
      <c r="J3" s="183">
        <f>H3/E3*100</f>
        <v>49.482750000000003</v>
      </c>
      <c r="K3" s="181" t="s">
        <v>435</v>
      </c>
      <c r="L3" s="181">
        <v>598.85</v>
      </c>
      <c r="M3" s="297">
        <v>300</v>
      </c>
      <c r="N3" s="180">
        <f t="shared" ref="N3:N13" si="1">F3</f>
        <v>131.95400000000001</v>
      </c>
      <c r="O3" s="244">
        <v>1.5</v>
      </c>
      <c r="P3" s="244">
        <f>O3*N3</f>
        <v>197.93100000000001</v>
      </c>
      <c r="Q3" s="290">
        <f>M3-P3</f>
        <v>102.06899999999999</v>
      </c>
      <c r="R3" s="180" t="str">
        <f t="shared" ref="R3:R9" si="2">IF(Q3&gt;=0,"No","Yes")</f>
        <v>No</v>
      </c>
      <c r="S3" s="11"/>
      <c r="T3" s="11"/>
    </row>
    <row r="4" spans="1:38" ht="13.5" thickBot="1">
      <c r="A4" s="517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76">
        <v>1.5</v>
      </c>
      <c r="H4" s="183">
        <f t="shared" ref="H4:H56" si="3">G4*F4</f>
        <v>119.63775</v>
      </c>
      <c r="I4" s="175">
        <f t="shared" si="0"/>
        <v>120.2415</v>
      </c>
      <c r="J4" s="183">
        <f t="shared" ref="J4:J13" si="4">H4/E4*100</f>
        <v>59.818874999999991</v>
      </c>
      <c r="K4" s="174" t="s">
        <v>434</v>
      </c>
      <c r="L4" s="174">
        <v>561.44000000000005</v>
      </c>
      <c r="M4" s="296">
        <v>150</v>
      </c>
      <c r="N4" s="173">
        <f t="shared" si="1"/>
        <v>79.758499999999998</v>
      </c>
      <c r="O4" s="244">
        <v>1.5</v>
      </c>
      <c r="P4" s="244">
        <f t="shared" ref="P4:P56" si="5">O4*N4</f>
        <v>119.63775</v>
      </c>
      <c r="Q4" s="290">
        <f t="shared" ref="Q4:Q13" si="6">M4-P4</f>
        <v>30.362250000000003</v>
      </c>
      <c r="R4" s="181" t="str">
        <f t="shared" si="2"/>
        <v>No</v>
      </c>
      <c r="S4" s="11"/>
      <c r="T4" s="11"/>
    </row>
    <row r="5" spans="1:38" ht="14.25" customHeight="1" thickBot="1">
      <c r="A5" s="507"/>
      <c r="B5" s="63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95">
        <v>1.5</v>
      </c>
      <c r="H5" s="183">
        <f t="shared" si="3"/>
        <v>152.28555</v>
      </c>
      <c r="I5" s="95">
        <f t="shared" si="0"/>
        <v>198.47629999999998</v>
      </c>
      <c r="J5" s="183">
        <f t="shared" si="4"/>
        <v>50.761849999999995</v>
      </c>
      <c r="K5" s="94" t="s">
        <v>429</v>
      </c>
      <c r="L5" s="94">
        <v>691.82</v>
      </c>
      <c r="M5" s="94">
        <v>300</v>
      </c>
      <c r="N5" s="93">
        <f t="shared" si="1"/>
        <v>101.52370000000001</v>
      </c>
      <c r="O5" s="244">
        <v>1.5</v>
      </c>
      <c r="P5" s="244">
        <f t="shared" si="5"/>
        <v>152.28555</v>
      </c>
      <c r="Q5" s="290">
        <f t="shared" si="6"/>
        <v>147.71445</v>
      </c>
      <c r="R5" s="181" t="str">
        <f t="shared" si="2"/>
        <v>No</v>
      </c>
      <c r="S5" s="16" t="s">
        <v>440</v>
      </c>
      <c r="T5" s="16" t="s">
        <v>457</v>
      </c>
    </row>
    <row r="6" spans="1:38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86">
        <v>1.5</v>
      </c>
      <c r="H6" s="183">
        <f t="shared" si="3"/>
        <v>890.08500000000004</v>
      </c>
      <c r="I6" s="85">
        <f t="shared" si="0"/>
        <v>606.61</v>
      </c>
      <c r="J6" s="183">
        <f t="shared" si="4"/>
        <v>74.173749999999998</v>
      </c>
      <c r="K6" s="84" t="s">
        <v>431</v>
      </c>
      <c r="L6" s="84">
        <v>778.62</v>
      </c>
      <c r="M6" s="84">
        <v>1200</v>
      </c>
      <c r="N6" s="83">
        <f t="shared" si="1"/>
        <v>593.39</v>
      </c>
      <c r="O6" s="244">
        <v>1.5</v>
      </c>
      <c r="P6" s="244">
        <f t="shared" si="5"/>
        <v>890.08500000000004</v>
      </c>
      <c r="Q6" s="290">
        <f t="shared" si="6"/>
        <v>309.91499999999996</v>
      </c>
      <c r="R6" s="181" t="str">
        <f t="shared" si="2"/>
        <v>No</v>
      </c>
      <c r="S6" s="217"/>
      <c r="T6" s="216"/>
    </row>
    <row r="7" spans="1:38" ht="14.25" customHeight="1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10">
        <v>1.5</v>
      </c>
      <c r="H7" s="183">
        <f t="shared" si="3"/>
        <v>248.31</v>
      </c>
      <c r="I7" s="109">
        <f t="shared" si="0"/>
        <v>334.46000000000004</v>
      </c>
      <c r="J7" s="183">
        <f t="shared" si="4"/>
        <v>49.661999999999999</v>
      </c>
      <c r="K7" s="108" t="s">
        <v>430</v>
      </c>
      <c r="L7" s="108">
        <v>904.18</v>
      </c>
      <c r="M7" s="298">
        <v>300</v>
      </c>
      <c r="N7" s="107">
        <f t="shared" si="1"/>
        <v>165.54</v>
      </c>
      <c r="O7" s="244">
        <v>1.5</v>
      </c>
      <c r="P7" s="244">
        <f t="shared" si="5"/>
        <v>248.31</v>
      </c>
      <c r="Q7" s="290">
        <f t="shared" si="6"/>
        <v>51.69</v>
      </c>
      <c r="R7" s="301" t="str">
        <f t="shared" si="2"/>
        <v>No</v>
      </c>
      <c r="S7" s="255" t="s">
        <v>351</v>
      </c>
      <c r="T7" s="238" t="s">
        <v>351</v>
      </c>
    </row>
    <row r="8" spans="1:38" ht="14.25" customHeight="1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96">
        <v>1.5</v>
      </c>
      <c r="H8" s="183">
        <f t="shared" si="3"/>
        <v>152.28555</v>
      </c>
      <c r="I8" s="95">
        <f t="shared" si="0"/>
        <v>198.47629999999998</v>
      </c>
      <c r="J8" s="183">
        <f t="shared" si="4"/>
        <v>50.761849999999995</v>
      </c>
      <c r="K8" s="94" t="s">
        <v>429</v>
      </c>
      <c r="L8" s="94">
        <v>691.82</v>
      </c>
      <c r="M8" s="94">
        <v>300</v>
      </c>
      <c r="N8" s="93">
        <f t="shared" si="1"/>
        <v>101.52370000000001</v>
      </c>
      <c r="O8" s="244">
        <v>1.5</v>
      </c>
      <c r="P8" s="244">
        <f t="shared" si="5"/>
        <v>152.28555</v>
      </c>
      <c r="Q8" s="290">
        <f t="shared" si="6"/>
        <v>147.71445</v>
      </c>
      <c r="R8" s="181" t="str">
        <f t="shared" si="2"/>
        <v>No</v>
      </c>
      <c r="S8" s="254"/>
      <c r="T8" s="238"/>
    </row>
    <row r="9" spans="1:38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86">
        <v>1.5</v>
      </c>
      <c r="H9" s="183">
        <f t="shared" si="3"/>
        <v>495.05579999999998</v>
      </c>
      <c r="I9" s="85">
        <f t="shared" si="0"/>
        <v>269.96280000000002</v>
      </c>
      <c r="J9" s="183">
        <f t="shared" si="4"/>
        <v>82.509299999999996</v>
      </c>
      <c r="K9" s="84" t="s">
        <v>428</v>
      </c>
      <c r="L9" s="84">
        <v>243.73500000000001</v>
      </c>
      <c r="M9" s="299">
        <v>500</v>
      </c>
      <c r="N9" s="83">
        <f t="shared" si="1"/>
        <v>330.03719999999998</v>
      </c>
      <c r="O9" s="244">
        <v>1.5</v>
      </c>
      <c r="P9" s="244">
        <f t="shared" si="5"/>
        <v>495.05579999999998</v>
      </c>
      <c r="Q9" s="290">
        <f t="shared" si="6"/>
        <v>4.9442000000000235</v>
      </c>
      <c r="R9" s="180" t="str">
        <f t="shared" si="2"/>
        <v>No</v>
      </c>
      <c r="S9" s="233"/>
      <c r="T9" s="233"/>
      <c r="U9" s="246"/>
    </row>
    <row r="10" spans="1:38" ht="14.25" customHeight="1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10">
        <v>1.5</v>
      </c>
      <c r="H10" s="183">
        <f t="shared" si="3"/>
        <v>300.16500000000002</v>
      </c>
      <c r="I10" s="109">
        <f t="shared" si="0"/>
        <v>199.89</v>
      </c>
      <c r="J10" s="183">
        <f t="shared" si="4"/>
        <v>75.041250000000005</v>
      </c>
      <c r="K10" s="108" t="s">
        <v>427</v>
      </c>
      <c r="L10" s="108">
        <v>614.06500000000005</v>
      </c>
      <c r="M10" s="298">
        <v>300</v>
      </c>
      <c r="N10" s="107">
        <f t="shared" si="1"/>
        <v>200.11</v>
      </c>
      <c r="O10" s="244">
        <v>1.5</v>
      </c>
      <c r="P10" s="244">
        <f t="shared" si="5"/>
        <v>300.16500000000002</v>
      </c>
      <c r="Q10" s="290">
        <f t="shared" si="6"/>
        <v>-0.16500000000002046</v>
      </c>
      <c r="R10" s="253" t="s">
        <v>478</v>
      </c>
      <c r="S10" s="11"/>
      <c r="T10" s="11"/>
      <c r="U10" s="246"/>
      <c r="AA10" s="520" t="s">
        <v>576</v>
      </c>
      <c r="AB10" s="521"/>
      <c r="AC10" s="521"/>
      <c r="AD10" s="521"/>
      <c r="AE10" s="521"/>
      <c r="AF10" s="522"/>
      <c r="AG10" s="164"/>
    </row>
    <row r="11" spans="1:38" ht="14.25" customHeight="1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10">
        <v>1.5</v>
      </c>
      <c r="H11" s="183">
        <f t="shared" si="3"/>
        <v>624.22170000000006</v>
      </c>
      <c r="I11" s="109">
        <f t="shared" si="0"/>
        <v>333.85219999999998</v>
      </c>
      <c r="J11" s="183">
        <f t="shared" si="4"/>
        <v>83.229560000000006</v>
      </c>
      <c r="K11" s="108" t="s">
        <v>426</v>
      </c>
      <c r="L11" s="108">
        <v>692.19500000000005</v>
      </c>
      <c r="M11" s="108">
        <v>750</v>
      </c>
      <c r="N11" s="107">
        <f t="shared" si="1"/>
        <v>416.14780000000002</v>
      </c>
      <c r="O11" s="244">
        <v>1.5</v>
      </c>
      <c r="P11" s="244">
        <f t="shared" si="5"/>
        <v>624.22170000000006</v>
      </c>
      <c r="Q11" s="290">
        <f t="shared" si="6"/>
        <v>125.77829999999994</v>
      </c>
      <c r="R11" s="180" t="str">
        <f>IF(Q11&gt;=0,"No","Yes")</f>
        <v>No</v>
      </c>
      <c r="S11" s="11"/>
      <c r="T11" s="11"/>
      <c r="U11" s="246"/>
      <c r="AA11" s="336" t="s">
        <v>506</v>
      </c>
      <c r="AB11" s="338" t="s">
        <v>507</v>
      </c>
      <c r="AC11" s="338" t="s">
        <v>508</v>
      </c>
      <c r="AD11" s="338" t="s">
        <v>509</v>
      </c>
      <c r="AE11" s="338" t="s">
        <v>510</v>
      </c>
      <c r="AF11" s="339" t="s">
        <v>558</v>
      </c>
      <c r="AG11" s="312" t="s">
        <v>417</v>
      </c>
    </row>
    <row r="12" spans="1:38" ht="14.25" customHeight="1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10">
        <v>1.5</v>
      </c>
      <c r="H12" s="183">
        <f t="shared" si="3"/>
        <v>481.16999999999996</v>
      </c>
      <c r="I12" s="109">
        <f t="shared" si="0"/>
        <v>279.22000000000003</v>
      </c>
      <c r="J12" s="183">
        <f t="shared" si="4"/>
        <v>80.194999999999993</v>
      </c>
      <c r="K12" s="108" t="s">
        <v>420</v>
      </c>
      <c r="L12" s="108">
        <v>440.09</v>
      </c>
      <c r="M12" s="108">
        <v>600</v>
      </c>
      <c r="N12" s="107">
        <f t="shared" si="1"/>
        <v>320.77999999999997</v>
      </c>
      <c r="O12" s="244">
        <v>1.5</v>
      </c>
      <c r="P12" s="244">
        <f t="shared" si="5"/>
        <v>481.16999999999996</v>
      </c>
      <c r="Q12" s="290">
        <f t="shared" si="6"/>
        <v>118.83000000000004</v>
      </c>
      <c r="R12" s="180" t="str">
        <f>IF(Q12&gt;=0,"No","Yes")</f>
        <v>No</v>
      </c>
      <c r="S12" s="11"/>
      <c r="T12" s="11"/>
      <c r="U12" s="246"/>
      <c r="AA12" s="60" t="s">
        <v>84</v>
      </c>
      <c r="AB12" s="340">
        <v>0</v>
      </c>
      <c r="AC12" s="340">
        <v>0</v>
      </c>
      <c r="AD12" s="341">
        <v>0</v>
      </c>
      <c r="AE12" s="341">
        <v>0</v>
      </c>
      <c r="AF12" s="342">
        <v>0</v>
      </c>
      <c r="AG12" s="343">
        <f>SUM(AB12:AF12)</f>
        <v>0</v>
      </c>
    </row>
    <row r="13" spans="1:38" ht="14.25" customHeight="1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96">
        <v>1.5</v>
      </c>
      <c r="H13" s="183">
        <f t="shared" si="3"/>
        <v>33.525000000000006</v>
      </c>
      <c r="I13" s="95">
        <f t="shared" si="0"/>
        <v>177.65</v>
      </c>
      <c r="J13" s="183">
        <f t="shared" si="4"/>
        <v>16.762500000000003</v>
      </c>
      <c r="K13" s="94" t="s">
        <v>418</v>
      </c>
      <c r="L13" s="94">
        <v>541.49</v>
      </c>
      <c r="M13" s="291">
        <v>150</v>
      </c>
      <c r="N13" s="93">
        <f t="shared" si="1"/>
        <v>22.35</v>
      </c>
      <c r="O13" s="244">
        <v>1.5</v>
      </c>
      <c r="P13" s="244">
        <f t="shared" si="5"/>
        <v>33.525000000000006</v>
      </c>
      <c r="Q13" s="290">
        <f t="shared" si="6"/>
        <v>116.47499999999999</v>
      </c>
      <c r="R13" s="180" t="str">
        <f>IF(Q13&gt;=0,"No","Yes")</f>
        <v>No</v>
      </c>
      <c r="S13" s="11"/>
      <c r="T13" s="11"/>
      <c r="U13" s="246"/>
      <c r="AA13" s="60" t="s">
        <v>85</v>
      </c>
      <c r="AB13" s="340">
        <v>0</v>
      </c>
      <c r="AC13" s="340">
        <v>0</v>
      </c>
      <c r="AD13" s="340">
        <v>0</v>
      </c>
      <c r="AE13" s="340">
        <v>0</v>
      </c>
      <c r="AF13" s="342">
        <v>0</v>
      </c>
      <c r="AG13" s="60">
        <f t="shared" ref="AG13:AG23" si="7">SUM(AB13:AF13)</f>
        <v>0</v>
      </c>
    </row>
    <row r="14" spans="1:38" ht="13.5" thickBot="1">
      <c r="A14" s="114" t="s">
        <v>426</v>
      </c>
      <c r="B14" s="88" t="s">
        <v>351</v>
      </c>
      <c r="C14" s="161"/>
      <c r="D14" s="86"/>
      <c r="E14" s="86"/>
      <c r="F14" s="86"/>
      <c r="G14" s="86">
        <v>1.5</v>
      </c>
      <c r="H14" s="183">
        <f t="shared" si="3"/>
        <v>0</v>
      </c>
      <c r="I14" s="85"/>
      <c r="J14" s="183"/>
      <c r="K14" s="84"/>
      <c r="L14" s="84"/>
      <c r="M14" s="84"/>
      <c r="N14" s="83"/>
      <c r="O14" s="244">
        <v>1.5</v>
      </c>
      <c r="P14" s="244">
        <f t="shared" si="5"/>
        <v>0</v>
      </c>
      <c r="Q14" s="82"/>
      <c r="R14" s="83"/>
      <c r="S14" s="11"/>
      <c r="T14" s="11"/>
      <c r="U14" s="246"/>
      <c r="AA14" s="60" t="s">
        <v>86</v>
      </c>
      <c r="AB14" s="340">
        <v>0</v>
      </c>
      <c r="AC14" s="340">
        <v>0</v>
      </c>
      <c r="AD14" s="340">
        <v>0</v>
      </c>
      <c r="AE14" s="340">
        <v>0</v>
      </c>
      <c r="AF14" s="342">
        <v>0</v>
      </c>
      <c r="AG14" s="60">
        <f t="shared" si="7"/>
        <v>0</v>
      </c>
      <c r="AI14" s="406" t="s">
        <v>512</v>
      </c>
      <c r="AJ14" s="406" t="s">
        <v>513</v>
      </c>
      <c r="AK14" s="344" t="s">
        <v>514</v>
      </c>
    </row>
    <row r="15" spans="1:38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86">
        <v>1.5</v>
      </c>
      <c r="H15" s="183">
        <f t="shared" si="3"/>
        <v>621.76125000000002</v>
      </c>
      <c r="I15" s="85">
        <f t="shared" ref="I15:I24" si="8">E15-F15</f>
        <v>385.49250000000001</v>
      </c>
      <c r="J15" s="86">
        <f>H15/E15*100</f>
        <v>77.720156250000002</v>
      </c>
      <c r="K15" s="84" t="s">
        <v>424</v>
      </c>
      <c r="L15" s="84">
        <v>527.53499999999997</v>
      </c>
      <c r="M15" s="84">
        <v>800</v>
      </c>
      <c r="N15" s="83">
        <f t="shared" ref="N15:N24" si="9">F15</f>
        <v>414.50749999999999</v>
      </c>
      <c r="O15" s="244">
        <v>1.5</v>
      </c>
      <c r="P15" s="244">
        <f t="shared" si="5"/>
        <v>621.76125000000002</v>
      </c>
      <c r="Q15" s="203">
        <f>M15-P15</f>
        <v>178.23874999999998</v>
      </c>
      <c r="R15" s="83" t="str">
        <f t="shared" ref="R15:R24" si="10">IF(Q15&gt;=0,"No","Yes")</f>
        <v>No</v>
      </c>
      <c r="S15" s="11"/>
      <c r="T15" s="11"/>
      <c r="U15" s="246"/>
      <c r="AA15" s="60" t="s">
        <v>87</v>
      </c>
      <c r="AB15" s="340">
        <v>2</v>
      </c>
      <c r="AC15" s="340">
        <v>1</v>
      </c>
      <c r="AD15" s="340">
        <v>0</v>
      </c>
      <c r="AE15" s="340">
        <v>0</v>
      </c>
      <c r="AF15" s="342">
        <v>0</v>
      </c>
      <c r="AG15" s="60">
        <f t="shared" si="7"/>
        <v>3</v>
      </c>
      <c r="AI15" s="61" t="s">
        <v>507</v>
      </c>
      <c r="AJ15" s="61">
        <v>100</v>
      </c>
      <c r="AK15" s="416">
        <v>15</v>
      </c>
      <c r="AL15" s="333"/>
    </row>
    <row r="16" spans="1:38" ht="14.25" customHeight="1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10">
        <v>1.5</v>
      </c>
      <c r="H16" s="183">
        <f t="shared" si="3"/>
        <v>373.59030000000001</v>
      </c>
      <c r="I16" s="109">
        <f t="shared" si="8"/>
        <v>350.93979999999999</v>
      </c>
      <c r="J16" s="86">
        <f t="shared" ref="J16:J24" si="11">H16/E16*100</f>
        <v>62.265050000000002</v>
      </c>
      <c r="K16" s="108" t="s">
        <v>422</v>
      </c>
      <c r="L16" s="108">
        <v>258.625</v>
      </c>
      <c r="M16" s="298">
        <v>500</v>
      </c>
      <c r="N16" s="107">
        <f t="shared" si="9"/>
        <v>249.06020000000001</v>
      </c>
      <c r="O16" s="244">
        <v>1.5</v>
      </c>
      <c r="P16" s="244">
        <f t="shared" si="5"/>
        <v>373.59030000000001</v>
      </c>
      <c r="Q16" s="203">
        <f t="shared" ref="Q16:Q24" si="12">M16-P16</f>
        <v>126.40969999999999</v>
      </c>
      <c r="R16" s="83" t="str">
        <f t="shared" si="10"/>
        <v>No</v>
      </c>
      <c r="S16" s="11"/>
      <c r="T16" s="11"/>
      <c r="U16" s="246"/>
      <c r="AA16" s="60" t="s">
        <v>88</v>
      </c>
      <c r="AB16" s="340">
        <v>0</v>
      </c>
      <c r="AC16" s="340">
        <v>0</v>
      </c>
      <c r="AD16" s="340">
        <v>0</v>
      </c>
      <c r="AE16" s="340">
        <v>0</v>
      </c>
      <c r="AF16" s="342">
        <v>0</v>
      </c>
      <c r="AG16" s="60">
        <f t="shared" si="7"/>
        <v>0</v>
      </c>
      <c r="AH16" s="334"/>
      <c r="AI16" s="345" t="s">
        <v>508</v>
      </c>
      <c r="AJ16" s="345">
        <v>150</v>
      </c>
      <c r="AK16" s="417">
        <v>16.3689</v>
      </c>
      <c r="AL16" s="334"/>
    </row>
    <row r="17" spans="1:41" ht="14.25" customHeight="1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10">
        <v>1.5</v>
      </c>
      <c r="H17" s="183">
        <f t="shared" si="3"/>
        <v>278.15129999999999</v>
      </c>
      <c r="I17" s="109">
        <f t="shared" si="8"/>
        <v>264.56579999999997</v>
      </c>
      <c r="J17" s="86">
        <f t="shared" si="11"/>
        <v>61.811399999999992</v>
      </c>
      <c r="K17" s="108" t="s">
        <v>385</v>
      </c>
      <c r="L17" s="108">
        <v>975.03499999999997</v>
      </c>
      <c r="M17" s="108">
        <v>450</v>
      </c>
      <c r="N17" s="107">
        <f t="shared" si="9"/>
        <v>185.4342</v>
      </c>
      <c r="O17" s="244">
        <v>1.5</v>
      </c>
      <c r="P17" s="244">
        <f t="shared" si="5"/>
        <v>278.15129999999999</v>
      </c>
      <c r="Q17" s="203">
        <f t="shared" si="12"/>
        <v>171.84870000000001</v>
      </c>
      <c r="R17" s="83" t="str">
        <f t="shared" si="10"/>
        <v>No</v>
      </c>
      <c r="S17" s="11"/>
      <c r="T17" s="11"/>
      <c r="U17" s="246"/>
      <c r="AA17" s="60" t="s">
        <v>89</v>
      </c>
      <c r="AB17" s="340">
        <v>0</v>
      </c>
      <c r="AC17" s="340">
        <v>0</v>
      </c>
      <c r="AD17" s="340">
        <v>0</v>
      </c>
      <c r="AE17" s="340">
        <v>0</v>
      </c>
      <c r="AF17" s="342">
        <v>0</v>
      </c>
      <c r="AG17" s="60">
        <f t="shared" si="7"/>
        <v>0</v>
      </c>
      <c r="AH17" s="333"/>
      <c r="AI17" s="345" t="s">
        <v>509</v>
      </c>
      <c r="AJ17" s="345">
        <v>200</v>
      </c>
      <c r="AK17" s="417">
        <v>16.746700000000001</v>
      </c>
      <c r="AL17" s="352"/>
    </row>
    <row r="18" spans="1:41" ht="14.25" customHeight="1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10">
        <v>1.5</v>
      </c>
      <c r="H18" s="183">
        <f t="shared" si="3"/>
        <v>320.77244999999999</v>
      </c>
      <c r="I18" s="109">
        <f t="shared" si="8"/>
        <v>236.15170000000001</v>
      </c>
      <c r="J18" s="86">
        <f t="shared" si="11"/>
        <v>71.28276666666666</v>
      </c>
      <c r="K18" s="108" t="s">
        <v>421</v>
      </c>
      <c r="L18" s="108">
        <v>1025.3</v>
      </c>
      <c r="M18" s="108">
        <v>450</v>
      </c>
      <c r="N18" s="107">
        <f t="shared" si="9"/>
        <v>213.84829999999999</v>
      </c>
      <c r="O18" s="244">
        <v>1.5</v>
      </c>
      <c r="P18" s="244">
        <f t="shared" si="5"/>
        <v>320.77244999999999</v>
      </c>
      <c r="Q18" s="203">
        <f t="shared" si="12"/>
        <v>129.22755000000001</v>
      </c>
      <c r="R18" s="83" t="str">
        <f t="shared" si="10"/>
        <v>No</v>
      </c>
      <c r="S18" s="11"/>
      <c r="T18" s="11"/>
      <c r="U18" s="246"/>
      <c r="AA18" s="60" t="s">
        <v>90</v>
      </c>
      <c r="AB18" s="340">
        <v>0</v>
      </c>
      <c r="AC18" s="340">
        <v>0</v>
      </c>
      <c r="AD18" s="340">
        <v>0</v>
      </c>
      <c r="AE18" s="340">
        <v>0</v>
      </c>
      <c r="AF18" s="342">
        <v>0</v>
      </c>
      <c r="AG18" s="60">
        <f t="shared" si="7"/>
        <v>0</v>
      </c>
      <c r="AH18" s="333"/>
      <c r="AI18" s="345" t="s">
        <v>510</v>
      </c>
      <c r="AJ18" s="345">
        <v>250</v>
      </c>
      <c r="AK18" s="417">
        <v>16.886600000000001</v>
      </c>
      <c r="AL18" s="334"/>
    </row>
    <row r="19" spans="1:41" ht="14.25" customHeight="1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10">
        <v>1.5</v>
      </c>
      <c r="H19" s="183">
        <f t="shared" si="3"/>
        <v>481.17255</v>
      </c>
      <c r="I19" s="109">
        <f t="shared" si="8"/>
        <v>279.2183</v>
      </c>
      <c r="J19" s="86">
        <f t="shared" si="11"/>
        <v>80.195425</v>
      </c>
      <c r="K19" s="108" t="s">
        <v>420</v>
      </c>
      <c r="L19" s="108">
        <v>440.09</v>
      </c>
      <c r="M19" s="108">
        <v>600</v>
      </c>
      <c r="N19" s="107">
        <f t="shared" si="9"/>
        <v>320.7817</v>
      </c>
      <c r="O19" s="244">
        <v>1.5</v>
      </c>
      <c r="P19" s="244">
        <f t="shared" si="5"/>
        <v>481.17255</v>
      </c>
      <c r="Q19" s="203">
        <f t="shared" si="12"/>
        <v>118.82745</v>
      </c>
      <c r="R19" s="83" t="str">
        <f t="shared" si="10"/>
        <v>No</v>
      </c>
      <c r="S19" s="11"/>
      <c r="T19" s="11"/>
      <c r="U19" s="246"/>
      <c r="AA19" s="60" t="s">
        <v>91</v>
      </c>
      <c r="AB19" s="340">
        <v>4</v>
      </c>
      <c r="AC19" s="340">
        <v>0</v>
      </c>
      <c r="AD19" s="342">
        <v>1</v>
      </c>
      <c r="AE19" s="342">
        <v>0</v>
      </c>
      <c r="AF19" s="342">
        <v>0</v>
      </c>
      <c r="AG19" s="60">
        <f t="shared" si="7"/>
        <v>5</v>
      </c>
      <c r="AH19" s="334"/>
      <c r="AI19" s="346" t="s">
        <v>558</v>
      </c>
      <c r="AJ19" s="346">
        <v>300</v>
      </c>
      <c r="AK19" s="418">
        <v>17</v>
      </c>
      <c r="AL19" s="334"/>
    </row>
    <row r="20" spans="1:41" ht="14.25" customHeight="1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96">
        <v>1.5</v>
      </c>
      <c r="H20" s="183">
        <f t="shared" si="3"/>
        <v>33.525000000000006</v>
      </c>
      <c r="I20" s="95">
        <f t="shared" si="8"/>
        <v>177.65</v>
      </c>
      <c r="J20" s="86">
        <f t="shared" si="11"/>
        <v>16.762500000000003</v>
      </c>
      <c r="K20" s="94" t="s">
        <v>418</v>
      </c>
      <c r="L20" s="94">
        <v>541.49</v>
      </c>
      <c r="M20" s="291">
        <v>150</v>
      </c>
      <c r="N20" s="93">
        <f t="shared" si="9"/>
        <v>22.35</v>
      </c>
      <c r="O20" s="244">
        <v>1.5</v>
      </c>
      <c r="P20" s="244">
        <f t="shared" si="5"/>
        <v>33.525000000000006</v>
      </c>
      <c r="Q20" s="203">
        <f t="shared" si="12"/>
        <v>116.47499999999999</v>
      </c>
      <c r="R20" s="83" t="str">
        <f t="shared" si="10"/>
        <v>No</v>
      </c>
      <c r="S20" s="11"/>
      <c r="T20" s="11"/>
      <c r="U20" s="246"/>
      <c r="AA20" s="60" t="s">
        <v>92</v>
      </c>
      <c r="AB20" s="342">
        <v>1</v>
      </c>
      <c r="AC20" s="342">
        <v>1</v>
      </c>
      <c r="AD20" s="342">
        <v>0</v>
      </c>
      <c r="AE20" s="342">
        <v>0</v>
      </c>
      <c r="AF20" s="342">
        <v>0</v>
      </c>
      <c r="AG20" s="60">
        <f t="shared" si="7"/>
        <v>2</v>
      </c>
      <c r="AH20" s="334"/>
      <c r="AI20" s="334"/>
      <c r="AJ20" s="334"/>
      <c r="AL20" s="334"/>
    </row>
    <row r="21" spans="1:41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86">
        <v>1.5</v>
      </c>
      <c r="H21" s="183">
        <f t="shared" si="3"/>
        <v>300.16829999999999</v>
      </c>
      <c r="I21" s="85">
        <f t="shared" si="8"/>
        <v>199.8878</v>
      </c>
      <c r="J21" s="86">
        <f t="shared" si="11"/>
        <v>75.042074999999997</v>
      </c>
      <c r="K21" s="84" t="s">
        <v>416</v>
      </c>
      <c r="L21" s="84">
        <v>733.18499999999995</v>
      </c>
      <c r="M21" s="299">
        <v>300</v>
      </c>
      <c r="N21" s="83">
        <f t="shared" si="9"/>
        <v>200.1122</v>
      </c>
      <c r="O21" s="244">
        <v>1.5</v>
      </c>
      <c r="P21" s="244">
        <f t="shared" si="5"/>
        <v>300.16829999999999</v>
      </c>
      <c r="Q21" s="203">
        <f t="shared" si="12"/>
        <v>-0.1682999999999879</v>
      </c>
      <c r="R21" s="201" t="str">
        <f t="shared" si="10"/>
        <v>Yes</v>
      </c>
      <c r="S21" s="11"/>
      <c r="T21" s="11"/>
      <c r="U21" s="246"/>
      <c r="AA21" s="60" t="s">
        <v>93</v>
      </c>
      <c r="AB21" s="342">
        <v>2</v>
      </c>
      <c r="AC21" s="340">
        <v>0</v>
      </c>
      <c r="AD21" s="342">
        <v>1</v>
      </c>
      <c r="AE21" s="342">
        <v>0</v>
      </c>
      <c r="AF21" s="342">
        <v>0</v>
      </c>
      <c r="AG21" s="60">
        <f t="shared" si="7"/>
        <v>3</v>
      </c>
      <c r="AH21" s="334"/>
      <c r="AI21" s="334"/>
      <c r="AJ21" s="334"/>
      <c r="AL21" s="334"/>
    </row>
    <row r="22" spans="1:41" ht="14.25" customHeight="1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10">
        <v>1.5</v>
      </c>
      <c r="H22" s="183">
        <f t="shared" si="3"/>
        <v>624.22170000000006</v>
      </c>
      <c r="I22" s="109">
        <f t="shared" si="8"/>
        <v>333.85219999999998</v>
      </c>
      <c r="J22" s="86">
        <f t="shared" si="11"/>
        <v>83.229560000000006</v>
      </c>
      <c r="K22" s="108" t="s">
        <v>361</v>
      </c>
      <c r="L22" s="108">
        <v>692.19500000000005</v>
      </c>
      <c r="M22" s="108">
        <v>750</v>
      </c>
      <c r="N22" s="107">
        <f t="shared" si="9"/>
        <v>416.14780000000002</v>
      </c>
      <c r="O22" s="244">
        <v>1.5</v>
      </c>
      <c r="P22" s="244">
        <f t="shared" si="5"/>
        <v>624.22170000000006</v>
      </c>
      <c r="Q22" s="203">
        <f t="shared" si="12"/>
        <v>125.77829999999994</v>
      </c>
      <c r="R22" s="83" t="str">
        <f t="shared" si="10"/>
        <v>No</v>
      </c>
      <c r="S22" s="11"/>
      <c r="T22" s="11"/>
      <c r="U22" s="246"/>
      <c r="AA22" s="60" t="s">
        <v>94</v>
      </c>
      <c r="AB22" s="342">
        <v>5</v>
      </c>
      <c r="AC22" s="340">
        <v>0</v>
      </c>
      <c r="AD22" s="342">
        <v>2</v>
      </c>
      <c r="AE22" s="342">
        <v>0</v>
      </c>
      <c r="AF22" s="342">
        <v>0</v>
      </c>
      <c r="AG22" s="60">
        <f t="shared" si="7"/>
        <v>7</v>
      </c>
      <c r="AH22" s="18"/>
      <c r="AI22" s="18"/>
      <c r="AJ22" s="334"/>
      <c r="AL22" s="334"/>
    </row>
    <row r="23" spans="1:41" ht="14.25" customHeight="1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10">
        <v>1.5</v>
      </c>
      <c r="H23" s="183">
        <f t="shared" si="3"/>
        <v>36.154499999999999</v>
      </c>
      <c r="I23" s="109">
        <f t="shared" si="8"/>
        <v>175.89699999999999</v>
      </c>
      <c r="J23" s="86">
        <f t="shared" si="11"/>
        <v>18.077249999999999</v>
      </c>
      <c r="K23" s="108" t="s">
        <v>412</v>
      </c>
      <c r="L23" s="108">
        <v>820.63</v>
      </c>
      <c r="M23" s="298">
        <v>150</v>
      </c>
      <c r="N23" s="107">
        <f t="shared" si="9"/>
        <v>24.103000000000002</v>
      </c>
      <c r="O23" s="244">
        <v>1.5</v>
      </c>
      <c r="P23" s="244">
        <f t="shared" si="5"/>
        <v>36.154499999999999</v>
      </c>
      <c r="Q23" s="203">
        <f t="shared" si="12"/>
        <v>113.8455</v>
      </c>
      <c r="R23" s="83" t="str">
        <f t="shared" si="10"/>
        <v>No</v>
      </c>
      <c r="S23" s="11"/>
      <c r="T23" s="11"/>
      <c r="U23" s="246"/>
      <c r="V23" s="20"/>
      <c r="W23" s="58"/>
      <c r="AA23" s="347" t="s">
        <v>505</v>
      </c>
      <c r="AB23" s="348">
        <v>0</v>
      </c>
      <c r="AC23" s="348">
        <v>0</v>
      </c>
      <c r="AD23" s="348">
        <v>0</v>
      </c>
      <c r="AE23" s="348">
        <v>0</v>
      </c>
      <c r="AF23" s="348">
        <v>0</v>
      </c>
      <c r="AG23" s="347">
        <f t="shared" si="7"/>
        <v>0</v>
      </c>
      <c r="AH23" s="334"/>
      <c r="AI23" s="520" t="s">
        <v>578</v>
      </c>
      <c r="AJ23" s="521"/>
      <c r="AK23" s="521"/>
      <c r="AL23" s="521"/>
      <c r="AM23" s="521"/>
      <c r="AN23" s="522"/>
      <c r="AO23" s="164"/>
    </row>
    <row r="24" spans="1:41" ht="14.25" customHeight="1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96">
        <v>1.5</v>
      </c>
      <c r="H24" s="183">
        <f t="shared" si="3"/>
        <v>33.525000000000006</v>
      </c>
      <c r="I24" s="95">
        <f t="shared" si="8"/>
        <v>177.65</v>
      </c>
      <c r="J24" s="86">
        <f t="shared" si="11"/>
        <v>16.762500000000003</v>
      </c>
      <c r="K24" s="94" t="s">
        <v>410</v>
      </c>
      <c r="L24" s="94">
        <v>660.63</v>
      </c>
      <c r="M24" s="291">
        <v>150</v>
      </c>
      <c r="N24" s="93">
        <f t="shared" si="9"/>
        <v>22.35</v>
      </c>
      <c r="O24" s="244">
        <v>1.5</v>
      </c>
      <c r="P24" s="244">
        <f t="shared" si="5"/>
        <v>33.525000000000006</v>
      </c>
      <c r="Q24" s="203">
        <f t="shared" si="12"/>
        <v>116.47499999999999</v>
      </c>
      <c r="R24" s="83" t="str">
        <f t="shared" si="10"/>
        <v>No</v>
      </c>
      <c r="S24" s="11"/>
      <c r="T24" s="11"/>
      <c r="V24" s="553" t="s">
        <v>455</v>
      </c>
      <c r="W24" s="554"/>
      <c r="X24" s="274"/>
      <c r="AA24" s="312" t="s">
        <v>515</v>
      </c>
      <c r="AB24" s="349">
        <f t="shared" ref="AB24:AG24" si="13">SUM(AB12:AB23)</f>
        <v>14</v>
      </c>
      <c r="AC24" s="349">
        <f t="shared" si="13"/>
        <v>2</v>
      </c>
      <c r="AD24" s="349">
        <f t="shared" si="13"/>
        <v>4</v>
      </c>
      <c r="AE24" s="349">
        <f t="shared" si="13"/>
        <v>0</v>
      </c>
      <c r="AF24" s="349">
        <f t="shared" si="13"/>
        <v>0</v>
      </c>
      <c r="AG24" s="350">
        <f t="shared" si="13"/>
        <v>20</v>
      </c>
      <c r="AH24" s="334"/>
      <c r="AI24" s="336" t="s">
        <v>506</v>
      </c>
      <c r="AJ24" s="338" t="s">
        <v>507</v>
      </c>
      <c r="AK24" s="338" t="s">
        <v>508</v>
      </c>
      <c r="AL24" s="338" t="s">
        <v>509</v>
      </c>
      <c r="AM24" s="338" t="s">
        <v>510</v>
      </c>
      <c r="AN24" s="339" t="s">
        <v>558</v>
      </c>
      <c r="AO24" s="312" t="s">
        <v>417</v>
      </c>
    </row>
    <row r="25" spans="1:41" ht="13.5" thickBot="1">
      <c r="A25" s="162" t="s">
        <v>409</v>
      </c>
      <c r="B25" s="88" t="s">
        <v>408</v>
      </c>
      <c r="C25" s="161"/>
      <c r="D25" s="86"/>
      <c r="E25" s="86"/>
      <c r="F25" s="86"/>
      <c r="G25" s="86">
        <v>1.5</v>
      </c>
      <c r="H25" s="183">
        <f t="shared" si="3"/>
        <v>0</v>
      </c>
      <c r="I25" s="85"/>
      <c r="J25" s="183"/>
      <c r="K25" s="84"/>
      <c r="L25" s="84"/>
      <c r="M25" s="84"/>
      <c r="N25" s="83"/>
      <c r="O25" s="244">
        <v>1.5</v>
      </c>
      <c r="P25" s="244">
        <f t="shared" si="5"/>
        <v>0</v>
      </c>
      <c r="Q25" s="82"/>
      <c r="R25" s="83"/>
      <c r="S25" s="273" t="s">
        <v>440</v>
      </c>
      <c r="T25" s="273" t="s">
        <v>457</v>
      </c>
      <c r="V25" s="91"/>
      <c r="W25" s="20"/>
      <c r="X25" s="100"/>
      <c r="AA25" s="312" t="s">
        <v>514</v>
      </c>
      <c r="AB25" s="351">
        <f>PRODUCT(AB24*AK15)</f>
        <v>210</v>
      </c>
      <c r="AC25" s="414">
        <f>PRODUCT(AC24*AK16)</f>
        <v>32.7378</v>
      </c>
      <c r="AD25" s="414">
        <f>PRODUCT(AD24*AK17)</f>
        <v>66.986800000000002</v>
      </c>
      <c r="AE25" s="414">
        <f>PRODUCT(AE24*AK18)</f>
        <v>0</v>
      </c>
      <c r="AF25" s="414">
        <f>PRODUCT(AF24*AK19)</f>
        <v>0</v>
      </c>
      <c r="AG25" s="415">
        <f>SUM(AB25:AF25)</f>
        <v>309.72460000000001</v>
      </c>
      <c r="AH25" s="334"/>
      <c r="AI25" s="60" t="s">
        <v>84</v>
      </c>
      <c r="AJ25" s="342">
        <f>AB12+AB32</f>
        <v>0</v>
      </c>
      <c r="AK25" s="342">
        <f t="shared" ref="AK25:AN36" si="14">AC12+AC32</f>
        <v>8</v>
      </c>
      <c r="AL25" s="342">
        <f t="shared" si="14"/>
        <v>3</v>
      </c>
      <c r="AM25" s="342">
        <f t="shared" si="14"/>
        <v>2</v>
      </c>
      <c r="AN25" s="342">
        <f t="shared" si="14"/>
        <v>0</v>
      </c>
      <c r="AO25" s="343">
        <f>SUM(AJ25:AN25)</f>
        <v>13</v>
      </c>
    </row>
    <row r="26" spans="1:41" ht="15" customHeight="1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86">
        <v>1.5</v>
      </c>
      <c r="H26" s="183">
        <f t="shared" si="3"/>
        <v>996.77129999999988</v>
      </c>
      <c r="I26" s="85">
        <f t="shared" ref="I26:I56" si="15">E26-F26</f>
        <v>535.48580000000004</v>
      </c>
      <c r="J26" s="85">
        <f>H26/E26*100</f>
        <v>83.064274999999981</v>
      </c>
      <c r="K26" s="84" t="s">
        <v>405</v>
      </c>
      <c r="L26" s="84">
        <v>799.22</v>
      </c>
      <c r="M26" s="299">
        <v>900</v>
      </c>
      <c r="N26" s="83">
        <f t="shared" ref="N26:N56" si="16">F26</f>
        <v>664.51419999999996</v>
      </c>
      <c r="O26" s="244">
        <v>1.5</v>
      </c>
      <c r="P26" s="244">
        <f t="shared" si="5"/>
        <v>996.77129999999988</v>
      </c>
      <c r="Q26" s="82">
        <f>M26-P26</f>
        <v>-96.771299999999883</v>
      </c>
      <c r="R26" s="218" t="str">
        <f t="shared" ref="R26:R56" si="17">IF(Q26&gt;=0,"No","Yes")</f>
        <v>Yes</v>
      </c>
      <c r="S26" s="557" t="s">
        <v>351</v>
      </c>
      <c r="T26" s="555" t="s">
        <v>351</v>
      </c>
      <c r="V26" s="302" t="s">
        <v>390</v>
      </c>
      <c r="W26" s="197" t="s">
        <v>389</v>
      </c>
      <c r="X26" s="303" t="s">
        <v>388</v>
      </c>
      <c r="AA26" s="312" t="s">
        <v>513</v>
      </c>
      <c r="AB26" s="351">
        <f>AB24*AJ15</f>
        <v>1400</v>
      </c>
      <c r="AC26" s="351">
        <f>AC24*AJ16</f>
        <v>300</v>
      </c>
      <c r="AD26" s="351">
        <f>AD24*AJ17</f>
        <v>800</v>
      </c>
      <c r="AE26" s="351">
        <f>AE24*AJ18</f>
        <v>0</v>
      </c>
      <c r="AF26" s="351">
        <f>AF24*AJ19</f>
        <v>0</v>
      </c>
      <c r="AG26" s="312">
        <f>SUM(AB26:AF26)</f>
        <v>2500</v>
      </c>
      <c r="AH26" s="334"/>
      <c r="AI26" s="60" t="s">
        <v>85</v>
      </c>
      <c r="AJ26" s="342">
        <f t="shared" ref="AJ26:AJ36" si="18">AB13+AB33</f>
        <v>0</v>
      </c>
      <c r="AK26" s="342">
        <f t="shared" si="14"/>
        <v>11</v>
      </c>
      <c r="AL26" s="342">
        <f t="shared" si="14"/>
        <v>6</v>
      </c>
      <c r="AM26" s="342">
        <f t="shared" si="14"/>
        <v>0</v>
      </c>
      <c r="AN26" s="342">
        <f t="shared" si="14"/>
        <v>4</v>
      </c>
      <c r="AO26" s="60">
        <f t="shared" ref="AO26:AO36" si="19">SUM(AJ26:AN26)</f>
        <v>21</v>
      </c>
    </row>
    <row r="27" spans="1:41" ht="14.25" customHeight="1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55">
        <v>1.5</v>
      </c>
      <c r="H27" s="183">
        <f t="shared" si="3"/>
        <v>637.00244999999995</v>
      </c>
      <c r="I27" s="154">
        <f t="shared" si="15"/>
        <v>475.33170000000001</v>
      </c>
      <c r="J27" s="85">
        <f t="shared" ref="J27:J56" si="20">H27/E27*100</f>
        <v>70.778049999999993</v>
      </c>
      <c r="K27" s="153" t="s">
        <v>404</v>
      </c>
      <c r="L27" s="153">
        <v>973.76</v>
      </c>
      <c r="M27" s="153">
        <v>900</v>
      </c>
      <c r="N27" s="71">
        <f t="shared" si="16"/>
        <v>424.66829999999999</v>
      </c>
      <c r="O27" s="244">
        <v>1.5</v>
      </c>
      <c r="P27" s="244">
        <f t="shared" si="5"/>
        <v>637.00244999999995</v>
      </c>
      <c r="Q27" s="82">
        <f t="shared" ref="Q27:Q56" si="21">M27-P27</f>
        <v>262.99755000000005</v>
      </c>
      <c r="R27" s="201" t="str">
        <f t="shared" si="17"/>
        <v>No</v>
      </c>
      <c r="S27" s="558"/>
      <c r="T27" s="556"/>
      <c r="V27" s="133" t="s">
        <v>17</v>
      </c>
      <c r="W27" s="132">
        <v>247</v>
      </c>
      <c r="X27" s="100">
        <f>(W27/200)*100</f>
        <v>123.50000000000001</v>
      </c>
      <c r="AA27" s="334"/>
      <c r="AB27" s="334"/>
      <c r="AC27" s="334"/>
      <c r="AD27" s="334"/>
      <c r="AE27" s="334"/>
      <c r="AF27" s="334"/>
      <c r="AG27" s="334"/>
      <c r="AI27" s="60" t="s">
        <v>86</v>
      </c>
      <c r="AJ27" s="342">
        <f t="shared" si="18"/>
        <v>0</v>
      </c>
      <c r="AK27" s="342">
        <f t="shared" si="14"/>
        <v>0</v>
      </c>
      <c r="AL27" s="342">
        <f t="shared" si="14"/>
        <v>4</v>
      </c>
      <c r="AM27" s="342">
        <f t="shared" si="14"/>
        <v>0</v>
      </c>
      <c r="AN27" s="342">
        <f t="shared" si="14"/>
        <v>2</v>
      </c>
      <c r="AO27" s="60">
        <f t="shared" si="19"/>
        <v>6</v>
      </c>
    </row>
    <row r="28" spans="1:41" ht="15" customHeight="1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96">
        <v>1.5</v>
      </c>
      <c r="H28" s="183">
        <f t="shared" si="3"/>
        <v>621.76125000000002</v>
      </c>
      <c r="I28" s="95">
        <f t="shared" si="15"/>
        <v>385.49250000000001</v>
      </c>
      <c r="J28" s="85">
        <f t="shared" si="20"/>
        <v>77.720156250000002</v>
      </c>
      <c r="K28" s="94" t="s">
        <v>402</v>
      </c>
      <c r="L28" s="94">
        <v>849.47500000000002</v>
      </c>
      <c r="M28" s="291">
        <v>600</v>
      </c>
      <c r="N28" s="93">
        <f t="shared" si="16"/>
        <v>414.50749999999999</v>
      </c>
      <c r="O28" s="244">
        <v>1.5</v>
      </c>
      <c r="P28" s="244">
        <f t="shared" si="5"/>
        <v>621.76125000000002</v>
      </c>
      <c r="Q28" s="82">
        <f t="shared" si="21"/>
        <v>-21.761250000000018</v>
      </c>
      <c r="R28" s="201" t="str">
        <f t="shared" si="17"/>
        <v>Yes</v>
      </c>
      <c r="S28" s="557" t="s">
        <v>351</v>
      </c>
      <c r="T28" s="560" t="s">
        <v>351</v>
      </c>
      <c r="V28" s="133" t="s">
        <v>28</v>
      </c>
      <c r="W28" s="132">
        <v>318.77999999999997</v>
      </c>
      <c r="X28" s="100">
        <f>(W28/150)*100</f>
        <v>212.52</v>
      </c>
      <c r="AA28" s="334"/>
      <c r="AB28" s="334"/>
      <c r="AC28" s="334"/>
      <c r="AD28" s="334"/>
      <c r="AE28" s="334"/>
      <c r="AF28" s="334"/>
      <c r="AG28" s="334"/>
      <c r="AH28" s="334"/>
      <c r="AI28" s="60" t="s">
        <v>87</v>
      </c>
      <c r="AJ28" s="342">
        <f t="shared" si="18"/>
        <v>2</v>
      </c>
      <c r="AK28" s="342">
        <f t="shared" si="14"/>
        <v>21</v>
      </c>
      <c r="AL28" s="342">
        <f t="shared" si="14"/>
        <v>27</v>
      </c>
      <c r="AM28" s="342">
        <f t="shared" si="14"/>
        <v>15</v>
      </c>
      <c r="AN28" s="342">
        <f t="shared" si="14"/>
        <v>0</v>
      </c>
      <c r="AO28" s="60">
        <f t="shared" si="19"/>
        <v>65</v>
      </c>
    </row>
    <row r="29" spans="1:41" ht="14.25" customHeight="1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96">
        <v>1.5</v>
      </c>
      <c r="H29" s="183">
        <f t="shared" si="3"/>
        <v>278.15129999999999</v>
      </c>
      <c r="I29" s="95">
        <f t="shared" si="15"/>
        <v>264.56579999999997</v>
      </c>
      <c r="J29" s="85">
        <f t="shared" si="20"/>
        <v>61.811399999999992</v>
      </c>
      <c r="K29" s="94" t="s">
        <v>385</v>
      </c>
      <c r="L29" s="94">
        <v>975.03499999999997</v>
      </c>
      <c r="M29" s="94">
        <v>450</v>
      </c>
      <c r="N29" s="93">
        <f t="shared" si="16"/>
        <v>185.4342</v>
      </c>
      <c r="O29" s="244">
        <v>1.5</v>
      </c>
      <c r="P29" s="244">
        <f t="shared" si="5"/>
        <v>278.15129999999999</v>
      </c>
      <c r="Q29" s="82">
        <f t="shared" si="21"/>
        <v>171.84870000000001</v>
      </c>
      <c r="R29" s="201" t="str">
        <f t="shared" si="17"/>
        <v>No</v>
      </c>
      <c r="S29" s="559"/>
      <c r="T29" s="561"/>
      <c r="V29" s="133" t="s">
        <v>19</v>
      </c>
      <c r="W29" s="132">
        <v>79.31</v>
      </c>
      <c r="X29" s="100"/>
      <c r="AA29" s="368"/>
      <c r="AB29" s="368"/>
      <c r="AC29" s="368"/>
      <c r="AD29" s="334"/>
      <c r="AE29" s="334"/>
      <c r="AF29" s="334"/>
      <c r="AG29" s="334"/>
      <c r="AH29" s="334"/>
      <c r="AI29" s="60" t="s">
        <v>88</v>
      </c>
      <c r="AJ29" s="342">
        <f t="shared" si="18"/>
        <v>0</v>
      </c>
      <c r="AK29" s="342">
        <f t="shared" si="14"/>
        <v>0</v>
      </c>
      <c r="AL29" s="342">
        <f t="shared" si="14"/>
        <v>13</v>
      </c>
      <c r="AM29" s="342">
        <f t="shared" si="14"/>
        <v>1</v>
      </c>
      <c r="AN29" s="342">
        <f t="shared" si="14"/>
        <v>0</v>
      </c>
      <c r="AO29" s="60">
        <f t="shared" si="19"/>
        <v>14</v>
      </c>
    </row>
    <row r="30" spans="1:41" ht="14.25" customHeight="1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10">
        <v>1.5</v>
      </c>
      <c r="H30" s="183">
        <f t="shared" si="3"/>
        <v>320.77244999999999</v>
      </c>
      <c r="I30" s="109">
        <f t="shared" si="15"/>
        <v>236.15170000000001</v>
      </c>
      <c r="J30" s="85">
        <f t="shared" si="20"/>
        <v>71.28276666666666</v>
      </c>
      <c r="K30" s="108" t="s">
        <v>399</v>
      </c>
      <c r="L30" s="108">
        <v>1347.24</v>
      </c>
      <c r="M30" s="298">
        <v>300</v>
      </c>
      <c r="N30" s="107">
        <f t="shared" si="16"/>
        <v>213.84829999999999</v>
      </c>
      <c r="O30" s="244">
        <v>1.5</v>
      </c>
      <c r="P30" s="244">
        <f t="shared" si="5"/>
        <v>320.77244999999999</v>
      </c>
      <c r="Q30" s="82">
        <f t="shared" si="21"/>
        <v>-20.772449999999992</v>
      </c>
      <c r="R30" s="218" t="str">
        <f t="shared" si="17"/>
        <v>Yes</v>
      </c>
      <c r="S30" s="559"/>
      <c r="T30" s="561"/>
      <c r="V30" s="91" t="s">
        <v>30</v>
      </c>
      <c r="W30" s="20">
        <v>237</v>
      </c>
      <c r="X30" s="100"/>
      <c r="AA30" s="520" t="s">
        <v>577</v>
      </c>
      <c r="AB30" s="521"/>
      <c r="AC30" s="521"/>
      <c r="AD30" s="521"/>
      <c r="AE30" s="521"/>
      <c r="AF30" s="522"/>
      <c r="AG30" s="164"/>
      <c r="AH30" s="334"/>
      <c r="AI30" s="60" t="s">
        <v>89</v>
      </c>
      <c r="AJ30" s="342">
        <f t="shared" si="18"/>
        <v>0</v>
      </c>
      <c r="AK30" s="342">
        <f t="shared" si="14"/>
        <v>13</v>
      </c>
      <c r="AL30" s="342">
        <f t="shared" si="14"/>
        <v>1</v>
      </c>
      <c r="AM30" s="342">
        <f t="shared" si="14"/>
        <v>1</v>
      </c>
      <c r="AN30" s="342">
        <f t="shared" si="14"/>
        <v>0</v>
      </c>
      <c r="AO30" s="60">
        <f t="shared" si="19"/>
        <v>15</v>
      </c>
    </row>
    <row r="31" spans="1:41" ht="14.25" customHeight="1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96">
        <v>1.5</v>
      </c>
      <c r="H31" s="183">
        <f t="shared" si="3"/>
        <v>481.17255</v>
      </c>
      <c r="I31" s="95">
        <f t="shared" si="15"/>
        <v>279.2183</v>
      </c>
      <c r="J31" s="85">
        <f t="shared" si="20"/>
        <v>80.195425</v>
      </c>
      <c r="K31" s="94" t="s">
        <v>397</v>
      </c>
      <c r="L31" s="94">
        <v>762.03</v>
      </c>
      <c r="M31" s="291">
        <v>450</v>
      </c>
      <c r="N31" s="93">
        <f t="shared" si="16"/>
        <v>320.7817</v>
      </c>
      <c r="O31" s="244">
        <v>1.5</v>
      </c>
      <c r="P31" s="244">
        <f t="shared" si="5"/>
        <v>481.17255</v>
      </c>
      <c r="Q31" s="82">
        <f t="shared" si="21"/>
        <v>-31.172550000000001</v>
      </c>
      <c r="R31" s="218" t="str">
        <f t="shared" si="17"/>
        <v>Yes</v>
      </c>
      <c r="S31" s="559"/>
      <c r="T31" s="561"/>
      <c r="V31" s="304" t="s">
        <v>31</v>
      </c>
      <c r="W31" s="234">
        <v>260</v>
      </c>
      <c r="X31" s="90"/>
      <c r="Y31" s="20"/>
      <c r="Z31" s="17"/>
      <c r="AA31" s="336" t="s">
        <v>506</v>
      </c>
      <c r="AB31" s="338" t="s">
        <v>507</v>
      </c>
      <c r="AC31" s="338" t="s">
        <v>508</v>
      </c>
      <c r="AD31" s="338" t="s">
        <v>509</v>
      </c>
      <c r="AE31" s="338" t="s">
        <v>510</v>
      </c>
      <c r="AF31" s="339" t="s">
        <v>558</v>
      </c>
      <c r="AG31" s="312" t="s">
        <v>417</v>
      </c>
      <c r="AH31" s="334"/>
      <c r="AI31" s="60" t="s">
        <v>90</v>
      </c>
      <c r="AJ31" s="342">
        <f t="shared" si="18"/>
        <v>0</v>
      </c>
      <c r="AK31" s="342">
        <f t="shared" si="14"/>
        <v>0</v>
      </c>
      <c r="AL31" s="342">
        <f t="shared" si="14"/>
        <v>1</v>
      </c>
      <c r="AM31" s="342">
        <f t="shared" si="14"/>
        <v>2</v>
      </c>
      <c r="AN31" s="342">
        <f t="shared" si="14"/>
        <v>2</v>
      </c>
      <c r="AO31" s="60">
        <f t="shared" si="19"/>
        <v>5</v>
      </c>
    </row>
    <row r="32" spans="1:41" ht="14.25" customHeight="1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96">
        <v>1.5</v>
      </c>
      <c r="H32" s="183">
        <f t="shared" si="3"/>
        <v>416.36130000000003</v>
      </c>
      <c r="I32" s="95">
        <f t="shared" si="15"/>
        <v>222.42579999999998</v>
      </c>
      <c r="J32" s="85">
        <f t="shared" si="20"/>
        <v>83.272260000000003</v>
      </c>
      <c r="K32" s="94" t="s">
        <v>394</v>
      </c>
      <c r="L32" s="94">
        <v>922.03</v>
      </c>
      <c r="M32" s="291">
        <v>300</v>
      </c>
      <c r="N32" s="107">
        <f t="shared" si="16"/>
        <v>277.57420000000002</v>
      </c>
      <c r="O32" s="244">
        <v>1.5</v>
      </c>
      <c r="P32" s="244">
        <f t="shared" si="5"/>
        <v>416.36130000000003</v>
      </c>
      <c r="Q32" s="82">
        <f t="shared" si="21"/>
        <v>-116.36130000000003</v>
      </c>
      <c r="R32" s="201" t="str">
        <f t="shared" si="17"/>
        <v>Yes</v>
      </c>
      <c r="S32" s="558"/>
      <c r="T32" s="562"/>
      <c r="V32" s="163" t="s">
        <v>369</v>
      </c>
      <c r="W32" s="252">
        <f>SUM(W27:W31)</f>
        <v>1142.0899999999999</v>
      </c>
      <c r="X32" s="20"/>
      <c r="Y32" s="20"/>
      <c r="AA32" s="60" t="s">
        <v>84</v>
      </c>
      <c r="AB32" s="342">
        <v>0</v>
      </c>
      <c r="AC32" s="342">
        <f>8</f>
        <v>8</v>
      </c>
      <c r="AD32" s="412">
        <f>2+1</f>
        <v>3</v>
      </c>
      <c r="AE32" s="412">
        <f>2</f>
        <v>2</v>
      </c>
      <c r="AF32" s="342">
        <v>0</v>
      </c>
      <c r="AG32" s="343">
        <f>SUM(AB32:AF32)</f>
        <v>13</v>
      </c>
      <c r="AH32" s="334"/>
      <c r="AI32" s="60" t="s">
        <v>91</v>
      </c>
      <c r="AJ32" s="342">
        <f t="shared" si="18"/>
        <v>4</v>
      </c>
      <c r="AK32" s="342">
        <f t="shared" si="14"/>
        <v>17</v>
      </c>
      <c r="AL32" s="342">
        <f t="shared" si="14"/>
        <v>4</v>
      </c>
      <c r="AM32" s="342">
        <f t="shared" si="14"/>
        <v>2</v>
      </c>
      <c r="AN32" s="342">
        <f t="shared" si="14"/>
        <v>0</v>
      </c>
      <c r="AO32" s="60">
        <f t="shared" si="19"/>
        <v>27</v>
      </c>
    </row>
    <row r="33" spans="1:41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86">
        <v>1.5</v>
      </c>
      <c r="H33" s="183">
        <f t="shared" si="3"/>
        <v>890.08500000000004</v>
      </c>
      <c r="I33" s="85">
        <f t="shared" si="15"/>
        <v>606.61</v>
      </c>
      <c r="J33" s="85">
        <f t="shared" si="20"/>
        <v>74.173749999999998</v>
      </c>
      <c r="K33" s="84" t="s">
        <v>391</v>
      </c>
      <c r="L33" s="84">
        <v>778.62</v>
      </c>
      <c r="M33" s="84">
        <v>1200</v>
      </c>
      <c r="N33" s="83">
        <f t="shared" si="16"/>
        <v>593.39</v>
      </c>
      <c r="O33" s="244">
        <v>1.5</v>
      </c>
      <c r="P33" s="244">
        <f t="shared" si="5"/>
        <v>890.08500000000004</v>
      </c>
      <c r="Q33" s="82">
        <f t="shared" si="21"/>
        <v>309.91499999999996</v>
      </c>
      <c r="R33" s="201" t="str">
        <f t="shared" si="17"/>
        <v>No</v>
      </c>
      <c r="S33" s="233"/>
      <c r="T33" s="233"/>
      <c r="U33" s="246"/>
      <c r="V33" s="421" t="s">
        <v>365</v>
      </c>
      <c r="W33" s="421"/>
      <c r="X33" s="421"/>
      <c r="AA33" s="60" t="s">
        <v>85</v>
      </c>
      <c r="AB33" s="342">
        <v>0</v>
      </c>
      <c r="AC33" s="342">
        <f>5+3+3</f>
        <v>11</v>
      </c>
      <c r="AD33" s="342">
        <f>4+2</f>
        <v>6</v>
      </c>
      <c r="AE33" s="342">
        <v>0</v>
      </c>
      <c r="AF33" s="342">
        <f>2+2</f>
        <v>4</v>
      </c>
      <c r="AG33" s="60">
        <f t="shared" ref="AG33:AG43" si="22">SUM(AB33:AF33)</f>
        <v>21</v>
      </c>
      <c r="AH33" s="334"/>
      <c r="AI33" s="60" t="s">
        <v>92</v>
      </c>
      <c r="AJ33" s="342">
        <f t="shared" si="18"/>
        <v>1</v>
      </c>
      <c r="AK33" s="342">
        <f t="shared" si="14"/>
        <v>7</v>
      </c>
      <c r="AL33" s="342">
        <f t="shared" si="14"/>
        <v>13</v>
      </c>
      <c r="AM33" s="342">
        <f t="shared" si="14"/>
        <v>0</v>
      </c>
      <c r="AN33" s="342">
        <f t="shared" si="14"/>
        <v>0</v>
      </c>
      <c r="AO33" s="60">
        <f t="shared" si="19"/>
        <v>21</v>
      </c>
    </row>
    <row r="34" spans="1:41" ht="14.25" customHeight="1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10">
        <v>1.5</v>
      </c>
      <c r="H34" s="183">
        <f t="shared" si="3"/>
        <v>278.15129999999999</v>
      </c>
      <c r="I34" s="109">
        <f t="shared" si="15"/>
        <v>264.56579999999997</v>
      </c>
      <c r="J34" s="85">
        <f t="shared" si="20"/>
        <v>61.811399999999992</v>
      </c>
      <c r="K34" s="108" t="s">
        <v>385</v>
      </c>
      <c r="L34" s="108">
        <v>975.03499999999997</v>
      </c>
      <c r="M34" s="108">
        <v>450</v>
      </c>
      <c r="N34" s="107">
        <f t="shared" si="16"/>
        <v>185.4342</v>
      </c>
      <c r="O34" s="244">
        <v>1.5</v>
      </c>
      <c r="P34" s="244">
        <f t="shared" si="5"/>
        <v>278.15129999999999</v>
      </c>
      <c r="Q34" s="82">
        <f t="shared" si="21"/>
        <v>171.84870000000001</v>
      </c>
      <c r="R34" s="201" t="str">
        <f t="shared" si="17"/>
        <v>No</v>
      </c>
      <c r="S34" s="11"/>
      <c r="T34" s="11"/>
      <c r="U34" s="246"/>
      <c r="V34" s="421"/>
      <c r="W34" s="421"/>
      <c r="X34" s="421"/>
      <c r="AA34" s="60" t="s">
        <v>86</v>
      </c>
      <c r="AB34" s="342">
        <v>0</v>
      </c>
      <c r="AC34" s="342">
        <v>0</v>
      </c>
      <c r="AD34" s="340">
        <f>3+1</f>
        <v>4</v>
      </c>
      <c r="AE34" s="342">
        <v>0</v>
      </c>
      <c r="AF34" s="342">
        <f>2</f>
        <v>2</v>
      </c>
      <c r="AG34" s="60">
        <f t="shared" si="22"/>
        <v>6</v>
      </c>
      <c r="AH34" s="334"/>
      <c r="AI34" s="60" t="s">
        <v>93</v>
      </c>
      <c r="AJ34" s="342">
        <f t="shared" si="18"/>
        <v>2</v>
      </c>
      <c r="AK34" s="342">
        <f t="shared" si="14"/>
        <v>0</v>
      </c>
      <c r="AL34" s="342">
        <f t="shared" si="14"/>
        <v>4</v>
      </c>
      <c r="AM34" s="342">
        <f t="shared" si="14"/>
        <v>6</v>
      </c>
      <c r="AN34" s="342">
        <f t="shared" si="14"/>
        <v>0</v>
      </c>
      <c r="AO34" s="60">
        <f t="shared" si="19"/>
        <v>12</v>
      </c>
    </row>
    <row r="35" spans="1:41" ht="14.25" customHeight="1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96">
        <v>1.5</v>
      </c>
      <c r="H35" s="183">
        <f t="shared" si="3"/>
        <v>737.21355000000005</v>
      </c>
      <c r="I35" s="95">
        <f t="shared" si="15"/>
        <v>408.52429999999998</v>
      </c>
      <c r="J35" s="85">
        <f t="shared" si="20"/>
        <v>81.912616666666665</v>
      </c>
      <c r="K35" s="94" t="s">
        <v>381</v>
      </c>
      <c r="L35" s="94">
        <v>660.12</v>
      </c>
      <c r="M35" s="94">
        <v>900</v>
      </c>
      <c r="N35" s="93">
        <f t="shared" si="16"/>
        <v>491.47570000000002</v>
      </c>
      <c r="O35" s="244">
        <v>1.5</v>
      </c>
      <c r="P35" s="244">
        <f t="shared" si="5"/>
        <v>737.21355000000005</v>
      </c>
      <c r="Q35" s="82">
        <f t="shared" si="21"/>
        <v>162.78644999999995</v>
      </c>
      <c r="R35" s="201" t="str">
        <f t="shared" si="17"/>
        <v>No</v>
      </c>
      <c r="S35" s="11"/>
      <c r="T35" s="11"/>
      <c r="U35" s="246"/>
      <c r="V35" s="421"/>
      <c r="W35" s="421"/>
      <c r="X35" s="421"/>
      <c r="Y35" s="20"/>
      <c r="AA35" s="60" t="s">
        <v>87</v>
      </c>
      <c r="AB35" s="342">
        <v>0</v>
      </c>
      <c r="AC35" s="413">
        <f>8+6+6</f>
        <v>20</v>
      </c>
      <c r="AD35" s="342">
        <f>4+3+6+11+3</f>
        <v>27</v>
      </c>
      <c r="AE35" s="342">
        <f>2+6+7</f>
        <v>15</v>
      </c>
      <c r="AF35" s="342">
        <v>0</v>
      </c>
      <c r="AG35" s="60">
        <f t="shared" si="22"/>
        <v>62</v>
      </c>
      <c r="AH35" s="334"/>
      <c r="AI35" s="60" t="s">
        <v>94</v>
      </c>
      <c r="AJ35" s="342">
        <f t="shared" si="18"/>
        <v>5</v>
      </c>
      <c r="AK35" s="342">
        <f t="shared" si="14"/>
        <v>2</v>
      </c>
      <c r="AL35" s="342">
        <f t="shared" si="14"/>
        <v>5</v>
      </c>
      <c r="AM35" s="342">
        <f t="shared" si="14"/>
        <v>7</v>
      </c>
      <c r="AN35" s="342">
        <f t="shared" si="14"/>
        <v>0</v>
      </c>
      <c r="AO35" s="60">
        <f t="shared" si="19"/>
        <v>19</v>
      </c>
    </row>
    <row r="36" spans="1:41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86">
        <v>1.5</v>
      </c>
      <c r="H36" s="183">
        <f t="shared" si="3"/>
        <v>320.77244999999999</v>
      </c>
      <c r="I36" s="85">
        <f t="shared" si="15"/>
        <v>236.15170000000001</v>
      </c>
      <c r="J36" s="85">
        <f t="shared" si="20"/>
        <v>71.28276666666666</v>
      </c>
      <c r="K36" s="84" t="s">
        <v>377</v>
      </c>
      <c r="L36" s="84">
        <v>844.89</v>
      </c>
      <c r="M36" s="84">
        <v>450</v>
      </c>
      <c r="N36" s="83">
        <f t="shared" si="16"/>
        <v>213.84829999999999</v>
      </c>
      <c r="O36" s="244">
        <v>1.5</v>
      </c>
      <c r="P36" s="244">
        <f t="shared" si="5"/>
        <v>320.77244999999999</v>
      </c>
      <c r="Q36" s="82">
        <f t="shared" si="21"/>
        <v>129.22755000000001</v>
      </c>
      <c r="R36" s="201" t="str">
        <f t="shared" si="17"/>
        <v>No</v>
      </c>
      <c r="S36" s="11"/>
      <c r="T36" s="11"/>
      <c r="U36" s="246"/>
      <c r="AA36" s="60" t="s">
        <v>88</v>
      </c>
      <c r="AB36" s="342">
        <v>0</v>
      </c>
      <c r="AC36" s="342">
        <v>0</v>
      </c>
      <c r="AD36" s="342">
        <f>2+2+1+6+1+1</f>
        <v>13</v>
      </c>
      <c r="AE36" s="342">
        <f>1</f>
        <v>1</v>
      </c>
      <c r="AF36" s="342">
        <v>0</v>
      </c>
      <c r="AG36" s="60">
        <f t="shared" si="22"/>
        <v>14</v>
      </c>
      <c r="AH36" s="334"/>
      <c r="AI36" s="347" t="s">
        <v>505</v>
      </c>
      <c r="AJ36" s="342">
        <f t="shared" si="18"/>
        <v>0</v>
      </c>
      <c r="AK36" s="342">
        <f t="shared" si="14"/>
        <v>1</v>
      </c>
      <c r="AL36" s="342">
        <f t="shared" si="14"/>
        <v>3</v>
      </c>
      <c r="AM36" s="342">
        <f t="shared" si="14"/>
        <v>0</v>
      </c>
      <c r="AN36" s="342">
        <f t="shared" si="14"/>
        <v>0</v>
      </c>
      <c r="AO36" s="347">
        <f t="shared" si="19"/>
        <v>4</v>
      </c>
    </row>
    <row r="37" spans="1:41" ht="14.25" customHeight="1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96">
        <v>1.5</v>
      </c>
      <c r="H37" s="183">
        <f t="shared" si="3"/>
        <v>1726.992</v>
      </c>
      <c r="I37" s="95">
        <f t="shared" si="15"/>
        <v>1048.672</v>
      </c>
      <c r="J37" s="85">
        <f t="shared" si="20"/>
        <v>78.499636363636355</v>
      </c>
      <c r="K37" s="94" t="s">
        <v>374</v>
      </c>
      <c r="L37" s="94">
        <v>503.42500000000001</v>
      </c>
      <c r="M37" s="94">
        <v>2200</v>
      </c>
      <c r="N37" s="93">
        <f t="shared" si="16"/>
        <v>1151.328</v>
      </c>
      <c r="O37" s="244">
        <v>1.5</v>
      </c>
      <c r="P37" s="244">
        <f t="shared" si="5"/>
        <v>1726.992</v>
      </c>
      <c r="Q37" s="82">
        <f t="shared" si="21"/>
        <v>473.00800000000004</v>
      </c>
      <c r="R37" s="201" t="str">
        <f t="shared" si="17"/>
        <v>No</v>
      </c>
      <c r="S37" s="248"/>
      <c r="T37" s="248"/>
      <c r="U37" s="246"/>
      <c r="AA37" s="60" t="s">
        <v>89</v>
      </c>
      <c r="AB37" s="342">
        <v>0</v>
      </c>
      <c r="AC37" s="342">
        <f>5+6+2</f>
        <v>13</v>
      </c>
      <c r="AD37" s="342">
        <f>1</f>
        <v>1</v>
      </c>
      <c r="AE37" s="342">
        <f>1</f>
        <v>1</v>
      </c>
      <c r="AF37" s="342">
        <v>0</v>
      </c>
      <c r="AG37" s="60">
        <f t="shared" si="22"/>
        <v>15</v>
      </c>
      <c r="AH37" s="334"/>
      <c r="AI37" s="312" t="s">
        <v>515</v>
      </c>
      <c r="AJ37" s="349">
        <f t="shared" ref="AJ37:AO37" si="23">SUM(AJ25:AJ36)</f>
        <v>14</v>
      </c>
      <c r="AK37" s="349">
        <f t="shared" si="23"/>
        <v>80</v>
      </c>
      <c r="AL37" s="349">
        <f t="shared" si="23"/>
        <v>84</v>
      </c>
      <c r="AM37" s="349">
        <f t="shared" si="23"/>
        <v>36</v>
      </c>
      <c r="AN37" s="349">
        <f t="shared" si="23"/>
        <v>8</v>
      </c>
      <c r="AO37" s="350">
        <f t="shared" si="23"/>
        <v>222</v>
      </c>
    </row>
    <row r="38" spans="1:41" ht="13.5" thickBot="1">
      <c r="A38" s="114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86">
        <v>1.5</v>
      </c>
      <c r="H38" s="183">
        <f t="shared" si="3"/>
        <v>1169.28495</v>
      </c>
      <c r="I38" s="85">
        <f t="shared" si="15"/>
        <v>720.47670000000005</v>
      </c>
      <c r="J38" s="85">
        <f t="shared" si="20"/>
        <v>77.952330000000003</v>
      </c>
      <c r="K38" s="84" t="s">
        <v>371</v>
      </c>
      <c r="L38" s="84">
        <v>539.80499999999995</v>
      </c>
      <c r="M38" s="299">
        <v>900</v>
      </c>
      <c r="N38" s="83">
        <f t="shared" si="16"/>
        <v>779.52329999999995</v>
      </c>
      <c r="O38" s="244">
        <v>1.5</v>
      </c>
      <c r="P38" s="244">
        <f t="shared" si="5"/>
        <v>1169.28495</v>
      </c>
      <c r="Q38" s="82">
        <f t="shared" si="21"/>
        <v>-269.28494999999998</v>
      </c>
      <c r="R38" s="218" t="str">
        <f t="shared" si="17"/>
        <v>Yes</v>
      </c>
      <c r="S38" s="220" t="s">
        <v>351</v>
      </c>
      <c r="T38" s="219" t="s">
        <v>351</v>
      </c>
      <c r="AA38" s="60" t="s">
        <v>90</v>
      </c>
      <c r="AB38" s="342">
        <v>0</v>
      </c>
      <c r="AC38" s="340">
        <v>0</v>
      </c>
      <c r="AD38" s="340">
        <f>1</f>
        <v>1</v>
      </c>
      <c r="AE38" s="342">
        <f>2</f>
        <v>2</v>
      </c>
      <c r="AF38" s="342">
        <f>2</f>
        <v>2</v>
      </c>
      <c r="AG38" s="60">
        <f t="shared" si="22"/>
        <v>5</v>
      </c>
      <c r="AH38" s="334"/>
      <c r="AI38" s="312" t="s">
        <v>514</v>
      </c>
      <c r="AJ38" s="351">
        <f>PRODUCT(AJ37*AK15)</f>
        <v>210</v>
      </c>
      <c r="AK38" s="414">
        <f>PRODUCT(AK37*AK16)</f>
        <v>1309.5119999999999</v>
      </c>
      <c r="AL38" s="414">
        <f>PRODUCT(AL37*AK17)</f>
        <v>1406.7228</v>
      </c>
      <c r="AM38" s="414">
        <f>PRODUCT(AM37*AK18)</f>
        <v>607.91759999999999</v>
      </c>
      <c r="AN38" s="414">
        <f>PRODUCT(AN37*AK19)</f>
        <v>136</v>
      </c>
      <c r="AO38" s="415">
        <f>SUM(AJ38:AN38)</f>
        <v>3670.1523999999999</v>
      </c>
    </row>
    <row r="39" spans="1:41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86">
        <v>1.5</v>
      </c>
      <c r="H39" s="183">
        <f t="shared" si="3"/>
        <v>1329.2317499999999</v>
      </c>
      <c r="I39" s="85">
        <f t="shared" si="15"/>
        <v>863.84550000000002</v>
      </c>
      <c r="J39" s="85">
        <f t="shared" si="20"/>
        <v>75.956099999999992</v>
      </c>
      <c r="K39" s="84" t="s">
        <v>366</v>
      </c>
      <c r="L39" s="84">
        <v>585.61500000000001</v>
      </c>
      <c r="M39" s="299">
        <v>1050</v>
      </c>
      <c r="N39" s="83">
        <f t="shared" si="16"/>
        <v>886.15449999999998</v>
      </c>
      <c r="O39" s="244">
        <v>1.5</v>
      </c>
      <c r="P39" s="244">
        <f t="shared" si="5"/>
        <v>1329.2317499999999</v>
      </c>
      <c r="Q39" s="82">
        <f t="shared" si="21"/>
        <v>-279.23174999999992</v>
      </c>
      <c r="R39" s="218" t="str">
        <f t="shared" si="17"/>
        <v>Yes</v>
      </c>
      <c r="S39" s="217" t="s">
        <v>479</v>
      </c>
      <c r="T39" s="216" t="s">
        <v>480</v>
      </c>
      <c r="AA39" s="60" t="s">
        <v>91</v>
      </c>
      <c r="AB39" s="342">
        <v>0</v>
      </c>
      <c r="AC39" s="340">
        <f>3+6+2+3+2+1</f>
        <v>17</v>
      </c>
      <c r="AD39" s="342">
        <f>1+2</f>
        <v>3</v>
      </c>
      <c r="AE39" s="342">
        <f>2</f>
        <v>2</v>
      </c>
      <c r="AF39" s="342">
        <v>0</v>
      </c>
      <c r="AG39" s="60">
        <f t="shared" si="22"/>
        <v>22</v>
      </c>
      <c r="AI39" s="312" t="s">
        <v>559</v>
      </c>
      <c r="AJ39" s="351">
        <f>AJ37*AJ15</f>
        <v>1400</v>
      </c>
      <c r="AK39" s="351">
        <f>AK37*AJ16</f>
        <v>12000</v>
      </c>
      <c r="AL39" s="351">
        <f>AL37*AJ17</f>
        <v>16800</v>
      </c>
      <c r="AM39" s="351">
        <f>AM37*AJ18</f>
        <v>9000</v>
      </c>
      <c r="AN39" s="351">
        <f>AN37*AJ19</f>
        <v>2400</v>
      </c>
      <c r="AO39" s="312">
        <f>SUM(AJ39:AN39)</f>
        <v>41600</v>
      </c>
    </row>
    <row r="40" spans="1:41" ht="14.25" customHeight="1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74">
        <v>1.5</v>
      </c>
      <c r="H40" s="183">
        <f t="shared" si="3"/>
        <v>350.71049999999997</v>
      </c>
      <c r="I40" s="73">
        <f t="shared" si="15"/>
        <v>366.19299999999998</v>
      </c>
      <c r="J40" s="85">
        <f t="shared" si="20"/>
        <v>58.45174999999999</v>
      </c>
      <c r="K40" s="72" t="s">
        <v>328</v>
      </c>
      <c r="L40" s="72">
        <v>673.16499999999996</v>
      </c>
      <c r="M40" s="300">
        <v>450</v>
      </c>
      <c r="N40" s="120">
        <f t="shared" si="16"/>
        <v>233.80699999999999</v>
      </c>
      <c r="O40" s="244">
        <v>1.5</v>
      </c>
      <c r="P40" s="244">
        <f t="shared" si="5"/>
        <v>350.71049999999997</v>
      </c>
      <c r="Q40" s="82">
        <f t="shared" si="21"/>
        <v>99.289500000000032</v>
      </c>
      <c r="R40" s="201" t="str">
        <f t="shared" si="17"/>
        <v>No</v>
      </c>
      <c r="S40" s="215" t="s">
        <v>481</v>
      </c>
      <c r="T40" s="214" t="s">
        <v>482</v>
      </c>
      <c r="AA40" s="60" t="s">
        <v>92</v>
      </c>
      <c r="AB40" s="342">
        <v>0</v>
      </c>
      <c r="AC40" s="340">
        <f>3+3</f>
        <v>6</v>
      </c>
      <c r="AD40" s="342">
        <f>11+2</f>
        <v>13</v>
      </c>
      <c r="AE40" s="342">
        <v>0</v>
      </c>
      <c r="AF40" s="342">
        <v>0</v>
      </c>
      <c r="AG40" s="60">
        <f t="shared" si="22"/>
        <v>19</v>
      </c>
      <c r="AK40" s="320"/>
      <c r="AL40" s="320"/>
    </row>
    <row r="41" spans="1:41" ht="13.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96">
        <v>1.5</v>
      </c>
      <c r="H41" s="183">
        <f t="shared" si="3"/>
        <v>624.22170000000006</v>
      </c>
      <c r="I41" s="95">
        <f t="shared" si="15"/>
        <v>333.85219999999998</v>
      </c>
      <c r="J41" s="85">
        <f t="shared" si="20"/>
        <v>83.229560000000006</v>
      </c>
      <c r="K41" s="94" t="s">
        <v>361</v>
      </c>
      <c r="L41" s="94">
        <v>692.19500000000005</v>
      </c>
      <c r="M41" s="94">
        <v>750</v>
      </c>
      <c r="N41" s="93">
        <f t="shared" si="16"/>
        <v>416.14780000000002</v>
      </c>
      <c r="O41" s="244">
        <v>1.5</v>
      </c>
      <c r="P41" s="244">
        <f t="shared" si="5"/>
        <v>624.22170000000006</v>
      </c>
      <c r="Q41" s="82">
        <f t="shared" si="21"/>
        <v>125.77829999999994</v>
      </c>
      <c r="R41" s="201" t="str">
        <f t="shared" si="17"/>
        <v>No</v>
      </c>
      <c r="S41" s="233"/>
      <c r="T41" s="233"/>
      <c r="AA41" s="60" t="s">
        <v>93</v>
      </c>
      <c r="AB41" s="342">
        <v>0</v>
      </c>
      <c r="AC41" s="340">
        <v>0</v>
      </c>
      <c r="AD41" s="342">
        <f>2+1</f>
        <v>3</v>
      </c>
      <c r="AE41" s="342">
        <f>6</f>
        <v>6</v>
      </c>
      <c r="AF41" s="342">
        <v>0</v>
      </c>
      <c r="AG41" s="60">
        <f t="shared" si="22"/>
        <v>9</v>
      </c>
      <c r="AK41" s="320"/>
      <c r="AL41" s="320"/>
    </row>
    <row r="42" spans="1:41" ht="14.25" customHeight="1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10">
        <v>1.5</v>
      </c>
      <c r="H42" s="183">
        <f t="shared" si="3"/>
        <v>637.00244999999995</v>
      </c>
      <c r="I42" s="109">
        <f t="shared" si="15"/>
        <v>475.33170000000001</v>
      </c>
      <c r="J42" s="85">
        <f t="shared" si="20"/>
        <v>70.778049999999993</v>
      </c>
      <c r="K42" s="108" t="s">
        <v>359</v>
      </c>
      <c r="L42" s="108">
        <v>1033.6600000000001</v>
      </c>
      <c r="M42" s="108">
        <v>900</v>
      </c>
      <c r="N42" s="107">
        <f t="shared" si="16"/>
        <v>424.66829999999999</v>
      </c>
      <c r="O42" s="244">
        <v>1.5</v>
      </c>
      <c r="P42" s="244">
        <f t="shared" si="5"/>
        <v>637.00244999999995</v>
      </c>
      <c r="Q42" s="82">
        <f t="shared" si="21"/>
        <v>262.99755000000005</v>
      </c>
      <c r="R42" s="201" t="str">
        <f t="shared" si="17"/>
        <v>No</v>
      </c>
      <c r="S42" s="11"/>
      <c r="T42" s="11"/>
      <c r="U42" s="246"/>
      <c r="AA42" s="60" t="s">
        <v>94</v>
      </c>
      <c r="AB42" s="342">
        <v>0</v>
      </c>
      <c r="AC42" s="413">
        <f>2</f>
        <v>2</v>
      </c>
      <c r="AD42" s="342">
        <f>2+1</f>
        <v>3</v>
      </c>
      <c r="AE42" s="342">
        <f>7</f>
        <v>7</v>
      </c>
      <c r="AF42" s="342">
        <v>0</v>
      </c>
      <c r="AG42" s="60">
        <f t="shared" si="22"/>
        <v>12</v>
      </c>
      <c r="AK42" s="320"/>
      <c r="AL42" s="320"/>
    </row>
    <row r="43" spans="1:41" ht="14.25" customHeight="1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96">
        <v>1.5</v>
      </c>
      <c r="H43" s="183">
        <f t="shared" si="3"/>
        <v>120.505005</v>
      </c>
      <c r="I43" s="95">
        <f t="shared" si="15"/>
        <v>169.66333</v>
      </c>
      <c r="J43" s="85">
        <f t="shared" si="20"/>
        <v>48.202002</v>
      </c>
      <c r="K43" s="94" t="s">
        <v>357</v>
      </c>
      <c r="L43" s="94">
        <v>811.21</v>
      </c>
      <c r="M43" s="291">
        <v>150</v>
      </c>
      <c r="N43" s="107">
        <f t="shared" si="16"/>
        <v>80.336669999999998</v>
      </c>
      <c r="O43" s="244">
        <v>1.5</v>
      </c>
      <c r="P43" s="244">
        <f t="shared" si="5"/>
        <v>120.505005</v>
      </c>
      <c r="Q43" s="82">
        <f t="shared" si="21"/>
        <v>29.494995000000003</v>
      </c>
      <c r="R43" s="201" t="str">
        <f t="shared" si="17"/>
        <v>No</v>
      </c>
      <c r="S43" s="11"/>
      <c r="T43" s="11"/>
      <c r="U43" s="246"/>
      <c r="AA43" s="347" t="s">
        <v>505</v>
      </c>
      <c r="AB43" s="342">
        <v>0</v>
      </c>
      <c r="AC43" s="348">
        <f>1</f>
        <v>1</v>
      </c>
      <c r="AD43" s="348">
        <f>3</f>
        <v>3</v>
      </c>
      <c r="AE43" s="348">
        <v>0</v>
      </c>
      <c r="AF43" s="342">
        <v>0</v>
      </c>
      <c r="AG43" s="347">
        <f t="shared" si="22"/>
        <v>4</v>
      </c>
      <c r="AK43" s="320"/>
      <c r="AL43" s="320"/>
    </row>
    <row r="44" spans="1:41" ht="13.5" thickBot="1">
      <c r="A44" s="114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86">
        <v>1.5</v>
      </c>
      <c r="H44" s="183">
        <f t="shared" si="3"/>
        <v>100.86274499999999</v>
      </c>
      <c r="I44" s="85">
        <f t="shared" si="15"/>
        <v>132.75817000000001</v>
      </c>
      <c r="J44" s="85">
        <f t="shared" si="20"/>
        <v>50.431372499999995</v>
      </c>
      <c r="K44" s="84" t="s">
        <v>354</v>
      </c>
      <c r="L44" s="84">
        <v>607.995</v>
      </c>
      <c r="M44" s="299">
        <v>150</v>
      </c>
      <c r="N44" s="83">
        <f t="shared" si="16"/>
        <v>67.241829999999993</v>
      </c>
      <c r="O44" s="244">
        <v>1.5</v>
      </c>
      <c r="P44" s="244">
        <f t="shared" si="5"/>
        <v>100.86274499999999</v>
      </c>
      <c r="Q44" s="82">
        <f t="shared" si="21"/>
        <v>49.13725500000001</v>
      </c>
      <c r="R44" s="201" t="str">
        <f t="shared" si="17"/>
        <v>No</v>
      </c>
      <c r="S44" s="11"/>
      <c r="T44" s="11"/>
      <c r="U44" s="246"/>
      <c r="AA44" s="312" t="s">
        <v>515</v>
      </c>
      <c r="AB44" s="349">
        <f t="shared" ref="AB44:AG44" si="24">SUM(AB32:AB43)</f>
        <v>0</v>
      </c>
      <c r="AC44" s="349">
        <f t="shared" si="24"/>
        <v>78</v>
      </c>
      <c r="AD44" s="349">
        <f t="shared" si="24"/>
        <v>80</v>
      </c>
      <c r="AE44" s="349">
        <f t="shared" si="24"/>
        <v>36</v>
      </c>
      <c r="AF44" s="349">
        <f t="shared" si="24"/>
        <v>8</v>
      </c>
      <c r="AG44" s="350">
        <f t="shared" si="24"/>
        <v>202</v>
      </c>
      <c r="AK44" s="320"/>
      <c r="AL44" s="320"/>
    </row>
    <row r="45" spans="1:41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86">
        <v>1.5</v>
      </c>
      <c r="H45" s="183">
        <f t="shared" si="3"/>
        <v>263.87879999999996</v>
      </c>
      <c r="I45" s="85">
        <f t="shared" si="15"/>
        <v>274.08080000000001</v>
      </c>
      <c r="J45" s="85">
        <f t="shared" si="20"/>
        <v>58.639733333333325</v>
      </c>
      <c r="K45" s="84" t="s">
        <v>352</v>
      </c>
      <c r="L45" s="84">
        <v>1051.23</v>
      </c>
      <c r="M45" s="84">
        <v>450</v>
      </c>
      <c r="N45" s="83">
        <f t="shared" si="16"/>
        <v>175.91919999999999</v>
      </c>
      <c r="O45" s="244">
        <v>1.5</v>
      </c>
      <c r="P45" s="244">
        <f t="shared" si="5"/>
        <v>263.87879999999996</v>
      </c>
      <c r="Q45" s="82">
        <f t="shared" si="21"/>
        <v>186.12120000000004</v>
      </c>
      <c r="R45" s="201" t="str">
        <f t="shared" si="17"/>
        <v>No</v>
      </c>
      <c r="S45" s="11"/>
      <c r="T45" s="11"/>
      <c r="U45" s="246"/>
      <c r="AA45" s="312" t="s">
        <v>514</v>
      </c>
      <c r="AB45" s="414">
        <f>PRODUCT(AB44*AK15)</f>
        <v>0</v>
      </c>
      <c r="AC45" s="414">
        <f>PRODUCT(AC44*AK16)</f>
        <v>1276.7742000000001</v>
      </c>
      <c r="AD45" s="414">
        <f>PRODUCT(AD44*AK17)</f>
        <v>1339.7360000000001</v>
      </c>
      <c r="AE45" s="414">
        <f>PRODUCT(AE44*AK18)</f>
        <v>607.91759999999999</v>
      </c>
      <c r="AF45" s="414">
        <f>PRODUCT(AF44*AK19)</f>
        <v>136</v>
      </c>
      <c r="AG45" s="415">
        <f>SUM(AB45:AF45)</f>
        <v>3360.4278000000004</v>
      </c>
      <c r="AK45" s="320"/>
      <c r="AL45" s="320"/>
    </row>
    <row r="46" spans="1:41" ht="14.25" customHeight="1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10">
        <v>1.5</v>
      </c>
      <c r="H46" s="183">
        <f t="shared" si="3"/>
        <v>172.67144999999999</v>
      </c>
      <c r="I46" s="109">
        <f t="shared" si="15"/>
        <v>284.88569999999999</v>
      </c>
      <c r="J46" s="85">
        <f t="shared" si="20"/>
        <v>43.167862499999998</v>
      </c>
      <c r="K46" s="108" t="s">
        <v>348</v>
      </c>
      <c r="L46" s="108">
        <v>838.745</v>
      </c>
      <c r="M46" s="298">
        <v>300</v>
      </c>
      <c r="N46" s="107">
        <f t="shared" si="16"/>
        <v>115.1143</v>
      </c>
      <c r="O46" s="244">
        <v>1.5</v>
      </c>
      <c r="P46" s="244">
        <f t="shared" si="5"/>
        <v>172.67144999999999</v>
      </c>
      <c r="Q46" s="82">
        <f t="shared" si="21"/>
        <v>127.32855000000001</v>
      </c>
      <c r="R46" s="201" t="str">
        <f t="shared" si="17"/>
        <v>No</v>
      </c>
      <c r="S46" s="11"/>
      <c r="T46" s="11"/>
      <c r="U46" s="246"/>
      <c r="AA46" s="312" t="s">
        <v>559</v>
      </c>
      <c r="AB46" s="351">
        <f>AB44*AJ15</f>
        <v>0</v>
      </c>
      <c r="AC46" s="351">
        <f>AC44*AJ16</f>
        <v>11700</v>
      </c>
      <c r="AD46" s="351">
        <f>AD44*AJ17</f>
        <v>16000</v>
      </c>
      <c r="AE46" s="351">
        <f>AE44*AJ18</f>
        <v>9000</v>
      </c>
      <c r="AF46" s="351">
        <f>AF44*AJ19</f>
        <v>2400</v>
      </c>
      <c r="AG46" s="312">
        <f>SUM(AB46:AF46)</f>
        <v>39100</v>
      </c>
      <c r="AK46" s="320"/>
      <c r="AL46" s="320"/>
    </row>
    <row r="47" spans="1:41" ht="14.25" customHeight="1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10">
        <v>1.5</v>
      </c>
      <c r="H47" s="183">
        <f t="shared" si="3"/>
        <v>131.35275000000001</v>
      </c>
      <c r="I47" s="109">
        <f t="shared" si="15"/>
        <v>212.4315</v>
      </c>
      <c r="J47" s="85">
        <f t="shared" si="20"/>
        <v>43.78425</v>
      </c>
      <c r="K47" s="108" t="s">
        <v>346</v>
      </c>
      <c r="L47" s="108">
        <v>792.93499999999995</v>
      </c>
      <c r="M47" s="108">
        <v>300</v>
      </c>
      <c r="N47" s="107">
        <f t="shared" si="16"/>
        <v>87.5685</v>
      </c>
      <c r="O47" s="244">
        <v>1.5</v>
      </c>
      <c r="P47" s="244">
        <f t="shared" si="5"/>
        <v>131.35275000000001</v>
      </c>
      <c r="Q47" s="82">
        <f t="shared" si="21"/>
        <v>168.64724999999999</v>
      </c>
      <c r="R47" s="201" t="str">
        <f t="shared" si="17"/>
        <v>No</v>
      </c>
      <c r="S47" s="11"/>
      <c r="T47" s="11"/>
      <c r="U47" s="246"/>
      <c r="AC47" s="320"/>
      <c r="AD47" s="320"/>
      <c r="AE47" s="320"/>
    </row>
    <row r="48" spans="1:41" ht="14.25" customHeight="1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96">
        <v>1.5</v>
      </c>
      <c r="H48" s="183">
        <f t="shared" si="3"/>
        <v>69.246000000000009</v>
      </c>
      <c r="I48" s="95">
        <f t="shared" si="15"/>
        <v>103.836</v>
      </c>
      <c r="J48" s="85">
        <f t="shared" si="20"/>
        <v>46.164000000000001</v>
      </c>
      <c r="K48" s="94" t="s">
        <v>345</v>
      </c>
      <c r="L48" s="94">
        <v>934.80499999999995</v>
      </c>
      <c r="M48" s="94">
        <v>150</v>
      </c>
      <c r="N48" s="93">
        <f t="shared" si="16"/>
        <v>46.164000000000001</v>
      </c>
      <c r="O48" s="244">
        <v>1.5</v>
      </c>
      <c r="P48" s="244">
        <f t="shared" si="5"/>
        <v>69.246000000000009</v>
      </c>
      <c r="Q48" s="82">
        <f t="shared" si="21"/>
        <v>80.753999999999991</v>
      </c>
      <c r="R48" s="201" t="str">
        <f t="shared" si="17"/>
        <v>No</v>
      </c>
      <c r="S48" s="11"/>
      <c r="T48" s="11"/>
      <c r="U48" s="246"/>
      <c r="AC48" s="320"/>
      <c r="AD48" s="320"/>
      <c r="AE48" s="320"/>
    </row>
    <row r="49" spans="1:31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86">
        <v>1.5</v>
      </c>
      <c r="H49" s="183">
        <f t="shared" si="3"/>
        <v>263.87879999999996</v>
      </c>
      <c r="I49" s="85">
        <f t="shared" si="15"/>
        <v>274.08080000000001</v>
      </c>
      <c r="J49" s="85">
        <f t="shared" si="20"/>
        <v>58.639733333333325</v>
      </c>
      <c r="K49" s="84" t="s">
        <v>341</v>
      </c>
      <c r="L49" s="84">
        <v>992.44500000000005</v>
      </c>
      <c r="M49" s="84">
        <v>450</v>
      </c>
      <c r="N49" s="83">
        <f t="shared" si="16"/>
        <v>175.91919999999999</v>
      </c>
      <c r="O49" s="244">
        <v>1.5</v>
      </c>
      <c r="P49" s="244">
        <f t="shared" si="5"/>
        <v>263.87879999999996</v>
      </c>
      <c r="Q49" s="82">
        <f t="shared" si="21"/>
        <v>186.12120000000004</v>
      </c>
      <c r="R49" s="201" t="str">
        <f t="shared" si="17"/>
        <v>No</v>
      </c>
      <c r="S49" s="11"/>
      <c r="T49" s="11"/>
      <c r="U49" s="246"/>
      <c r="AC49" s="320"/>
      <c r="AD49" s="320"/>
      <c r="AE49" s="320"/>
    </row>
    <row r="50" spans="1:31" ht="14.25" customHeight="1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96">
        <v>1.5</v>
      </c>
      <c r="H50" s="183">
        <f t="shared" si="3"/>
        <v>69.246000000000009</v>
      </c>
      <c r="I50" s="95">
        <f t="shared" si="15"/>
        <v>103.836</v>
      </c>
      <c r="J50" s="85">
        <f t="shared" si="20"/>
        <v>46.164000000000001</v>
      </c>
      <c r="K50" s="94" t="s">
        <v>337</v>
      </c>
      <c r="L50" s="94">
        <v>817.04499999999996</v>
      </c>
      <c r="M50" s="94">
        <v>150</v>
      </c>
      <c r="N50" s="93">
        <f t="shared" si="16"/>
        <v>46.164000000000001</v>
      </c>
      <c r="O50" s="244">
        <v>1.5</v>
      </c>
      <c r="P50" s="244">
        <f t="shared" si="5"/>
        <v>69.246000000000009</v>
      </c>
      <c r="Q50" s="82">
        <f t="shared" si="21"/>
        <v>80.753999999999991</v>
      </c>
      <c r="R50" s="201" t="str">
        <f t="shared" si="17"/>
        <v>No</v>
      </c>
      <c r="S50" s="11"/>
      <c r="T50" s="11"/>
      <c r="U50" s="246"/>
      <c r="AC50" s="320"/>
      <c r="AD50" s="320"/>
      <c r="AE50" s="320"/>
    </row>
    <row r="51" spans="1:31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86">
        <v>1.5</v>
      </c>
      <c r="H51" s="183">
        <f t="shared" si="3"/>
        <v>69.246000000000009</v>
      </c>
      <c r="I51" s="85">
        <f t="shared" si="15"/>
        <v>103.836</v>
      </c>
      <c r="J51" s="85">
        <f t="shared" si="20"/>
        <v>46.164000000000001</v>
      </c>
      <c r="K51" s="84" t="s">
        <v>337</v>
      </c>
      <c r="L51" s="84">
        <v>817.04499999999996</v>
      </c>
      <c r="M51" s="84">
        <v>150</v>
      </c>
      <c r="N51" s="83">
        <f t="shared" si="16"/>
        <v>46.164000000000001</v>
      </c>
      <c r="O51" s="244">
        <v>1.5</v>
      </c>
      <c r="P51" s="244">
        <f t="shared" si="5"/>
        <v>69.246000000000009</v>
      </c>
      <c r="Q51" s="82">
        <f t="shared" si="21"/>
        <v>80.753999999999991</v>
      </c>
      <c r="R51" s="201" t="str">
        <f t="shared" si="17"/>
        <v>No</v>
      </c>
      <c r="S51" s="11"/>
      <c r="T51" s="11"/>
      <c r="U51" s="246"/>
      <c r="AC51" s="320"/>
      <c r="AD51" s="320"/>
      <c r="AE51" s="320"/>
    </row>
    <row r="52" spans="1:31" ht="14.25" customHeight="1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96">
        <v>1.5</v>
      </c>
      <c r="H52" s="183">
        <f t="shared" si="3"/>
        <v>205.31295</v>
      </c>
      <c r="I52" s="95">
        <f t="shared" si="15"/>
        <v>263.12469999999996</v>
      </c>
      <c r="J52" s="85">
        <f t="shared" si="20"/>
        <v>51.328237499999993</v>
      </c>
      <c r="K52" s="94" t="s">
        <v>325</v>
      </c>
      <c r="L52" s="94">
        <v>518.48</v>
      </c>
      <c r="M52" s="94">
        <v>400</v>
      </c>
      <c r="N52" s="93">
        <f t="shared" si="16"/>
        <v>136.87530000000001</v>
      </c>
      <c r="O52" s="244">
        <v>1.5</v>
      </c>
      <c r="P52" s="244">
        <f t="shared" si="5"/>
        <v>205.31295</v>
      </c>
      <c r="Q52" s="82">
        <f t="shared" si="21"/>
        <v>194.68705</v>
      </c>
      <c r="R52" s="201" t="str">
        <f t="shared" si="17"/>
        <v>No</v>
      </c>
      <c r="S52" s="11"/>
      <c r="T52" s="11"/>
      <c r="U52" s="246"/>
      <c r="AC52" s="320"/>
      <c r="AD52" s="320"/>
      <c r="AE52" s="320"/>
    </row>
    <row r="53" spans="1:31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86">
        <v>1.5</v>
      </c>
      <c r="H53" s="183">
        <f t="shared" si="3"/>
        <v>131.35275000000001</v>
      </c>
      <c r="I53" s="85">
        <f t="shared" si="15"/>
        <v>212.4315</v>
      </c>
      <c r="J53" s="85">
        <f t="shared" si="20"/>
        <v>43.78425</v>
      </c>
      <c r="K53" s="84" t="s">
        <v>334</v>
      </c>
      <c r="L53" s="84">
        <v>792.93499999999995</v>
      </c>
      <c r="M53" s="84">
        <v>300</v>
      </c>
      <c r="N53" s="83">
        <f t="shared" si="16"/>
        <v>87.5685</v>
      </c>
      <c r="O53" s="244">
        <v>1.5</v>
      </c>
      <c r="P53" s="244">
        <f t="shared" si="5"/>
        <v>131.35275000000001</v>
      </c>
      <c r="Q53" s="82">
        <f t="shared" si="21"/>
        <v>168.64724999999999</v>
      </c>
      <c r="R53" s="201" t="str">
        <f t="shared" si="17"/>
        <v>No</v>
      </c>
      <c r="S53" s="11"/>
      <c r="T53" s="11"/>
      <c r="U53" s="246"/>
      <c r="AC53" s="320"/>
      <c r="AD53" s="320"/>
      <c r="AE53" s="320"/>
    </row>
    <row r="54" spans="1:31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96">
        <v>1.5</v>
      </c>
      <c r="H54" s="183">
        <f t="shared" si="3"/>
        <v>49.947495000000004</v>
      </c>
      <c r="I54" s="95">
        <f t="shared" si="15"/>
        <v>166.70167000000001</v>
      </c>
      <c r="J54" s="85">
        <f t="shared" si="20"/>
        <v>24.973747500000002</v>
      </c>
      <c r="K54" s="94" t="s">
        <v>331</v>
      </c>
      <c r="L54" s="94">
        <v>524.75</v>
      </c>
      <c r="M54" s="94">
        <v>200</v>
      </c>
      <c r="N54" s="93">
        <f t="shared" si="16"/>
        <v>33.29833</v>
      </c>
      <c r="O54" s="244">
        <v>1.5</v>
      </c>
      <c r="P54" s="244">
        <f t="shared" si="5"/>
        <v>49.947495000000004</v>
      </c>
      <c r="Q54" s="82">
        <f t="shared" si="21"/>
        <v>150.052505</v>
      </c>
      <c r="R54" s="201" t="str">
        <f t="shared" si="17"/>
        <v>No</v>
      </c>
      <c r="S54" s="11"/>
      <c r="T54" s="11"/>
      <c r="U54" s="246"/>
      <c r="AC54" s="320"/>
      <c r="AD54" s="320"/>
      <c r="AE54" s="320"/>
    </row>
    <row r="55" spans="1:31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86">
        <v>1.5</v>
      </c>
      <c r="H55" s="183">
        <f t="shared" si="3"/>
        <v>350.71049999999997</v>
      </c>
      <c r="I55" s="85">
        <f t="shared" si="15"/>
        <v>366.19299999999998</v>
      </c>
      <c r="J55" s="85">
        <f t="shared" si="20"/>
        <v>58.45174999999999</v>
      </c>
      <c r="K55" s="84" t="s">
        <v>328</v>
      </c>
      <c r="L55" s="84">
        <v>673.16499999999996</v>
      </c>
      <c r="M55" s="299">
        <v>450</v>
      </c>
      <c r="N55" s="83">
        <f t="shared" si="16"/>
        <v>233.80699999999999</v>
      </c>
      <c r="O55" s="244">
        <v>1.5</v>
      </c>
      <c r="P55" s="244">
        <f t="shared" si="5"/>
        <v>350.71049999999997</v>
      </c>
      <c r="Q55" s="82">
        <f t="shared" si="21"/>
        <v>99.289500000000032</v>
      </c>
      <c r="R55" s="201" t="str">
        <f t="shared" si="17"/>
        <v>No</v>
      </c>
      <c r="S55" s="11"/>
      <c r="T55" s="11"/>
      <c r="U55" s="246"/>
      <c r="AC55" s="320"/>
      <c r="AD55" s="320"/>
      <c r="AE55" s="320"/>
    </row>
    <row r="56" spans="1:31" ht="14.25" customHeight="1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74">
        <v>1.5</v>
      </c>
      <c r="H56" s="183">
        <f t="shared" si="3"/>
        <v>205.31295</v>
      </c>
      <c r="I56" s="73">
        <f t="shared" si="15"/>
        <v>263.12469999999996</v>
      </c>
      <c r="J56" s="85">
        <f t="shared" si="20"/>
        <v>51.328237499999993</v>
      </c>
      <c r="K56" s="72" t="s">
        <v>325</v>
      </c>
      <c r="L56" s="72">
        <v>518.48</v>
      </c>
      <c r="M56" s="72">
        <v>400</v>
      </c>
      <c r="N56" s="71">
        <f t="shared" si="16"/>
        <v>136.87530000000001</v>
      </c>
      <c r="O56" s="244">
        <v>1.5</v>
      </c>
      <c r="P56" s="244">
        <f t="shared" si="5"/>
        <v>205.31295</v>
      </c>
      <c r="Q56" s="82">
        <f t="shared" si="21"/>
        <v>194.68705</v>
      </c>
      <c r="R56" s="247" t="str">
        <f t="shared" si="17"/>
        <v>No</v>
      </c>
      <c r="S56" s="11"/>
      <c r="T56" s="11"/>
      <c r="U56" s="246"/>
      <c r="AC56" s="197"/>
      <c r="AD56" s="320"/>
      <c r="AE56" s="320"/>
    </row>
    <row r="57" spans="1:31">
      <c r="A57" s="20"/>
      <c r="B57" s="64"/>
      <c r="C57" s="20"/>
      <c r="D57" s="20" t="s">
        <v>369</v>
      </c>
      <c r="E57" s="20">
        <f>SUM(E3:E56)</f>
        <v>30100</v>
      </c>
      <c r="F57" s="64"/>
      <c r="G57" s="64"/>
      <c r="H57" s="64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1"/>
      <c r="T57" s="11"/>
      <c r="AC57" s="320"/>
      <c r="AD57" s="320"/>
      <c r="AE57" s="320"/>
    </row>
    <row r="58" spans="1:31">
      <c r="A58" s="20"/>
      <c r="B58" s="64"/>
      <c r="C58" s="20"/>
      <c r="D58" s="20"/>
      <c r="E58" s="20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1"/>
      <c r="T58" s="11"/>
    </row>
    <row r="59" spans="1:31">
      <c r="A59" s="20"/>
      <c r="B59" s="64"/>
      <c r="C59" s="20"/>
      <c r="D59" s="20"/>
      <c r="E59" s="20"/>
      <c r="F59" s="64"/>
      <c r="G59" s="64"/>
      <c r="H59" s="64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1"/>
      <c r="T59" s="20"/>
    </row>
    <row r="60" spans="1:31">
      <c r="A60" s="20"/>
      <c r="B60" s="64"/>
      <c r="C60" s="20"/>
      <c r="D60" s="20"/>
      <c r="E60" s="20"/>
      <c r="F60" s="64"/>
      <c r="G60" s="64"/>
      <c r="H60" s="64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1"/>
      <c r="T60" s="20"/>
    </row>
    <row r="61" spans="1:31">
      <c r="A61" s="20"/>
      <c r="B61" s="64"/>
      <c r="C61" s="20"/>
      <c r="D61" s="20"/>
      <c r="E61" s="20"/>
      <c r="F61" s="64"/>
      <c r="G61" s="64"/>
      <c r="H61" s="64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1"/>
      <c r="T61" s="20"/>
    </row>
    <row r="62" spans="1:31">
      <c r="A62" s="20"/>
      <c r="B62" s="65"/>
      <c r="C62" s="20"/>
      <c r="D62" s="20"/>
      <c r="E62" s="20"/>
      <c r="F62" s="64"/>
      <c r="G62" s="64"/>
      <c r="H62" s="64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1"/>
      <c r="T62" s="20"/>
    </row>
    <row r="63" spans="1:31">
      <c r="A63" s="20"/>
      <c r="B63" s="65"/>
      <c r="C63" s="20"/>
      <c r="D63" s="20"/>
      <c r="E63" s="20"/>
      <c r="F63" s="64"/>
      <c r="G63" s="64"/>
      <c r="H63" s="64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1"/>
      <c r="T63" s="20"/>
    </row>
    <row r="64" spans="1:31">
      <c r="A64" s="20"/>
      <c r="B64" s="65"/>
      <c r="C64" s="20"/>
      <c r="D64" s="20"/>
      <c r="E64" s="20"/>
      <c r="F64" s="64"/>
      <c r="G64" s="64"/>
      <c r="H64" s="64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1"/>
      <c r="T64" s="20"/>
    </row>
    <row r="65" spans="1:23">
      <c r="A65" s="20"/>
      <c r="B65" s="64"/>
      <c r="C65" s="20"/>
      <c r="D65" s="20"/>
      <c r="M65" s="20"/>
      <c r="N65" s="20"/>
      <c r="O65" s="20"/>
      <c r="P65" s="20"/>
      <c r="R65" s="20"/>
      <c r="S65" s="11"/>
      <c r="T65" s="20"/>
    </row>
    <row r="66" spans="1:23">
      <c r="A66" s="20"/>
      <c r="B66" s="64"/>
      <c r="C66" s="20"/>
      <c r="D66" s="20"/>
      <c r="M66" s="20"/>
      <c r="N66" s="20"/>
      <c r="O66" s="20"/>
      <c r="P66" s="20"/>
      <c r="R66" s="20"/>
      <c r="S66" s="11"/>
      <c r="T66" s="20"/>
    </row>
    <row r="67" spans="1:23">
      <c r="A67" s="20"/>
      <c r="B67" s="64"/>
      <c r="C67" s="20"/>
      <c r="D67" s="20"/>
      <c r="M67" s="20"/>
      <c r="N67" s="20"/>
      <c r="O67" s="20"/>
      <c r="P67" s="20"/>
      <c r="R67" s="20"/>
      <c r="S67" s="11"/>
      <c r="T67" s="20"/>
    </row>
    <row r="68" spans="1:23">
      <c r="A68" s="20"/>
      <c r="B68" s="64"/>
      <c r="C68" s="20"/>
      <c r="D68" s="20"/>
      <c r="E68" s="20"/>
      <c r="F68" s="64"/>
      <c r="G68" s="64"/>
      <c r="H68" s="64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1"/>
      <c r="T68" s="20"/>
    </row>
    <row r="69" spans="1:23">
      <c r="B69" s="64"/>
      <c r="C69" s="20"/>
      <c r="D69" s="20"/>
      <c r="E69" s="20"/>
      <c r="F69" s="64"/>
      <c r="G69" s="64"/>
      <c r="H69" s="64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1"/>
      <c r="T69" s="20"/>
      <c r="V69" s="58"/>
      <c r="W69" s="58"/>
    </row>
    <row r="70" spans="1:23">
      <c r="B70" s="64"/>
      <c r="C70" s="20"/>
      <c r="D70" s="20"/>
      <c r="E70" s="20"/>
      <c r="F70" s="64"/>
      <c r="G70" s="64"/>
      <c r="H70" s="64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1"/>
      <c r="T70" s="20"/>
      <c r="V70" s="58"/>
      <c r="W70" s="58"/>
    </row>
    <row r="71" spans="1:23">
      <c r="B71" s="64"/>
      <c r="C71" s="20"/>
      <c r="D71" s="20"/>
      <c r="E71" s="20"/>
      <c r="F71" s="64"/>
      <c r="G71" s="64"/>
      <c r="H71" s="64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1"/>
      <c r="T71" s="20"/>
      <c r="V71" s="58"/>
      <c r="W71" s="58"/>
    </row>
    <row r="72" spans="1:23">
      <c r="B72" s="64"/>
      <c r="C72" s="20"/>
      <c r="D72" s="20"/>
      <c r="E72" s="20"/>
      <c r="F72" s="64"/>
      <c r="G72" s="64"/>
      <c r="H72" s="64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11"/>
      <c r="T72" s="20"/>
      <c r="V72" s="58"/>
      <c r="W72" s="58"/>
    </row>
    <row r="73" spans="1:23">
      <c r="B73" s="64"/>
      <c r="C73" s="20"/>
      <c r="D73" s="20"/>
      <c r="E73" s="20"/>
      <c r="F73" s="64"/>
      <c r="G73" s="64"/>
      <c r="H73" s="64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1"/>
      <c r="T73" s="20"/>
      <c r="V73" s="58"/>
    </row>
    <row r="74" spans="1:23">
      <c r="B74" s="64"/>
      <c r="C74" s="20"/>
      <c r="D74" s="20"/>
      <c r="E74" s="20"/>
      <c r="F74" s="64"/>
      <c r="G74" s="64"/>
      <c r="H74" s="64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1"/>
      <c r="T74" s="20"/>
      <c r="V74" s="58"/>
    </row>
    <row r="75" spans="1:23">
      <c r="B75" s="64"/>
      <c r="C75" s="20"/>
      <c r="D75" s="20"/>
      <c r="E75" s="20"/>
      <c r="F75" s="64"/>
      <c r="G75" s="64"/>
      <c r="H75" s="64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11"/>
      <c r="T75" s="20"/>
    </row>
    <row r="76" spans="1:23">
      <c r="B76" s="64"/>
      <c r="C76" s="20"/>
      <c r="D76" s="20"/>
      <c r="E76" s="20"/>
      <c r="F76" s="64"/>
      <c r="G76" s="64"/>
      <c r="H76" s="64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1"/>
      <c r="T76" s="20"/>
    </row>
    <row r="77" spans="1:23">
      <c r="B77" s="64"/>
      <c r="C77" s="20"/>
      <c r="D77" s="20"/>
      <c r="E77" s="20"/>
      <c r="F77" s="64"/>
      <c r="G77" s="64"/>
      <c r="H77" s="64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1"/>
      <c r="T77" s="20"/>
    </row>
    <row r="78" spans="1:23">
      <c r="B78" s="64"/>
      <c r="C78" s="20"/>
      <c r="D78" s="20"/>
      <c r="E78" s="20"/>
      <c r="F78" s="64"/>
      <c r="G78" s="64"/>
      <c r="H78" s="64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1"/>
      <c r="T78" s="20"/>
    </row>
    <row r="79" spans="1:23">
      <c r="B79" s="64"/>
      <c r="C79" s="20"/>
      <c r="D79" s="20"/>
      <c r="E79" s="20"/>
      <c r="F79" s="64"/>
      <c r="G79" s="64"/>
      <c r="H79" s="64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1"/>
      <c r="T79" s="20"/>
    </row>
    <row r="80" spans="1:23">
      <c r="B80" s="64"/>
      <c r="C80" s="20"/>
      <c r="D80" s="20"/>
      <c r="E80" s="20"/>
      <c r="F80" s="64"/>
      <c r="G80" s="64"/>
      <c r="H80" s="64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1"/>
      <c r="T80" s="20"/>
    </row>
    <row r="81" spans="2:20">
      <c r="B81" s="64"/>
      <c r="C81" s="20"/>
      <c r="D81" s="20"/>
      <c r="E81" s="20"/>
      <c r="F81" s="64"/>
      <c r="G81" s="64"/>
      <c r="H81" s="64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11"/>
      <c r="T81" s="20"/>
    </row>
    <row r="82" spans="2:20">
      <c r="B82" s="64"/>
      <c r="C82" s="20"/>
      <c r="D82" s="20"/>
      <c r="E82" s="20"/>
      <c r="F82" s="64"/>
      <c r="G82" s="64"/>
      <c r="H82" s="64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11"/>
      <c r="T82" s="20"/>
    </row>
    <row r="83" spans="2:20">
      <c r="B83" s="64"/>
      <c r="C83" s="20"/>
      <c r="D83" s="20"/>
      <c r="E83" s="20"/>
      <c r="F83" s="64"/>
      <c r="G83" s="64"/>
      <c r="H83" s="64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11"/>
      <c r="T83" s="20"/>
    </row>
    <row r="84" spans="2:20">
      <c r="B84" s="64"/>
      <c r="C84" s="20"/>
      <c r="D84" s="20"/>
      <c r="E84" s="20"/>
      <c r="F84" s="64"/>
      <c r="G84" s="64"/>
      <c r="H84" s="64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1"/>
      <c r="T84" s="20"/>
    </row>
    <row r="85" spans="2:20">
      <c r="B85" s="64"/>
      <c r="C85" s="20"/>
      <c r="D85" s="20"/>
      <c r="E85" s="20"/>
      <c r="F85" s="64"/>
      <c r="G85" s="64"/>
      <c r="H85" s="64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11"/>
      <c r="T85" s="20"/>
    </row>
    <row r="86" spans="2:20">
      <c r="B86" s="64"/>
      <c r="C86" s="20"/>
      <c r="D86" s="20"/>
      <c r="E86" s="20"/>
      <c r="F86" s="64"/>
      <c r="G86" s="64"/>
      <c r="H86" s="64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11"/>
      <c r="T86" s="20"/>
    </row>
    <row r="87" spans="2:20">
      <c r="B87" s="64"/>
      <c r="C87" s="20"/>
      <c r="D87" s="20"/>
      <c r="E87" s="20"/>
      <c r="F87" s="64"/>
      <c r="G87" s="64"/>
      <c r="H87" s="64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11"/>
      <c r="T87" s="20"/>
    </row>
    <row r="88" spans="2:20">
      <c r="B88" s="64"/>
      <c r="C88" s="20"/>
      <c r="D88" s="20"/>
      <c r="E88" s="20"/>
      <c r="F88" s="64"/>
      <c r="G88" s="64"/>
      <c r="H88" s="64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1"/>
      <c r="T88" s="20"/>
    </row>
    <row r="89" spans="2:20">
      <c r="B89" s="64"/>
      <c r="C89" s="20"/>
      <c r="D89" s="20"/>
      <c r="E89" s="20"/>
      <c r="F89" s="64"/>
      <c r="G89" s="64"/>
      <c r="H89" s="64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11"/>
      <c r="T89" s="20"/>
    </row>
    <row r="90" spans="2:20">
      <c r="B90" s="64"/>
      <c r="C90" s="20"/>
      <c r="D90" s="20"/>
      <c r="E90" s="20"/>
      <c r="F90" s="64"/>
      <c r="G90" s="64"/>
      <c r="H90" s="64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1"/>
      <c r="T90" s="20"/>
    </row>
    <row r="91" spans="2:20">
      <c r="B91" s="64"/>
      <c r="C91" s="20"/>
      <c r="D91" s="20"/>
      <c r="E91" s="20"/>
      <c r="F91" s="64"/>
      <c r="G91" s="64"/>
      <c r="H91" s="64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1"/>
      <c r="T91" s="20"/>
    </row>
    <row r="92" spans="2:20">
      <c r="B92" s="64"/>
      <c r="C92" s="20"/>
      <c r="D92" s="20"/>
      <c r="E92" s="20"/>
      <c r="F92" s="64"/>
      <c r="G92" s="64"/>
      <c r="H92" s="64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1"/>
      <c r="T92" s="20"/>
    </row>
    <row r="93" spans="2:20">
      <c r="B93" s="64"/>
      <c r="C93" s="20"/>
      <c r="D93" s="20"/>
      <c r="E93" s="20"/>
      <c r="F93" s="64"/>
      <c r="G93" s="64"/>
      <c r="H93" s="64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1"/>
      <c r="T93" s="20"/>
    </row>
    <row r="94" spans="2:20">
      <c r="B94" s="64"/>
      <c r="C94" s="20"/>
      <c r="D94" s="20"/>
      <c r="E94" s="20"/>
      <c r="F94" s="64"/>
      <c r="G94" s="64"/>
      <c r="H94" s="64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1"/>
      <c r="T94" s="20"/>
    </row>
    <row r="95" spans="2:20">
      <c r="B95" s="64"/>
      <c r="C95" s="20"/>
      <c r="D95" s="20"/>
      <c r="E95" s="20"/>
      <c r="F95" s="64"/>
      <c r="G95" s="64"/>
      <c r="H95" s="64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1"/>
      <c r="T95" s="20"/>
    </row>
    <row r="96" spans="2:20">
      <c r="B96" s="64"/>
      <c r="C96" s="20"/>
      <c r="D96" s="20"/>
      <c r="E96" s="20"/>
      <c r="F96" s="64"/>
      <c r="G96" s="64"/>
      <c r="H96" s="64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1"/>
      <c r="T96" s="20"/>
    </row>
    <row r="97" spans="2:20">
      <c r="B97" s="64"/>
      <c r="C97" s="20"/>
      <c r="D97" s="20"/>
      <c r="E97" s="20"/>
      <c r="F97" s="64"/>
      <c r="G97" s="64"/>
      <c r="H97" s="64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11"/>
      <c r="T97" s="20"/>
    </row>
    <row r="98" spans="2:20">
      <c r="B98" s="64"/>
      <c r="C98" s="20"/>
      <c r="D98" s="20"/>
      <c r="E98" s="20"/>
      <c r="F98" s="64"/>
      <c r="G98" s="64"/>
      <c r="H98" s="64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11"/>
      <c r="T98" s="20"/>
    </row>
    <row r="99" spans="2:20">
      <c r="B99" s="64"/>
      <c r="C99" s="20"/>
      <c r="D99" s="20"/>
      <c r="E99" s="20"/>
      <c r="F99" s="64"/>
      <c r="G99" s="64"/>
      <c r="H99" s="64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11"/>
      <c r="T99" s="20"/>
    </row>
    <row r="100" spans="2:20">
      <c r="B100" s="64"/>
      <c r="C100" s="20"/>
      <c r="D100" s="20"/>
      <c r="E100" s="20"/>
      <c r="F100" s="64"/>
      <c r="G100" s="64"/>
      <c r="H100" s="64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11"/>
      <c r="T100" s="20"/>
    </row>
    <row r="101" spans="2:20">
      <c r="B101" s="64"/>
      <c r="C101" s="20"/>
      <c r="D101" s="20"/>
      <c r="E101" s="20"/>
      <c r="F101" s="64"/>
      <c r="G101" s="64"/>
      <c r="H101" s="64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11"/>
      <c r="T101" s="20"/>
    </row>
    <row r="102" spans="2:20">
      <c r="B102" s="64"/>
      <c r="C102" s="20"/>
      <c r="D102" s="20"/>
      <c r="E102" s="20"/>
      <c r="F102" s="64"/>
      <c r="G102" s="64"/>
      <c r="H102" s="64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11"/>
      <c r="T102" s="20"/>
    </row>
    <row r="103" spans="2:20">
      <c r="B103" s="64"/>
      <c r="C103" s="20"/>
      <c r="D103" s="20"/>
      <c r="E103" s="20"/>
      <c r="F103" s="64"/>
      <c r="G103" s="64"/>
      <c r="H103" s="64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11"/>
      <c r="T103" s="20"/>
    </row>
    <row r="104" spans="2:20">
      <c r="B104" s="64"/>
      <c r="C104" s="20"/>
      <c r="D104" s="20"/>
      <c r="E104" s="20"/>
      <c r="F104" s="64"/>
      <c r="G104" s="64"/>
      <c r="H104" s="64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11"/>
      <c r="T104" s="20"/>
    </row>
    <row r="105" spans="2:20">
      <c r="B105" s="64"/>
      <c r="C105" s="20"/>
      <c r="D105" s="20"/>
      <c r="E105" s="20"/>
      <c r="F105" s="64"/>
      <c r="G105" s="64"/>
      <c r="H105" s="64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11"/>
      <c r="T105" s="20"/>
    </row>
    <row r="106" spans="2:20">
      <c r="B106" s="64"/>
      <c r="C106" s="20"/>
      <c r="D106" s="20"/>
      <c r="E106" s="20"/>
      <c r="F106" s="64"/>
      <c r="G106" s="64"/>
      <c r="H106" s="64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11"/>
      <c r="T106" s="20"/>
    </row>
    <row r="107" spans="2:20">
      <c r="B107" s="64"/>
      <c r="C107" s="20"/>
      <c r="D107" s="20"/>
      <c r="E107" s="20"/>
      <c r="F107" s="64"/>
      <c r="G107" s="64"/>
      <c r="H107" s="64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11"/>
      <c r="T107" s="20"/>
    </row>
    <row r="108" spans="2:20">
      <c r="B108" s="64"/>
      <c r="C108" s="20"/>
      <c r="D108" s="20"/>
      <c r="E108" s="20"/>
      <c r="F108" s="64"/>
      <c r="G108" s="64"/>
      <c r="H108" s="64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11"/>
      <c r="T108" s="20"/>
    </row>
    <row r="109" spans="2:20">
      <c r="B109" s="64"/>
      <c r="C109" s="20"/>
      <c r="D109" s="20"/>
      <c r="E109" s="20"/>
      <c r="F109" s="64"/>
      <c r="G109" s="64"/>
      <c r="H109" s="64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11"/>
      <c r="T109" s="20"/>
    </row>
    <row r="110" spans="2:20">
      <c r="B110" s="64"/>
      <c r="C110" s="20"/>
      <c r="D110" s="20"/>
      <c r="E110" s="20"/>
      <c r="F110" s="64"/>
      <c r="G110" s="64"/>
      <c r="H110" s="64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11"/>
      <c r="T110" s="20"/>
    </row>
    <row r="111" spans="2:20">
      <c r="B111" s="64"/>
      <c r="C111" s="20"/>
      <c r="D111" s="20"/>
      <c r="E111" s="20"/>
      <c r="F111" s="64"/>
      <c r="G111" s="64"/>
      <c r="H111" s="64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11"/>
      <c r="T111" s="20"/>
    </row>
    <row r="112" spans="2:20">
      <c r="B112" s="64"/>
      <c r="C112" s="20"/>
      <c r="D112" s="20"/>
      <c r="E112" s="20"/>
      <c r="F112" s="64"/>
      <c r="G112" s="64"/>
      <c r="H112" s="64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11"/>
      <c r="T112" s="20"/>
    </row>
    <row r="113" spans="1:20">
      <c r="B113" s="64"/>
      <c r="C113" s="20"/>
      <c r="D113" s="20"/>
      <c r="E113" s="20"/>
      <c r="F113" s="64"/>
      <c r="G113" s="64"/>
      <c r="H113" s="64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11"/>
      <c r="T113" s="20"/>
    </row>
    <row r="114" spans="1:20">
      <c r="B114" s="64"/>
      <c r="C114" s="20"/>
      <c r="D114" s="20"/>
      <c r="E114" s="20"/>
      <c r="F114" s="64"/>
      <c r="G114" s="64"/>
      <c r="H114" s="64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11"/>
      <c r="T114" s="20"/>
    </row>
    <row r="115" spans="1:20">
      <c r="B115" s="64"/>
      <c r="C115" s="20"/>
      <c r="D115" s="20"/>
      <c r="E115" s="20"/>
      <c r="F115" s="64"/>
      <c r="G115" s="64"/>
      <c r="H115" s="64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11"/>
      <c r="T115" s="20"/>
    </row>
    <row r="116" spans="1:20">
      <c r="B116" s="64"/>
      <c r="C116" s="20"/>
      <c r="D116" s="20"/>
      <c r="E116" s="20"/>
      <c r="F116" s="64"/>
      <c r="G116" s="64"/>
      <c r="H116" s="64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11"/>
      <c r="T116" s="20"/>
    </row>
    <row r="117" spans="1:20">
      <c r="B117" s="64"/>
      <c r="C117" s="20"/>
      <c r="D117" s="20"/>
      <c r="E117" s="20"/>
      <c r="F117" s="64"/>
      <c r="G117" s="64"/>
      <c r="H117" s="64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11"/>
      <c r="T117" s="20"/>
    </row>
    <row r="118" spans="1:20">
      <c r="B118" s="64"/>
      <c r="C118" s="20"/>
      <c r="D118" s="20"/>
      <c r="E118" s="20"/>
      <c r="F118" s="64"/>
      <c r="G118" s="64"/>
      <c r="H118" s="64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11"/>
      <c r="T118" s="20"/>
    </row>
    <row r="119" spans="1:20">
      <c r="B119" s="64"/>
      <c r="C119" s="20"/>
      <c r="D119" s="20"/>
      <c r="E119" s="20"/>
      <c r="F119" s="64"/>
      <c r="G119" s="64"/>
      <c r="H119" s="64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11"/>
      <c r="T119" s="20"/>
    </row>
    <row r="120" spans="1:20">
      <c r="B120" s="64"/>
      <c r="C120" s="20"/>
      <c r="D120" s="20"/>
      <c r="E120" s="20"/>
      <c r="F120" s="64"/>
      <c r="G120" s="64"/>
      <c r="H120" s="64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1"/>
      <c r="T120" s="20"/>
    </row>
    <row r="121" spans="1:20">
      <c r="B121" s="64"/>
      <c r="C121" s="20"/>
      <c r="D121" s="20"/>
      <c r="E121" s="20"/>
      <c r="F121" s="64"/>
      <c r="G121" s="64"/>
      <c r="H121" s="64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11"/>
      <c r="T121" s="20"/>
    </row>
    <row r="122" spans="1:20">
      <c r="B122" s="64"/>
      <c r="C122" s="20"/>
      <c r="D122" s="20"/>
      <c r="E122" s="20"/>
      <c r="F122" s="64"/>
      <c r="G122" s="64"/>
      <c r="H122" s="64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11"/>
      <c r="T122" s="20"/>
    </row>
    <row r="123" spans="1:20">
      <c r="B123" s="64"/>
      <c r="C123" s="20"/>
      <c r="D123" s="20"/>
      <c r="E123" s="20"/>
      <c r="F123" s="64"/>
      <c r="G123" s="64"/>
      <c r="H123" s="64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1"/>
      <c r="T123" s="20"/>
    </row>
    <row r="124" spans="1:20">
      <c r="A124" s="20"/>
      <c r="B124" s="64"/>
      <c r="C124" s="20"/>
      <c r="D124" s="20"/>
      <c r="E124" s="20"/>
      <c r="F124" s="64"/>
      <c r="G124" s="64"/>
      <c r="H124" s="64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11"/>
      <c r="T124" s="20"/>
    </row>
    <row r="125" spans="1:20">
      <c r="A125" s="20"/>
      <c r="B125" s="64"/>
      <c r="C125" s="20"/>
      <c r="D125" s="20"/>
      <c r="E125" s="20"/>
      <c r="F125" s="64"/>
      <c r="G125" s="64"/>
      <c r="H125" s="64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11"/>
      <c r="T125" s="20"/>
    </row>
    <row r="126" spans="1:20">
      <c r="A126" s="20"/>
      <c r="B126" s="64"/>
      <c r="C126" s="20"/>
      <c r="D126" s="20"/>
      <c r="E126" s="20"/>
      <c r="F126" s="64"/>
      <c r="G126" s="64"/>
      <c r="H126" s="64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11"/>
      <c r="T126" s="20"/>
    </row>
    <row r="127" spans="1:20">
      <c r="A127" s="20"/>
      <c r="B127" s="64"/>
      <c r="C127" s="20"/>
      <c r="D127" s="20"/>
      <c r="E127" s="20"/>
      <c r="F127" s="64"/>
      <c r="G127" s="64"/>
      <c r="H127" s="64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11"/>
      <c r="T127" s="20"/>
    </row>
    <row r="128" spans="1:20">
      <c r="A128" s="20"/>
      <c r="B128" s="64"/>
      <c r="C128" s="20"/>
      <c r="D128" s="20"/>
      <c r="E128" s="20"/>
      <c r="F128" s="64"/>
      <c r="G128" s="64"/>
      <c r="H128" s="64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11"/>
      <c r="T128" s="20"/>
    </row>
    <row r="129" spans="1:20">
      <c r="A129" s="20"/>
      <c r="B129" s="64"/>
      <c r="C129" s="20"/>
      <c r="D129" s="20"/>
      <c r="E129" s="20"/>
      <c r="F129" s="64"/>
      <c r="G129" s="64"/>
      <c r="H129" s="64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11"/>
      <c r="T129" s="20"/>
    </row>
    <row r="130" spans="1:20">
      <c r="A130" s="20"/>
      <c r="B130" s="64"/>
      <c r="C130" s="20"/>
      <c r="D130" s="20"/>
      <c r="E130" s="20"/>
      <c r="F130" s="64"/>
      <c r="G130" s="64"/>
      <c r="H130" s="64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11"/>
      <c r="T130" s="20"/>
    </row>
    <row r="131" spans="1:20">
      <c r="A131" s="20"/>
      <c r="B131" s="64"/>
      <c r="C131" s="20"/>
      <c r="D131" s="20"/>
      <c r="E131" s="20"/>
      <c r="F131" s="64"/>
      <c r="G131" s="64"/>
      <c r="H131" s="64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11"/>
      <c r="T131" s="20"/>
    </row>
    <row r="132" spans="1:20">
      <c r="A132" s="20"/>
      <c r="B132" s="64"/>
      <c r="C132" s="20"/>
      <c r="D132" s="20"/>
      <c r="E132" s="20"/>
      <c r="F132" s="64"/>
      <c r="G132" s="64"/>
      <c r="H132" s="64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11"/>
      <c r="T132" s="20"/>
    </row>
    <row r="133" spans="1:20">
      <c r="A133" s="20"/>
      <c r="B133" s="64"/>
      <c r="C133" s="20"/>
      <c r="D133" s="20"/>
      <c r="E133" s="20"/>
      <c r="F133" s="64"/>
      <c r="G133" s="64"/>
      <c r="H133" s="64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11"/>
      <c r="T133" s="20"/>
    </row>
    <row r="134" spans="1:20">
      <c r="A134" s="20"/>
      <c r="B134" s="64"/>
      <c r="C134" s="20"/>
      <c r="D134" s="20"/>
      <c r="E134" s="20"/>
      <c r="F134" s="64"/>
      <c r="G134" s="64"/>
      <c r="H134" s="64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11"/>
      <c r="T134" s="20"/>
    </row>
    <row r="135" spans="1:20">
      <c r="A135" s="20"/>
      <c r="B135" s="64"/>
      <c r="C135" s="20"/>
      <c r="D135" s="20"/>
      <c r="E135" s="20"/>
      <c r="F135" s="64"/>
      <c r="G135" s="64"/>
      <c r="H135" s="64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11"/>
      <c r="T135" s="20"/>
    </row>
    <row r="136" spans="1:20">
      <c r="A136" s="20"/>
      <c r="B136" s="64"/>
      <c r="C136" s="20"/>
      <c r="D136" s="20"/>
      <c r="E136" s="20"/>
      <c r="F136" s="64"/>
      <c r="G136" s="64"/>
      <c r="H136" s="64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11"/>
      <c r="T136" s="20"/>
    </row>
    <row r="137" spans="1:20">
      <c r="A137" s="20"/>
      <c r="B137" s="64"/>
      <c r="C137" s="20"/>
      <c r="D137" s="20"/>
      <c r="E137" s="20"/>
      <c r="F137" s="64"/>
      <c r="G137" s="64"/>
      <c r="H137" s="64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11"/>
      <c r="T137" s="20"/>
    </row>
    <row r="138" spans="1:20">
      <c r="A138" s="20"/>
      <c r="B138" s="64"/>
      <c r="C138" s="20"/>
      <c r="D138" s="20"/>
      <c r="E138" s="20"/>
      <c r="F138" s="64"/>
      <c r="G138" s="64"/>
      <c r="H138" s="64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11"/>
      <c r="T138" s="20"/>
    </row>
    <row r="139" spans="1:20">
      <c r="A139" s="20"/>
      <c r="B139" s="64"/>
      <c r="C139" s="20"/>
      <c r="D139" s="20"/>
      <c r="E139" s="20"/>
      <c r="F139" s="64"/>
      <c r="G139" s="64"/>
      <c r="H139" s="64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11"/>
      <c r="T139" s="20"/>
    </row>
    <row r="140" spans="1:20">
      <c r="A140" s="20"/>
      <c r="B140" s="64"/>
      <c r="C140" s="20"/>
      <c r="D140" s="20"/>
      <c r="E140" s="20"/>
      <c r="F140" s="64"/>
      <c r="G140" s="64"/>
      <c r="H140" s="64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11"/>
      <c r="T140" s="20"/>
    </row>
    <row r="141" spans="1:20">
      <c r="A141" s="20"/>
      <c r="B141" s="64"/>
      <c r="C141" s="20"/>
      <c r="D141" s="20"/>
      <c r="E141" s="20"/>
      <c r="F141" s="64"/>
      <c r="G141" s="64"/>
      <c r="H141" s="64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11"/>
      <c r="T141" s="20"/>
    </row>
    <row r="142" spans="1:20">
      <c r="A142" s="20"/>
      <c r="B142" s="64"/>
      <c r="C142" s="20"/>
      <c r="D142" s="20"/>
      <c r="E142" s="20"/>
      <c r="F142" s="64"/>
      <c r="G142" s="64"/>
      <c r="H142" s="64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11"/>
      <c r="T142" s="20"/>
    </row>
    <row r="143" spans="1:20">
      <c r="A143" s="20"/>
      <c r="B143" s="64"/>
      <c r="C143" s="20"/>
      <c r="D143" s="20"/>
      <c r="E143" s="20"/>
      <c r="F143" s="64"/>
      <c r="G143" s="64"/>
      <c r="H143" s="64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11"/>
      <c r="T143" s="20"/>
    </row>
    <row r="144" spans="1:20">
      <c r="A144" s="20"/>
      <c r="B144" s="64"/>
      <c r="C144" s="20"/>
      <c r="D144" s="20"/>
      <c r="E144" s="20"/>
      <c r="F144" s="64"/>
      <c r="G144" s="64"/>
      <c r="H144" s="64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11"/>
      <c r="T144" s="20"/>
    </row>
    <row r="145" spans="1:20">
      <c r="A145" s="20"/>
      <c r="B145" s="64"/>
      <c r="C145" s="20"/>
      <c r="D145" s="20"/>
      <c r="E145" s="20"/>
      <c r="F145" s="64"/>
      <c r="G145" s="64"/>
      <c r="H145" s="64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11"/>
      <c r="T145" s="20"/>
    </row>
    <row r="146" spans="1:20">
      <c r="A146" s="20"/>
      <c r="B146" s="64"/>
      <c r="C146" s="20"/>
      <c r="D146" s="20"/>
      <c r="E146" s="20"/>
      <c r="F146" s="64"/>
      <c r="G146" s="64"/>
      <c r="H146" s="64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11"/>
      <c r="T146" s="20"/>
    </row>
    <row r="147" spans="1:20">
      <c r="A147" s="20"/>
      <c r="B147" s="64"/>
      <c r="C147" s="20"/>
      <c r="D147" s="20"/>
      <c r="E147" s="20"/>
      <c r="F147" s="64"/>
      <c r="G147" s="64"/>
      <c r="H147" s="64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11"/>
      <c r="T147" s="20"/>
    </row>
    <row r="148" spans="1:20">
      <c r="A148" s="20"/>
      <c r="B148" s="64"/>
      <c r="C148" s="20"/>
      <c r="D148" s="20"/>
      <c r="E148" s="20"/>
      <c r="F148" s="64"/>
      <c r="G148" s="64"/>
      <c r="H148" s="64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11"/>
      <c r="T148" s="20"/>
    </row>
    <row r="149" spans="1:20">
      <c r="A149" s="20"/>
      <c r="B149" s="64"/>
      <c r="C149" s="20"/>
      <c r="D149" s="20"/>
      <c r="E149" s="20"/>
      <c r="F149" s="64"/>
      <c r="G149" s="64"/>
      <c r="H149" s="64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11"/>
      <c r="T149" s="20"/>
    </row>
    <row r="150" spans="1:20">
      <c r="A150" s="20"/>
      <c r="B150" s="64"/>
      <c r="C150" s="20"/>
      <c r="D150" s="20"/>
      <c r="E150" s="20"/>
      <c r="F150" s="64"/>
      <c r="G150" s="64"/>
      <c r="H150" s="64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11"/>
      <c r="T150" s="20"/>
    </row>
    <row r="151" spans="1:20">
      <c r="A151" s="20"/>
      <c r="B151" s="64"/>
      <c r="C151" s="20"/>
      <c r="D151" s="20"/>
      <c r="E151" s="20"/>
      <c r="F151" s="64"/>
      <c r="G151" s="64"/>
      <c r="H151" s="64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11"/>
      <c r="T151" s="20"/>
    </row>
    <row r="152" spans="1:20">
      <c r="A152" s="20"/>
      <c r="B152" s="64"/>
      <c r="C152" s="20"/>
      <c r="D152" s="20"/>
      <c r="E152" s="20"/>
      <c r="F152" s="64"/>
      <c r="G152" s="64"/>
      <c r="H152" s="64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11"/>
      <c r="T152" s="20"/>
    </row>
    <row r="153" spans="1:20">
      <c r="A153" s="20"/>
      <c r="B153" s="64"/>
      <c r="C153" s="20"/>
      <c r="D153" s="20"/>
      <c r="E153" s="20"/>
      <c r="F153" s="64"/>
      <c r="G153" s="64"/>
      <c r="H153" s="64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11"/>
      <c r="T153" s="20"/>
    </row>
    <row r="154" spans="1:20">
      <c r="A154" s="20"/>
      <c r="B154" s="64"/>
      <c r="C154" s="20"/>
      <c r="D154" s="20"/>
      <c r="E154" s="20"/>
      <c r="F154" s="64"/>
      <c r="G154" s="64"/>
      <c r="H154" s="64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11"/>
      <c r="T154" s="20"/>
    </row>
    <row r="155" spans="1:20">
      <c r="A155" s="20"/>
      <c r="B155" s="64"/>
      <c r="C155" s="20"/>
      <c r="D155" s="20"/>
      <c r="E155" s="20"/>
      <c r="F155" s="64"/>
      <c r="G155" s="64"/>
      <c r="H155" s="64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11"/>
      <c r="T155" s="20"/>
    </row>
    <row r="156" spans="1:20">
      <c r="A156" s="20"/>
      <c r="B156" s="64"/>
      <c r="C156" s="20"/>
      <c r="D156" s="20"/>
      <c r="E156" s="20"/>
      <c r="F156" s="64"/>
      <c r="G156" s="64"/>
      <c r="H156" s="64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11"/>
      <c r="T156" s="20"/>
    </row>
    <row r="157" spans="1:20">
      <c r="A157" s="20"/>
      <c r="B157" s="64"/>
      <c r="C157" s="20"/>
      <c r="D157" s="20"/>
      <c r="E157" s="20"/>
      <c r="F157" s="64"/>
      <c r="G157" s="64"/>
      <c r="H157" s="64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11"/>
      <c r="T157" s="20"/>
    </row>
    <row r="158" spans="1:20">
      <c r="A158" s="20"/>
      <c r="B158" s="64"/>
      <c r="C158" s="20"/>
      <c r="D158" s="20"/>
      <c r="E158" s="20"/>
      <c r="F158" s="64"/>
      <c r="G158" s="64"/>
      <c r="H158" s="64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1"/>
      <c r="T158" s="20"/>
    </row>
    <row r="159" spans="1:20">
      <c r="A159" s="20"/>
      <c r="B159" s="64"/>
      <c r="C159" s="20"/>
      <c r="D159" s="20"/>
      <c r="E159" s="20"/>
      <c r="F159" s="64"/>
      <c r="G159" s="64"/>
      <c r="H159" s="64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1"/>
      <c r="T159" s="20"/>
    </row>
    <row r="160" spans="1:20">
      <c r="A160" s="20"/>
      <c r="B160" s="64"/>
      <c r="C160" s="20"/>
      <c r="D160" s="20"/>
      <c r="E160" s="20"/>
      <c r="F160" s="64"/>
      <c r="G160" s="64"/>
      <c r="H160" s="64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1"/>
      <c r="T160" s="20"/>
    </row>
    <row r="161" spans="1:20">
      <c r="A161" s="20"/>
      <c r="B161" s="64"/>
      <c r="C161" s="20"/>
      <c r="D161" s="20"/>
      <c r="E161" s="20"/>
      <c r="F161" s="64"/>
      <c r="G161" s="64"/>
      <c r="H161" s="64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1"/>
      <c r="T161" s="20"/>
    </row>
    <row r="162" spans="1:20">
      <c r="A162" s="20"/>
      <c r="B162" s="64"/>
      <c r="C162" s="20"/>
      <c r="D162" s="20"/>
      <c r="E162" s="20"/>
      <c r="F162" s="64"/>
      <c r="G162" s="64"/>
      <c r="H162" s="64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1"/>
      <c r="T162" s="20"/>
    </row>
    <row r="163" spans="1:20">
      <c r="A163" s="20"/>
      <c r="B163" s="64"/>
      <c r="C163" s="20"/>
      <c r="D163" s="20"/>
      <c r="E163" s="20"/>
      <c r="F163" s="64"/>
      <c r="G163" s="64"/>
      <c r="H163" s="64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1"/>
      <c r="T163" s="20"/>
    </row>
    <row r="164" spans="1:20">
      <c r="A164" s="20"/>
      <c r="B164" s="64"/>
      <c r="C164" s="20"/>
      <c r="D164" s="20"/>
      <c r="E164" s="20"/>
      <c r="F164" s="64"/>
      <c r="G164" s="64"/>
      <c r="H164" s="64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1"/>
      <c r="T164" s="20"/>
    </row>
    <row r="165" spans="1:20">
      <c r="A165" s="20"/>
      <c r="B165" s="64"/>
      <c r="C165" s="20"/>
      <c r="D165" s="20"/>
      <c r="E165" s="20"/>
      <c r="F165" s="64"/>
      <c r="G165" s="64"/>
      <c r="H165" s="64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1"/>
      <c r="T165" s="20"/>
    </row>
    <row r="166" spans="1:20">
      <c r="A166" s="20"/>
      <c r="B166" s="64"/>
      <c r="C166" s="20"/>
      <c r="D166" s="20"/>
      <c r="E166" s="20"/>
      <c r="F166" s="64"/>
      <c r="G166" s="64"/>
      <c r="H166" s="64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1"/>
      <c r="T166" s="20"/>
    </row>
    <row r="167" spans="1:20">
      <c r="A167" s="20"/>
      <c r="B167" s="64"/>
      <c r="C167" s="20"/>
      <c r="D167" s="20"/>
      <c r="E167" s="20"/>
      <c r="F167" s="64"/>
      <c r="G167" s="64"/>
      <c r="H167" s="64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1"/>
      <c r="T167" s="20"/>
    </row>
    <row r="168" spans="1:20">
      <c r="A168" s="20"/>
      <c r="B168" s="64"/>
      <c r="C168" s="20"/>
      <c r="D168" s="20"/>
      <c r="E168" s="20"/>
      <c r="F168" s="64"/>
      <c r="G168" s="64"/>
      <c r="H168" s="64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1"/>
      <c r="T168" s="20"/>
    </row>
    <row r="169" spans="1:20">
      <c r="A169" s="20"/>
      <c r="B169" s="64"/>
      <c r="C169" s="20"/>
      <c r="D169" s="20"/>
      <c r="E169" s="20"/>
      <c r="F169" s="64"/>
      <c r="G169" s="64"/>
      <c r="H169" s="64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1"/>
      <c r="T169" s="20"/>
    </row>
    <row r="170" spans="1:20">
      <c r="A170" s="20"/>
      <c r="B170" s="64"/>
      <c r="C170" s="20"/>
      <c r="D170" s="20"/>
      <c r="E170" s="20"/>
      <c r="F170" s="64"/>
      <c r="G170" s="64"/>
      <c r="H170" s="64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1"/>
      <c r="T170" s="20"/>
    </row>
    <row r="171" spans="1:20">
      <c r="A171" s="20"/>
      <c r="B171" s="64"/>
      <c r="C171" s="20"/>
      <c r="D171" s="20"/>
      <c r="E171" s="20"/>
      <c r="F171" s="64"/>
      <c r="G171" s="64"/>
      <c r="H171" s="64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1"/>
      <c r="T171" s="20"/>
    </row>
    <row r="172" spans="1:20">
      <c r="A172" s="20"/>
      <c r="B172" s="64"/>
      <c r="C172" s="20"/>
      <c r="D172" s="20"/>
      <c r="E172" s="20"/>
      <c r="F172" s="64"/>
      <c r="G172" s="64"/>
      <c r="H172" s="64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1"/>
      <c r="T172" s="20"/>
    </row>
    <row r="173" spans="1:20">
      <c r="A173" s="20"/>
      <c r="B173" s="64"/>
      <c r="C173" s="20"/>
      <c r="D173" s="20"/>
      <c r="E173" s="20"/>
      <c r="F173" s="64"/>
      <c r="G173" s="64"/>
      <c r="H173" s="64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1"/>
      <c r="T173" s="20"/>
    </row>
    <row r="174" spans="1:20">
      <c r="A174" s="20"/>
      <c r="B174" s="64"/>
      <c r="C174" s="20"/>
      <c r="D174" s="20"/>
      <c r="E174" s="20"/>
      <c r="F174" s="64"/>
      <c r="G174" s="64"/>
      <c r="H174" s="64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1"/>
      <c r="T174" s="20"/>
    </row>
    <row r="175" spans="1:20">
      <c r="A175" s="20"/>
      <c r="B175" s="64"/>
      <c r="C175" s="20"/>
      <c r="D175" s="20"/>
      <c r="E175" s="20"/>
      <c r="F175" s="64"/>
      <c r="G175" s="64"/>
      <c r="H175" s="64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1"/>
      <c r="T175" s="20"/>
    </row>
    <row r="176" spans="1:20">
      <c r="A176" s="20"/>
      <c r="B176" s="64"/>
      <c r="C176" s="20"/>
      <c r="D176" s="20"/>
      <c r="E176" s="20"/>
      <c r="F176" s="64"/>
      <c r="G176" s="64"/>
      <c r="H176" s="64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1"/>
      <c r="T176" s="20"/>
    </row>
    <row r="177" spans="1:20">
      <c r="A177" s="20"/>
      <c r="B177" s="64"/>
      <c r="C177" s="20"/>
      <c r="D177" s="20"/>
      <c r="E177" s="20"/>
      <c r="F177" s="64"/>
      <c r="G177" s="64"/>
      <c r="H177" s="64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1"/>
      <c r="T177" s="20"/>
    </row>
    <row r="178" spans="1:20">
      <c r="A178" s="20"/>
      <c r="B178" s="64"/>
      <c r="C178" s="20"/>
      <c r="D178" s="20"/>
      <c r="E178" s="20"/>
      <c r="F178" s="64"/>
      <c r="G178" s="64"/>
      <c r="H178" s="64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11"/>
      <c r="T178" s="20"/>
    </row>
    <row r="179" spans="1:20">
      <c r="A179" s="20"/>
      <c r="B179" s="64"/>
      <c r="C179" s="20"/>
      <c r="D179" s="20"/>
      <c r="E179" s="20"/>
      <c r="F179" s="64"/>
      <c r="G179" s="64"/>
      <c r="H179" s="64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1"/>
      <c r="T179" s="20"/>
    </row>
  </sheetData>
  <dataConsolidate/>
  <mergeCells count="26">
    <mergeCell ref="AA30:AF30"/>
    <mergeCell ref="AI23:AN23"/>
    <mergeCell ref="K1:R1"/>
    <mergeCell ref="A28:A32"/>
    <mergeCell ref="A49:A50"/>
    <mergeCell ref="AA10:AF10"/>
    <mergeCell ref="V24:W24"/>
    <mergeCell ref="T26:T27"/>
    <mergeCell ref="S26:S27"/>
    <mergeCell ref="S28:S32"/>
    <mergeCell ref="T28:T32"/>
    <mergeCell ref="C1:I1"/>
    <mergeCell ref="A4:A5"/>
    <mergeCell ref="A6:A8"/>
    <mergeCell ref="A9:A13"/>
    <mergeCell ref="A15:A20"/>
    <mergeCell ref="A55:A56"/>
    <mergeCell ref="A36:A37"/>
    <mergeCell ref="A39:A40"/>
    <mergeCell ref="A41:A43"/>
    <mergeCell ref="A21:A24"/>
    <mergeCell ref="A26:A27"/>
    <mergeCell ref="A51:A52"/>
    <mergeCell ref="A53:A54"/>
    <mergeCell ref="A33:A35"/>
    <mergeCell ref="A45:A48"/>
  </mergeCells>
  <conditionalFormatting sqref="M3:M56">
    <cfRule type="expression" dxfId="82" priority="9">
      <formula>(M3&lt;F3)</formula>
    </cfRule>
  </conditionalFormatting>
  <conditionalFormatting sqref="M3">
    <cfRule type="cellIs" dxfId="81" priority="8" operator="lessThan">
      <formula>$E$3</formula>
    </cfRule>
  </conditionalFormatting>
  <conditionalFormatting sqref="Q3:Q56">
    <cfRule type="cellIs" dxfId="80" priority="7" operator="lessThan">
      <formula>0</formula>
    </cfRule>
  </conditionalFormatting>
  <conditionalFormatting sqref="R3:R56">
    <cfRule type="containsText" dxfId="79" priority="6" operator="containsText" text="Yes">
      <formula>NOT(ISERROR(SEARCH("Yes",R3)))</formula>
    </cfRule>
  </conditionalFormatting>
  <conditionalFormatting sqref="AB12:AG23">
    <cfRule type="cellIs" dxfId="78" priority="5" operator="greaterThan">
      <formula>0</formula>
    </cfRule>
  </conditionalFormatting>
  <conditionalFormatting sqref="AG32:AG43">
    <cfRule type="cellIs" dxfId="77" priority="4" operator="greaterThan">
      <formula>0</formula>
    </cfRule>
  </conditionalFormatting>
  <conditionalFormatting sqref="AC32:AF43">
    <cfRule type="cellIs" dxfId="76" priority="3" operator="greaterThan">
      <formula>0</formula>
    </cfRule>
  </conditionalFormatting>
  <conditionalFormatting sqref="AB32:AB43">
    <cfRule type="cellIs" dxfId="75" priority="2" operator="greaterThan">
      <formula>0</formula>
    </cfRule>
  </conditionalFormatting>
  <conditionalFormatting sqref="AJ25:AO36">
    <cfRule type="cellIs" dxfId="7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topLeftCell="W22" zoomScaleNormal="100" workbookViewId="0">
      <selection activeCell="AC26" sqref="AC26"/>
    </sheetView>
  </sheetViews>
  <sheetFormatPr defaultColWidth="9" defaultRowHeight="12.75"/>
  <cols>
    <col min="1" max="1" width="12.140625" style="268" customWidth="1"/>
    <col min="2" max="2" width="14.28515625" style="268" customWidth="1"/>
    <col min="3" max="3" width="25.42578125" style="268" customWidth="1"/>
    <col min="4" max="4" width="14.28515625" style="268" customWidth="1"/>
    <col min="5" max="5" width="16.5703125" style="268" customWidth="1"/>
    <col min="6" max="7" width="15" style="268" customWidth="1"/>
    <col min="8" max="8" width="18" style="268" customWidth="1"/>
    <col min="9" max="9" width="15.5703125" style="268" customWidth="1"/>
    <col min="10" max="10" width="25.42578125" style="268" customWidth="1"/>
    <col min="11" max="11" width="14.7109375" style="268" customWidth="1"/>
    <col min="12" max="12" width="16.42578125" style="268" customWidth="1"/>
    <col min="13" max="13" width="15.85546875" style="268" customWidth="1"/>
    <col min="14" max="14" width="18" style="268" customWidth="1"/>
    <col min="15" max="15" width="16.7109375" style="268" customWidth="1"/>
    <col min="16" max="16" width="29.7109375" style="268" customWidth="1"/>
    <col min="17" max="17" width="30.42578125" style="268" customWidth="1"/>
    <col min="18" max="19" width="9" style="268"/>
    <col min="20" max="20" width="15" style="268" customWidth="1"/>
    <col min="21" max="21" width="22" style="268" customWidth="1"/>
    <col min="22" max="22" width="32" style="268" customWidth="1"/>
    <col min="23" max="23" width="9" style="268"/>
    <col min="24" max="24" width="17.28515625" style="268" customWidth="1"/>
    <col min="25" max="25" width="26.28515625" style="268" customWidth="1"/>
    <col min="26" max="26" width="27.28515625" style="268" customWidth="1"/>
    <col min="27" max="27" width="14.5703125" style="268" customWidth="1"/>
    <col min="28" max="34" width="9" style="268"/>
    <col min="35" max="35" width="18.85546875" style="268" customWidth="1"/>
    <col min="36" max="36" width="19.5703125" style="268" customWidth="1"/>
    <col min="37" max="16384" width="9" style="268"/>
  </cols>
  <sheetData>
    <row r="1" spans="1:17">
      <c r="A1" s="197"/>
      <c r="B1" s="198"/>
      <c r="C1" s="514" t="s">
        <v>452</v>
      </c>
      <c r="D1" s="515"/>
      <c r="E1" s="515"/>
      <c r="F1" s="515"/>
      <c r="G1" s="515"/>
      <c r="H1" s="515"/>
      <c r="I1" s="516"/>
      <c r="J1" s="512" t="s">
        <v>451</v>
      </c>
      <c r="K1" s="513"/>
      <c r="L1" s="513"/>
      <c r="M1" s="513"/>
      <c r="N1" s="513"/>
      <c r="O1" s="552"/>
      <c r="P1" s="7"/>
      <c r="Q1" s="7"/>
    </row>
    <row r="2" spans="1:17" ht="13.5" thickBot="1">
      <c r="A2" s="197" t="s">
        <v>450</v>
      </c>
      <c r="B2" s="196" t="s">
        <v>449</v>
      </c>
      <c r="C2" s="195" t="s">
        <v>448</v>
      </c>
      <c r="D2" s="194" t="s">
        <v>34</v>
      </c>
      <c r="E2" s="194" t="s">
        <v>33</v>
      </c>
      <c r="F2" s="194" t="s">
        <v>447</v>
      </c>
      <c r="G2" s="194" t="s">
        <v>460</v>
      </c>
      <c r="H2" s="194" t="s">
        <v>462</v>
      </c>
      <c r="I2" s="193" t="s">
        <v>444</v>
      </c>
      <c r="J2" s="192" t="s">
        <v>446</v>
      </c>
      <c r="K2" s="192" t="s">
        <v>34</v>
      </c>
      <c r="L2" s="192" t="s">
        <v>33</v>
      </c>
      <c r="M2" s="191" t="s">
        <v>445</v>
      </c>
      <c r="N2" s="190" t="s">
        <v>444</v>
      </c>
      <c r="O2" s="245" t="s">
        <v>458</v>
      </c>
      <c r="P2" s="11"/>
      <c r="Q2" s="20"/>
    </row>
    <row r="3" spans="1:17" ht="13.5" thickBot="1">
      <c r="A3" s="162" t="s">
        <v>438</v>
      </c>
      <c r="B3" s="185" t="s">
        <v>437</v>
      </c>
      <c r="C3" s="184" t="s">
        <v>436</v>
      </c>
      <c r="D3" s="183">
        <v>386.9</v>
      </c>
      <c r="E3" s="183">
        <v>400</v>
      </c>
      <c r="F3" s="183">
        <v>131.95400000000001</v>
      </c>
      <c r="G3" s="183">
        <v>1.5</v>
      </c>
      <c r="H3" s="183">
        <f>G3*F3</f>
        <v>197.93100000000001</v>
      </c>
      <c r="I3" s="182">
        <f>E3-H3</f>
        <v>202.06899999999999</v>
      </c>
      <c r="J3" s="181" t="s">
        <v>435</v>
      </c>
      <c r="K3" s="181">
        <v>598.85</v>
      </c>
      <c r="L3" s="297">
        <v>300</v>
      </c>
      <c r="M3" s="180">
        <f t="shared" ref="M3:M13" si="0">F3</f>
        <v>131.95400000000001</v>
      </c>
      <c r="N3" s="290">
        <f>L3-H3</f>
        <v>102.06899999999999</v>
      </c>
      <c r="O3" s="236" t="str">
        <f t="shared" ref="O3:O9" si="1">IF(N3&gt;=0,"No","Yes")</f>
        <v>No</v>
      </c>
      <c r="P3" s="11"/>
      <c r="Q3" s="11"/>
    </row>
    <row r="4" spans="1:17" ht="13.5" thickBot="1">
      <c r="A4" s="506" t="s">
        <v>44</v>
      </c>
      <c r="B4" s="178" t="s">
        <v>3</v>
      </c>
      <c r="C4" s="177" t="s">
        <v>44</v>
      </c>
      <c r="D4" s="176">
        <v>424.31</v>
      </c>
      <c r="E4" s="176">
        <v>200</v>
      </c>
      <c r="F4" s="176">
        <v>79.758499999999998</v>
      </c>
      <c r="G4" s="183">
        <v>1.5</v>
      </c>
      <c r="H4" s="183">
        <f t="shared" ref="H4:H56" si="2">G4*F4</f>
        <v>119.63775</v>
      </c>
      <c r="I4" s="182">
        <f t="shared" ref="I4:I13" si="3">E4-H4</f>
        <v>80.362250000000003</v>
      </c>
      <c r="J4" s="174" t="s">
        <v>434</v>
      </c>
      <c r="K4" s="174">
        <v>561.44000000000005</v>
      </c>
      <c r="L4" s="296">
        <v>150</v>
      </c>
      <c r="M4" s="173">
        <f t="shared" si="0"/>
        <v>79.758499999999998</v>
      </c>
      <c r="N4" s="290">
        <f t="shared" ref="N4:N13" si="4">L4-H4</f>
        <v>30.362250000000003</v>
      </c>
      <c r="O4" s="236" t="str">
        <f t="shared" si="1"/>
        <v>No</v>
      </c>
      <c r="P4" s="11"/>
      <c r="Q4" s="11"/>
    </row>
    <row r="5" spans="1:17" ht="13.5" thickBot="1">
      <c r="A5" s="511"/>
      <c r="B5" s="171" t="s">
        <v>25</v>
      </c>
      <c r="C5" s="116" t="s">
        <v>65</v>
      </c>
      <c r="D5" s="96">
        <v>645.40499999999997</v>
      </c>
      <c r="E5" s="96">
        <v>300</v>
      </c>
      <c r="F5" s="95">
        <v>101.52370000000001</v>
      </c>
      <c r="G5" s="183">
        <v>1.5</v>
      </c>
      <c r="H5" s="183">
        <f t="shared" si="2"/>
        <v>152.28555</v>
      </c>
      <c r="I5" s="182">
        <f t="shared" si="3"/>
        <v>147.71445</v>
      </c>
      <c r="J5" s="94" t="s">
        <v>429</v>
      </c>
      <c r="K5" s="94">
        <v>691.82</v>
      </c>
      <c r="L5" s="94">
        <v>300</v>
      </c>
      <c r="M5" s="93">
        <f t="shared" si="0"/>
        <v>101.52370000000001</v>
      </c>
      <c r="N5" s="290">
        <f t="shared" si="4"/>
        <v>147.71445</v>
      </c>
      <c r="O5" s="236" t="str">
        <f t="shared" si="1"/>
        <v>No</v>
      </c>
      <c r="P5" s="243" t="s">
        <v>440</v>
      </c>
      <c r="Q5" s="265" t="s">
        <v>439</v>
      </c>
    </row>
    <row r="6" spans="1:17" ht="13.5" thickBot="1">
      <c r="A6" s="506" t="s">
        <v>433</v>
      </c>
      <c r="B6" s="88" t="s">
        <v>432</v>
      </c>
      <c r="C6" s="87" t="s">
        <v>392</v>
      </c>
      <c r="D6" s="86">
        <v>774.56</v>
      </c>
      <c r="E6" s="86">
        <v>1200</v>
      </c>
      <c r="F6" s="86">
        <v>593.39</v>
      </c>
      <c r="G6" s="183">
        <v>1.5</v>
      </c>
      <c r="H6" s="183">
        <f t="shared" si="2"/>
        <v>890.08500000000004</v>
      </c>
      <c r="I6" s="182">
        <f t="shared" si="3"/>
        <v>309.91499999999996</v>
      </c>
      <c r="J6" s="84" t="s">
        <v>431</v>
      </c>
      <c r="K6" s="84">
        <v>778.62</v>
      </c>
      <c r="L6" s="84">
        <v>1200</v>
      </c>
      <c r="M6" s="83">
        <f t="shared" si="0"/>
        <v>593.39</v>
      </c>
      <c r="N6" s="290">
        <f t="shared" si="4"/>
        <v>309.91499999999996</v>
      </c>
      <c r="O6" s="236" t="str">
        <f t="shared" si="1"/>
        <v>No</v>
      </c>
      <c r="P6" s="242"/>
      <c r="Q6" s="216"/>
    </row>
    <row r="7" spans="1:17" ht="13.5" thickBot="1">
      <c r="A7" s="507"/>
      <c r="B7" s="98" t="s">
        <v>4</v>
      </c>
      <c r="C7" s="97" t="s">
        <v>45</v>
      </c>
      <c r="D7" s="110">
        <v>221.095</v>
      </c>
      <c r="E7" s="110">
        <v>500</v>
      </c>
      <c r="F7" s="110">
        <v>165.54</v>
      </c>
      <c r="G7" s="183">
        <v>1.5</v>
      </c>
      <c r="H7" s="183">
        <f t="shared" si="2"/>
        <v>248.31</v>
      </c>
      <c r="I7" s="182">
        <f t="shared" si="3"/>
        <v>251.69</v>
      </c>
      <c r="J7" s="108" t="s">
        <v>430</v>
      </c>
      <c r="K7" s="108">
        <v>904.18</v>
      </c>
      <c r="L7" s="298">
        <v>300</v>
      </c>
      <c r="M7" s="107">
        <f t="shared" si="0"/>
        <v>165.54</v>
      </c>
      <c r="N7" s="290">
        <f t="shared" si="4"/>
        <v>51.69</v>
      </c>
      <c r="O7" s="241" t="str">
        <f t="shared" si="1"/>
        <v>No</v>
      </c>
      <c r="P7" s="240" t="s">
        <v>351</v>
      </c>
      <c r="Q7" s="238" t="s">
        <v>351</v>
      </c>
    </row>
    <row r="8" spans="1:17" ht="13.5" thickBot="1">
      <c r="A8" s="507"/>
      <c r="B8" s="98" t="s">
        <v>25</v>
      </c>
      <c r="C8" s="97" t="s">
        <v>65</v>
      </c>
      <c r="D8" s="96">
        <v>645.40499999999997</v>
      </c>
      <c r="E8" s="96">
        <v>300</v>
      </c>
      <c r="F8" s="96">
        <v>101.52370000000001</v>
      </c>
      <c r="G8" s="183">
        <v>1.5</v>
      </c>
      <c r="H8" s="183">
        <f t="shared" si="2"/>
        <v>152.28555</v>
      </c>
      <c r="I8" s="182">
        <f t="shared" si="3"/>
        <v>147.71445</v>
      </c>
      <c r="J8" s="94" t="s">
        <v>429</v>
      </c>
      <c r="K8" s="94">
        <v>691.82</v>
      </c>
      <c r="L8" s="94">
        <v>300</v>
      </c>
      <c r="M8" s="93">
        <f t="shared" si="0"/>
        <v>101.52370000000001</v>
      </c>
      <c r="N8" s="290">
        <f t="shared" si="4"/>
        <v>147.71445</v>
      </c>
      <c r="O8" s="236" t="str">
        <f t="shared" si="1"/>
        <v>No</v>
      </c>
      <c r="P8" s="239"/>
      <c r="Q8" s="238"/>
    </row>
    <row r="9" spans="1:17" ht="13.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86">
        <v>600</v>
      </c>
      <c r="F9" s="86">
        <v>330.03719999999998</v>
      </c>
      <c r="G9" s="183">
        <v>1.5</v>
      </c>
      <c r="H9" s="183">
        <f t="shared" si="2"/>
        <v>495.05579999999998</v>
      </c>
      <c r="I9" s="182">
        <f t="shared" si="3"/>
        <v>104.94420000000002</v>
      </c>
      <c r="J9" s="84" t="s">
        <v>428</v>
      </c>
      <c r="K9" s="84">
        <v>243.73500000000001</v>
      </c>
      <c r="L9" s="299">
        <v>500</v>
      </c>
      <c r="M9" s="83">
        <f t="shared" si="0"/>
        <v>330.03719999999998</v>
      </c>
      <c r="N9" s="290">
        <f t="shared" si="4"/>
        <v>4.9442000000000235</v>
      </c>
      <c r="O9" s="236" t="str">
        <f t="shared" si="1"/>
        <v>No</v>
      </c>
      <c r="P9" s="211"/>
      <c r="Q9" s="106"/>
    </row>
    <row r="10" spans="1:17" ht="13.5" thickBot="1">
      <c r="A10" s="507"/>
      <c r="B10" s="98" t="s">
        <v>7</v>
      </c>
      <c r="C10" s="97" t="s">
        <v>48</v>
      </c>
      <c r="D10" s="110">
        <v>457.755</v>
      </c>
      <c r="E10" s="110">
        <v>400</v>
      </c>
      <c r="F10" s="110">
        <v>200.11</v>
      </c>
      <c r="G10" s="183">
        <v>1.5</v>
      </c>
      <c r="H10" s="183">
        <f t="shared" si="2"/>
        <v>300.16500000000002</v>
      </c>
      <c r="I10" s="182">
        <f t="shared" si="3"/>
        <v>99.83499999999998</v>
      </c>
      <c r="J10" s="108" t="s">
        <v>427</v>
      </c>
      <c r="K10" s="108">
        <v>614.06500000000005</v>
      </c>
      <c r="L10" s="298">
        <v>300</v>
      </c>
      <c r="M10" s="107">
        <f t="shared" si="0"/>
        <v>200.11</v>
      </c>
      <c r="N10" s="290">
        <f t="shared" si="4"/>
        <v>-0.16500000000002046</v>
      </c>
      <c r="O10" s="237" t="s">
        <v>456</v>
      </c>
      <c r="P10" s="210"/>
      <c r="Q10" s="207"/>
    </row>
    <row r="11" spans="1:17" ht="13.5" thickBot="1">
      <c r="A11" s="507"/>
      <c r="B11" s="98" t="s">
        <v>8</v>
      </c>
      <c r="C11" s="97" t="s">
        <v>74</v>
      </c>
      <c r="D11" s="110">
        <v>632.29</v>
      </c>
      <c r="E11" s="110">
        <v>750</v>
      </c>
      <c r="F11" s="110">
        <v>416.14780000000002</v>
      </c>
      <c r="G11" s="183">
        <v>1.5</v>
      </c>
      <c r="H11" s="183">
        <f t="shared" si="2"/>
        <v>624.22170000000006</v>
      </c>
      <c r="I11" s="182">
        <f t="shared" si="3"/>
        <v>125.77829999999994</v>
      </c>
      <c r="J11" s="108" t="s">
        <v>426</v>
      </c>
      <c r="K11" s="108">
        <v>692.19500000000005</v>
      </c>
      <c r="L11" s="108">
        <v>750</v>
      </c>
      <c r="M11" s="107">
        <f t="shared" si="0"/>
        <v>416.14780000000002</v>
      </c>
      <c r="N11" s="290">
        <f t="shared" si="4"/>
        <v>125.77829999999994</v>
      </c>
      <c r="O11" s="236" t="str">
        <f>IF(N11&gt;=0,"No","Yes")</f>
        <v>No</v>
      </c>
      <c r="P11" s="210"/>
      <c r="Q11" s="207"/>
    </row>
    <row r="12" spans="1:17" ht="13.5" thickBot="1">
      <c r="A12" s="507"/>
      <c r="B12" s="98" t="s">
        <v>12</v>
      </c>
      <c r="C12" s="97" t="s">
        <v>52</v>
      </c>
      <c r="D12" s="110">
        <v>428.91</v>
      </c>
      <c r="E12" s="110">
        <v>600</v>
      </c>
      <c r="F12" s="110">
        <v>320.77999999999997</v>
      </c>
      <c r="G12" s="183">
        <v>1.5</v>
      </c>
      <c r="H12" s="183">
        <f t="shared" si="2"/>
        <v>481.16999999999996</v>
      </c>
      <c r="I12" s="182">
        <f t="shared" si="3"/>
        <v>118.83000000000004</v>
      </c>
      <c r="J12" s="108" t="s">
        <v>420</v>
      </c>
      <c r="K12" s="108">
        <v>440.09</v>
      </c>
      <c r="L12" s="108">
        <v>600</v>
      </c>
      <c r="M12" s="107">
        <f t="shared" si="0"/>
        <v>320.77999999999997</v>
      </c>
      <c r="N12" s="290">
        <f t="shared" si="4"/>
        <v>118.83000000000004</v>
      </c>
      <c r="O12" s="236" t="str">
        <f>IF(N12&gt;=0,"No","Yes")</f>
        <v>No</v>
      </c>
      <c r="P12" s="210"/>
      <c r="Q12" s="207"/>
    </row>
    <row r="13" spans="1:17" ht="13.5" thickBot="1">
      <c r="A13" s="507"/>
      <c r="B13" s="98" t="s">
        <v>396</v>
      </c>
      <c r="C13" s="97" t="s">
        <v>63</v>
      </c>
      <c r="D13" s="96">
        <v>530.30999999999995</v>
      </c>
      <c r="E13" s="96">
        <v>200</v>
      </c>
      <c r="F13" s="96">
        <v>22.35</v>
      </c>
      <c r="G13" s="183">
        <v>1.5</v>
      </c>
      <c r="H13" s="183">
        <f t="shared" si="2"/>
        <v>33.525000000000006</v>
      </c>
      <c r="I13" s="182">
        <f t="shared" si="3"/>
        <v>166.47499999999999</v>
      </c>
      <c r="J13" s="94" t="s">
        <v>418</v>
      </c>
      <c r="K13" s="94">
        <v>541.49</v>
      </c>
      <c r="L13" s="291">
        <v>150</v>
      </c>
      <c r="M13" s="93">
        <f t="shared" si="0"/>
        <v>22.35</v>
      </c>
      <c r="N13" s="290">
        <f t="shared" si="4"/>
        <v>116.47499999999999</v>
      </c>
      <c r="O13" s="236" t="str">
        <f>IF(N13&gt;=0,"No","Yes")</f>
        <v>No</v>
      </c>
      <c r="P13" s="209"/>
      <c r="Q13" s="105"/>
    </row>
    <row r="14" spans="1:17" ht="13.5" thickBot="1">
      <c r="A14" s="262" t="s">
        <v>426</v>
      </c>
      <c r="B14" s="88" t="s">
        <v>351</v>
      </c>
      <c r="C14" s="161"/>
      <c r="D14" s="86"/>
      <c r="E14" s="86"/>
      <c r="F14" s="86"/>
      <c r="G14" s="183">
        <v>1.5</v>
      </c>
      <c r="H14" s="183">
        <f t="shared" si="2"/>
        <v>0</v>
      </c>
      <c r="I14" s="85"/>
      <c r="J14" s="84"/>
      <c r="K14" s="84"/>
      <c r="L14" s="84"/>
      <c r="M14" s="83"/>
      <c r="N14" s="82"/>
      <c r="O14" s="84"/>
      <c r="P14" s="235"/>
      <c r="Q14" s="261"/>
    </row>
    <row r="15" spans="1:17" ht="13.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86">
        <v>800</v>
      </c>
      <c r="F15" s="86">
        <v>414.50749999999999</v>
      </c>
      <c r="G15" s="183">
        <v>1.5</v>
      </c>
      <c r="H15" s="183">
        <f t="shared" si="2"/>
        <v>621.76125000000002</v>
      </c>
      <c r="I15" s="85">
        <f>E15-H15</f>
        <v>178.23874999999998</v>
      </c>
      <c r="J15" s="84" t="s">
        <v>424</v>
      </c>
      <c r="K15" s="84">
        <v>527.53499999999997</v>
      </c>
      <c r="L15" s="84">
        <v>800</v>
      </c>
      <c r="M15" s="83">
        <f t="shared" ref="M15:M24" si="5">F15</f>
        <v>414.50749999999999</v>
      </c>
      <c r="N15" s="203">
        <f>L15-H15</f>
        <v>178.23874999999998</v>
      </c>
      <c r="O15" s="83" t="str">
        <f t="shared" ref="O15:O24" si="6">IF(N15&gt;=0,"No","Yes")</f>
        <v>No</v>
      </c>
      <c r="P15" s="60"/>
      <c r="Q15" s="89"/>
    </row>
    <row r="16" spans="1:17" ht="13.5" thickBot="1">
      <c r="A16" s="507"/>
      <c r="B16" s="98" t="s">
        <v>9</v>
      </c>
      <c r="C16" s="97" t="s">
        <v>423</v>
      </c>
      <c r="D16" s="110">
        <v>72.555000000000007</v>
      </c>
      <c r="E16" s="110">
        <v>600</v>
      </c>
      <c r="F16" s="110">
        <v>249.06020000000001</v>
      </c>
      <c r="G16" s="183">
        <v>1.5</v>
      </c>
      <c r="H16" s="183">
        <f t="shared" si="2"/>
        <v>373.59030000000001</v>
      </c>
      <c r="I16" s="85">
        <f t="shared" ref="I16:I24" si="7">E16-H16</f>
        <v>226.40969999999999</v>
      </c>
      <c r="J16" s="108" t="s">
        <v>422</v>
      </c>
      <c r="K16" s="108">
        <v>258.625</v>
      </c>
      <c r="L16" s="298">
        <v>500</v>
      </c>
      <c r="M16" s="107">
        <f t="shared" si="5"/>
        <v>249.06020000000001</v>
      </c>
      <c r="N16" s="203">
        <f t="shared" ref="N16:N24" si="8">L16-H16</f>
        <v>126.40969999999999</v>
      </c>
      <c r="O16" s="83" t="str">
        <f t="shared" si="6"/>
        <v>No</v>
      </c>
      <c r="P16" s="60"/>
      <c r="Q16" s="99"/>
    </row>
    <row r="17" spans="1:38" ht="13.5" thickBot="1">
      <c r="A17" s="507"/>
      <c r="B17" s="98" t="s">
        <v>10</v>
      </c>
      <c r="C17" s="97" t="s">
        <v>386</v>
      </c>
      <c r="D17" s="110">
        <v>894.93</v>
      </c>
      <c r="E17" s="110">
        <v>450</v>
      </c>
      <c r="F17" s="110">
        <v>185.4342</v>
      </c>
      <c r="G17" s="183">
        <v>1.5</v>
      </c>
      <c r="H17" s="183">
        <f t="shared" si="2"/>
        <v>278.15129999999999</v>
      </c>
      <c r="I17" s="85">
        <f t="shared" si="7"/>
        <v>171.84870000000001</v>
      </c>
      <c r="J17" s="108" t="s">
        <v>385</v>
      </c>
      <c r="K17" s="108">
        <v>975.03499999999997</v>
      </c>
      <c r="L17" s="108">
        <v>450</v>
      </c>
      <c r="M17" s="107">
        <f t="shared" si="5"/>
        <v>185.4342</v>
      </c>
      <c r="N17" s="203">
        <f t="shared" si="8"/>
        <v>171.84870000000001</v>
      </c>
      <c r="O17" s="83" t="str">
        <f t="shared" si="6"/>
        <v>No</v>
      </c>
      <c r="P17" s="60"/>
      <c r="Q17" s="99"/>
    </row>
    <row r="18" spans="1:38" ht="13.5" thickBot="1">
      <c r="A18" s="507"/>
      <c r="B18" s="98" t="s">
        <v>11</v>
      </c>
      <c r="C18" s="97" t="s">
        <v>378</v>
      </c>
      <c r="D18" s="110">
        <v>839.23</v>
      </c>
      <c r="E18" s="110">
        <v>450</v>
      </c>
      <c r="F18" s="110">
        <v>213.84829999999999</v>
      </c>
      <c r="G18" s="183">
        <v>1.5</v>
      </c>
      <c r="H18" s="183">
        <f t="shared" si="2"/>
        <v>320.77244999999999</v>
      </c>
      <c r="I18" s="85">
        <f t="shared" si="7"/>
        <v>129.22755000000001</v>
      </c>
      <c r="J18" s="108" t="s">
        <v>421</v>
      </c>
      <c r="K18" s="108">
        <v>1025.3</v>
      </c>
      <c r="L18" s="108">
        <v>450</v>
      </c>
      <c r="M18" s="107">
        <f t="shared" si="5"/>
        <v>213.84829999999999</v>
      </c>
      <c r="N18" s="203">
        <f t="shared" si="8"/>
        <v>129.22755000000001</v>
      </c>
      <c r="O18" s="83" t="str">
        <f t="shared" si="6"/>
        <v>No</v>
      </c>
      <c r="P18" s="60"/>
      <c r="Q18" s="89"/>
    </row>
    <row r="19" spans="1:38" ht="13.5" thickBot="1">
      <c r="A19" s="507"/>
      <c r="B19" s="98" t="s">
        <v>12</v>
      </c>
      <c r="C19" s="97" t="s">
        <v>52</v>
      </c>
      <c r="D19" s="110">
        <v>428.91</v>
      </c>
      <c r="E19" s="110">
        <f>E12</f>
        <v>600</v>
      </c>
      <c r="F19" s="110">
        <v>320.7817</v>
      </c>
      <c r="G19" s="183">
        <v>1.5</v>
      </c>
      <c r="H19" s="183">
        <f t="shared" si="2"/>
        <v>481.17255</v>
      </c>
      <c r="I19" s="85">
        <f t="shared" si="7"/>
        <v>118.82745</v>
      </c>
      <c r="J19" s="108" t="s">
        <v>420</v>
      </c>
      <c r="K19" s="108">
        <v>440.09</v>
      </c>
      <c r="L19" s="108">
        <v>600</v>
      </c>
      <c r="M19" s="107">
        <f t="shared" si="5"/>
        <v>320.7817</v>
      </c>
      <c r="N19" s="203">
        <f t="shared" si="8"/>
        <v>118.82745</v>
      </c>
      <c r="O19" s="83" t="str">
        <f t="shared" si="6"/>
        <v>No</v>
      </c>
      <c r="P19" s="60"/>
      <c r="Q19" s="89"/>
    </row>
    <row r="20" spans="1:38" ht="13.5" thickBot="1">
      <c r="A20" s="507"/>
      <c r="B20" s="98" t="s">
        <v>419</v>
      </c>
      <c r="C20" s="97" t="s">
        <v>411</v>
      </c>
      <c r="D20" s="96">
        <v>530.30999999999995</v>
      </c>
      <c r="E20" s="96">
        <f>E13</f>
        <v>200</v>
      </c>
      <c r="F20" s="96">
        <v>22.35</v>
      </c>
      <c r="G20" s="183">
        <v>1.5</v>
      </c>
      <c r="H20" s="183">
        <f t="shared" si="2"/>
        <v>33.525000000000006</v>
      </c>
      <c r="I20" s="85">
        <f t="shared" si="7"/>
        <v>166.47499999999999</v>
      </c>
      <c r="J20" s="94" t="s">
        <v>418</v>
      </c>
      <c r="K20" s="94">
        <v>541.49</v>
      </c>
      <c r="L20" s="291">
        <v>150</v>
      </c>
      <c r="M20" s="93">
        <f t="shared" si="5"/>
        <v>22.35</v>
      </c>
      <c r="N20" s="203">
        <f t="shared" si="8"/>
        <v>116.47499999999999</v>
      </c>
      <c r="O20" s="83" t="str">
        <f t="shared" si="6"/>
        <v>No</v>
      </c>
      <c r="P20" s="60"/>
      <c r="Q20" s="99"/>
    </row>
    <row r="21" spans="1:38" ht="13.5" thickBot="1">
      <c r="A21" s="506" t="s">
        <v>413</v>
      </c>
      <c r="B21" s="88" t="s">
        <v>7</v>
      </c>
      <c r="C21" s="87" t="s">
        <v>48</v>
      </c>
      <c r="D21" s="86">
        <v>457.755</v>
      </c>
      <c r="E21" s="86">
        <f>E10</f>
        <v>400</v>
      </c>
      <c r="F21" s="86">
        <v>200.1122</v>
      </c>
      <c r="G21" s="183">
        <v>1.5</v>
      </c>
      <c r="H21" s="183">
        <f t="shared" si="2"/>
        <v>300.16829999999999</v>
      </c>
      <c r="I21" s="85">
        <f t="shared" si="7"/>
        <v>99.831700000000012</v>
      </c>
      <c r="J21" s="84" t="s">
        <v>416</v>
      </c>
      <c r="K21" s="84">
        <v>733.18499999999995</v>
      </c>
      <c r="L21" s="299">
        <v>300</v>
      </c>
      <c r="M21" s="83">
        <f t="shared" si="5"/>
        <v>200.1122</v>
      </c>
      <c r="N21" s="203">
        <f t="shared" si="8"/>
        <v>-0.1682999999999879</v>
      </c>
      <c r="O21" s="201" t="str">
        <f t="shared" si="6"/>
        <v>Yes</v>
      </c>
      <c r="P21" s="211"/>
      <c r="Q21" s="106"/>
    </row>
    <row r="22" spans="1:38" ht="13.5" thickBot="1">
      <c r="A22" s="507"/>
      <c r="B22" s="98" t="s">
        <v>415</v>
      </c>
      <c r="C22" s="97" t="s">
        <v>74</v>
      </c>
      <c r="D22" s="110">
        <v>632.29</v>
      </c>
      <c r="E22" s="110">
        <f>E11</f>
        <v>750</v>
      </c>
      <c r="F22" s="110">
        <v>416.14780000000002</v>
      </c>
      <c r="G22" s="183">
        <v>1.5</v>
      </c>
      <c r="H22" s="183">
        <f t="shared" si="2"/>
        <v>624.22170000000006</v>
      </c>
      <c r="I22" s="85">
        <f t="shared" si="7"/>
        <v>125.77829999999994</v>
      </c>
      <c r="J22" s="108" t="s">
        <v>361</v>
      </c>
      <c r="K22" s="108">
        <v>692.19500000000005</v>
      </c>
      <c r="L22" s="108">
        <v>750</v>
      </c>
      <c r="M22" s="107">
        <f t="shared" si="5"/>
        <v>416.14780000000002</v>
      </c>
      <c r="N22" s="203">
        <f t="shared" si="8"/>
        <v>125.77829999999994</v>
      </c>
      <c r="O22" s="83" t="str">
        <f t="shared" si="6"/>
        <v>No</v>
      </c>
      <c r="P22" s="210"/>
      <c r="Q22" s="207"/>
    </row>
    <row r="23" spans="1:38" ht="13.5" thickBot="1">
      <c r="A23" s="507"/>
      <c r="B23" s="98" t="s">
        <v>414</v>
      </c>
      <c r="C23" s="97" t="s">
        <v>413</v>
      </c>
      <c r="D23" s="110">
        <v>370.31</v>
      </c>
      <c r="E23" s="110">
        <v>200</v>
      </c>
      <c r="F23" s="110">
        <v>24.103000000000002</v>
      </c>
      <c r="G23" s="183">
        <v>1.5</v>
      </c>
      <c r="H23" s="183">
        <f t="shared" si="2"/>
        <v>36.154499999999999</v>
      </c>
      <c r="I23" s="85">
        <f t="shared" si="7"/>
        <v>163.84550000000002</v>
      </c>
      <c r="J23" s="108" t="s">
        <v>412</v>
      </c>
      <c r="K23" s="108">
        <v>820.63</v>
      </c>
      <c r="L23" s="298">
        <v>150</v>
      </c>
      <c r="M23" s="107">
        <f t="shared" si="5"/>
        <v>24.103000000000002</v>
      </c>
      <c r="N23" s="203">
        <f t="shared" si="8"/>
        <v>113.8455</v>
      </c>
      <c r="O23" s="83" t="str">
        <f t="shared" si="6"/>
        <v>No</v>
      </c>
      <c r="P23" s="210"/>
      <c r="Q23" s="207"/>
    </row>
    <row r="24" spans="1:38" ht="13.5" thickBot="1">
      <c r="A24" s="507"/>
      <c r="B24" s="98" t="s">
        <v>396</v>
      </c>
      <c r="C24" s="97" t="s">
        <v>411</v>
      </c>
      <c r="D24" s="96">
        <v>530.30999999999995</v>
      </c>
      <c r="E24" s="96">
        <f>E13</f>
        <v>200</v>
      </c>
      <c r="F24" s="96">
        <v>22.35</v>
      </c>
      <c r="G24" s="183">
        <v>1.5</v>
      </c>
      <c r="H24" s="183">
        <f t="shared" si="2"/>
        <v>33.525000000000006</v>
      </c>
      <c r="I24" s="85">
        <f t="shared" si="7"/>
        <v>166.47499999999999</v>
      </c>
      <c r="J24" s="94" t="s">
        <v>410</v>
      </c>
      <c r="K24" s="94">
        <v>660.63</v>
      </c>
      <c r="L24" s="291">
        <v>150</v>
      </c>
      <c r="M24" s="93">
        <f t="shared" si="5"/>
        <v>22.35</v>
      </c>
      <c r="N24" s="203">
        <f t="shared" si="8"/>
        <v>116.47499999999999</v>
      </c>
      <c r="O24" s="83" t="str">
        <f t="shared" si="6"/>
        <v>No</v>
      </c>
      <c r="P24" s="209"/>
      <c r="Q24" s="105"/>
    </row>
    <row r="25" spans="1:38" ht="13.5" thickBot="1">
      <c r="A25" s="162" t="s">
        <v>409</v>
      </c>
      <c r="B25" s="88" t="s">
        <v>408</v>
      </c>
      <c r="C25" s="161"/>
      <c r="D25" s="86"/>
      <c r="E25" s="86"/>
      <c r="F25" s="86"/>
      <c r="G25" s="183">
        <v>1.5</v>
      </c>
      <c r="H25" s="183">
        <f t="shared" si="2"/>
        <v>0</v>
      </c>
      <c r="I25" s="85"/>
      <c r="J25" s="84"/>
      <c r="K25" s="84"/>
      <c r="L25" s="84"/>
      <c r="M25" s="83"/>
      <c r="N25" s="82"/>
      <c r="O25" s="83"/>
      <c r="P25" s="206"/>
      <c r="Q25" s="233"/>
      <c r="X25" s="520" t="s">
        <v>579</v>
      </c>
      <c r="Y25" s="521"/>
      <c r="Z25" s="521"/>
      <c r="AA25" s="521"/>
      <c r="AB25" s="521"/>
      <c r="AC25" s="522"/>
      <c r="AD25" s="164"/>
      <c r="AE25" s="5"/>
      <c r="AF25" s="5"/>
      <c r="AG25" s="5"/>
      <c r="AH25" s="5"/>
      <c r="AI25" s="5"/>
      <c r="AJ25" s="5"/>
      <c r="AK25" s="5"/>
      <c r="AL25" s="5"/>
    </row>
    <row r="26" spans="1:38" ht="13.5" thickBot="1">
      <c r="A26" s="517" t="s">
        <v>407</v>
      </c>
      <c r="B26" s="158" t="s">
        <v>14</v>
      </c>
      <c r="C26" s="87" t="s">
        <v>406</v>
      </c>
      <c r="D26" s="86">
        <v>391.72</v>
      </c>
      <c r="E26" s="85">
        <v>1200</v>
      </c>
      <c r="F26" s="86">
        <v>664.51419999999996</v>
      </c>
      <c r="G26" s="183">
        <v>1.5</v>
      </c>
      <c r="H26" s="183">
        <f t="shared" si="2"/>
        <v>996.77129999999988</v>
      </c>
      <c r="I26" s="85">
        <f>E26-H26</f>
        <v>203.22870000000012</v>
      </c>
      <c r="J26" s="84" t="s">
        <v>405</v>
      </c>
      <c r="K26" s="84">
        <v>799.22</v>
      </c>
      <c r="L26" s="299">
        <v>900</v>
      </c>
      <c r="M26" s="83">
        <f t="shared" ref="M26:M56" si="9">F26</f>
        <v>664.51419999999996</v>
      </c>
      <c r="N26" s="82">
        <f>L26-H26</f>
        <v>-96.771299999999883</v>
      </c>
      <c r="O26" s="218" t="str">
        <f t="shared" ref="O26:O56" si="10">IF(N26&gt;=0,"No","Yes")</f>
        <v>Yes</v>
      </c>
      <c r="P26" s="232" t="s">
        <v>484</v>
      </c>
      <c r="Q26" s="263" t="s">
        <v>485</v>
      </c>
      <c r="X26" s="336" t="s">
        <v>506</v>
      </c>
      <c r="Y26" s="338" t="s">
        <v>507</v>
      </c>
      <c r="Z26" s="338" t="s">
        <v>508</v>
      </c>
      <c r="AA26" s="338" t="s">
        <v>509</v>
      </c>
      <c r="AB26" s="338" t="s">
        <v>510</v>
      </c>
      <c r="AC26" s="339" t="s">
        <v>558</v>
      </c>
      <c r="AD26" s="312" t="s">
        <v>417</v>
      </c>
      <c r="AE26" s="5"/>
      <c r="AF26" s="5"/>
      <c r="AG26" s="5"/>
      <c r="AH26" s="5"/>
      <c r="AI26" s="5"/>
      <c r="AJ26" s="5"/>
      <c r="AK26" s="5"/>
      <c r="AL26" s="5"/>
    </row>
    <row r="27" spans="1:38" ht="13.5" thickBot="1">
      <c r="A27" s="518"/>
      <c r="B27" s="76" t="s">
        <v>360</v>
      </c>
      <c r="C27" s="75" t="s">
        <v>55</v>
      </c>
      <c r="D27" s="155">
        <v>566.26</v>
      </c>
      <c r="E27" s="155">
        <v>900</v>
      </c>
      <c r="F27" s="155">
        <v>424.66829999999999</v>
      </c>
      <c r="G27" s="183">
        <v>1.5</v>
      </c>
      <c r="H27" s="183">
        <f t="shared" si="2"/>
        <v>637.00244999999995</v>
      </c>
      <c r="I27" s="85">
        <f t="shared" ref="I27:I56" si="11">E27-H27</f>
        <v>262.99755000000005</v>
      </c>
      <c r="J27" s="153" t="s">
        <v>404</v>
      </c>
      <c r="K27" s="153">
        <v>973.76</v>
      </c>
      <c r="L27" s="153">
        <v>900</v>
      </c>
      <c r="M27" s="71">
        <f t="shared" si="9"/>
        <v>424.66829999999999</v>
      </c>
      <c r="N27" s="82">
        <f t="shared" ref="N27:N56" si="12">L27-H27</f>
        <v>262.99755000000005</v>
      </c>
      <c r="O27" s="201" t="str">
        <f t="shared" si="10"/>
        <v>No</v>
      </c>
      <c r="P27" s="230" t="s">
        <v>486</v>
      </c>
      <c r="Q27" s="264" t="s">
        <v>487</v>
      </c>
      <c r="X27" s="60" t="s">
        <v>84</v>
      </c>
      <c r="Y27" s="340">
        <v>0</v>
      </c>
      <c r="Z27" s="340">
        <v>0</v>
      </c>
      <c r="AA27" s="341">
        <v>0</v>
      </c>
      <c r="AB27" s="341">
        <v>0</v>
      </c>
      <c r="AC27" s="342">
        <v>0</v>
      </c>
      <c r="AD27" s="343">
        <f>SUM(Y27:AC27)</f>
        <v>0</v>
      </c>
      <c r="AE27" s="5"/>
      <c r="AF27" s="5"/>
      <c r="AG27" s="5"/>
      <c r="AH27" s="5"/>
      <c r="AI27" s="5"/>
      <c r="AJ27" s="5"/>
      <c r="AK27" s="5"/>
      <c r="AL27" s="5"/>
    </row>
    <row r="28" spans="1:38" ht="13.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95">
        <f>E15</f>
        <v>800</v>
      </c>
      <c r="F28" s="96">
        <v>414.50749999999999</v>
      </c>
      <c r="G28" s="183">
        <v>1.5</v>
      </c>
      <c r="H28" s="183">
        <f t="shared" si="2"/>
        <v>621.76125000000002</v>
      </c>
      <c r="I28" s="85">
        <f t="shared" si="11"/>
        <v>178.23874999999998</v>
      </c>
      <c r="J28" s="94" t="s">
        <v>402</v>
      </c>
      <c r="K28" s="94">
        <v>849.47500000000002</v>
      </c>
      <c r="L28" s="291">
        <v>600</v>
      </c>
      <c r="M28" s="93">
        <f t="shared" si="9"/>
        <v>414.50749999999999</v>
      </c>
      <c r="N28" s="82">
        <f t="shared" si="12"/>
        <v>-21.761250000000018</v>
      </c>
      <c r="O28" s="201" t="str">
        <f t="shared" si="10"/>
        <v>Yes</v>
      </c>
      <c r="P28" s="228" t="s">
        <v>8</v>
      </c>
      <c r="Q28" s="227">
        <v>44.68</v>
      </c>
      <c r="X28" s="60" t="s">
        <v>85</v>
      </c>
      <c r="Y28" s="340">
        <v>4</v>
      </c>
      <c r="Z28" s="340">
        <v>0</v>
      </c>
      <c r="AA28" s="340">
        <v>0</v>
      </c>
      <c r="AB28" s="340">
        <v>0</v>
      </c>
      <c r="AC28" s="342">
        <v>0</v>
      </c>
      <c r="AD28" s="60">
        <f t="shared" ref="AD28:AD38" si="13">SUM(Y28:AC28)</f>
        <v>4</v>
      </c>
      <c r="AE28" s="5"/>
      <c r="AF28" s="5"/>
      <c r="AG28" s="5"/>
      <c r="AH28" s="5"/>
      <c r="AI28" s="5"/>
      <c r="AJ28" s="5"/>
      <c r="AK28" s="5"/>
      <c r="AL28" s="5"/>
    </row>
    <row r="29" spans="1:38" ht="13.5" thickBot="1">
      <c r="A29" s="507"/>
      <c r="B29" s="63" t="s">
        <v>401</v>
      </c>
      <c r="C29" s="116" t="s">
        <v>386</v>
      </c>
      <c r="D29" s="96">
        <v>894.93</v>
      </c>
      <c r="E29" s="95">
        <f>E17</f>
        <v>450</v>
      </c>
      <c r="F29" s="96">
        <v>185.4342</v>
      </c>
      <c r="G29" s="183">
        <v>1.5</v>
      </c>
      <c r="H29" s="183">
        <f t="shared" si="2"/>
        <v>278.15129999999999</v>
      </c>
      <c r="I29" s="85">
        <f t="shared" si="11"/>
        <v>171.84870000000001</v>
      </c>
      <c r="J29" s="94" t="s">
        <v>385</v>
      </c>
      <c r="K29" s="94">
        <v>975.03499999999997</v>
      </c>
      <c r="L29" s="94">
        <v>450</v>
      </c>
      <c r="M29" s="93">
        <f t="shared" si="9"/>
        <v>185.4342</v>
      </c>
      <c r="N29" s="82">
        <f t="shared" si="12"/>
        <v>171.84870000000001</v>
      </c>
      <c r="O29" s="201" t="str">
        <f t="shared" si="10"/>
        <v>No</v>
      </c>
      <c r="P29" s="228" t="s">
        <v>490</v>
      </c>
      <c r="Q29" s="227" t="s">
        <v>491</v>
      </c>
      <c r="X29" s="60" t="s">
        <v>86</v>
      </c>
      <c r="Y29" s="340">
        <v>1</v>
      </c>
      <c r="Z29" s="340">
        <v>0</v>
      </c>
      <c r="AA29" s="340">
        <v>1</v>
      </c>
      <c r="AB29" s="340">
        <v>0</v>
      </c>
      <c r="AC29" s="342">
        <v>0</v>
      </c>
      <c r="AD29" s="60">
        <f t="shared" si="13"/>
        <v>2</v>
      </c>
      <c r="AE29" s="5"/>
      <c r="AF29" s="406" t="s">
        <v>512</v>
      </c>
      <c r="AG29" s="406" t="s">
        <v>513</v>
      </c>
      <c r="AH29" s="344" t="s">
        <v>514</v>
      </c>
      <c r="AI29" s="5"/>
      <c r="AJ29" s="5"/>
      <c r="AK29" s="5"/>
      <c r="AL29" s="5"/>
    </row>
    <row r="30" spans="1:38" ht="13.5" thickBot="1">
      <c r="A30" s="507"/>
      <c r="B30" s="98" t="s">
        <v>400</v>
      </c>
      <c r="C30" s="97" t="s">
        <v>378</v>
      </c>
      <c r="D30" s="110">
        <v>839.23</v>
      </c>
      <c r="E30" s="110">
        <f>E18</f>
        <v>450</v>
      </c>
      <c r="F30" s="110">
        <v>213.84829999999999</v>
      </c>
      <c r="G30" s="183">
        <v>1.5</v>
      </c>
      <c r="H30" s="183">
        <f t="shared" si="2"/>
        <v>320.77244999999999</v>
      </c>
      <c r="I30" s="85">
        <f t="shared" si="11"/>
        <v>129.22755000000001</v>
      </c>
      <c r="J30" s="108" t="s">
        <v>399</v>
      </c>
      <c r="K30" s="108">
        <v>1347.24</v>
      </c>
      <c r="L30" s="298">
        <v>300</v>
      </c>
      <c r="M30" s="107">
        <f t="shared" si="9"/>
        <v>213.84829999999999</v>
      </c>
      <c r="N30" s="82">
        <f t="shared" si="12"/>
        <v>-20.772449999999992</v>
      </c>
      <c r="O30" s="218" t="str">
        <f t="shared" si="10"/>
        <v>Yes</v>
      </c>
      <c r="P30" s="226" t="s">
        <v>384</v>
      </c>
      <c r="Q30" s="225">
        <v>726.84</v>
      </c>
      <c r="X30" s="60" t="s">
        <v>87</v>
      </c>
      <c r="Y30" s="340">
        <v>1</v>
      </c>
      <c r="Z30" s="340">
        <v>1</v>
      </c>
      <c r="AA30" s="340">
        <v>3</v>
      </c>
      <c r="AB30" s="340">
        <v>0</v>
      </c>
      <c r="AC30" s="342">
        <v>0</v>
      </c>
      <c r="AD30" s="60">
        <f t="shared" si="13"/>
        <v>5</v>
      </c>
      <c r="AE30" s="5"/>
      <c r="AF30" s="61" t="s">
        <v>507</v>
      </c>
      <c r="AG30" s="61">
        <v>100</v>
      </c>
      <c r="AH30" s="416">
        <v>15</v>
      </c>
      <c r="AI30" s="405"/>
      <c r="AJ30" s="5"/>
      <c r="AK30" s="5"/>
      <c r="AL30" s="5"/>
    </row>
    <row r="31" spans="1:38" ht="13.5" thickBot="1">
      <c r="A31" s="507"/>
      <c r="B31" s="98" t="s">
        <v>398</v>
      </c>
      <c r="C31" s="97" t="s">
        <v>52</v>
      </c>
      <c r="D31" s="96">
        <v>428.91</v>
      </c>
      <c r="E31" s="95">
        <f>E12</f>
        <v>600</v>
      </c>
      <c r="F31" s="96">
        <v>320.7817</v>
      </c>
      <c r="G31" s="183">
        <v>1.5</v>
      </c>
      <c r="H31" s="183">
        <f t="shared" si="2"/>
        <v>481.17255</v>
      </c>
      <c r="I31" s="85">
        <f t="shared" si="11"/>
        <v>118.82745</v>
      </c>
      <c r="J31" s="94" t="s">
        <v>397</v>
      </c>
      <c r="K31" s="94">
        <v>762.03</v>
      </c>
      <c r="L31" s="291">
        <v>450</v>
      </c>
      <c r="M31" s="93">
        <f t="shared" si="9"/>
        <v>320.7817</v>
      </c>
      <c r="N31" s="82">
        <f t="shared" si="12"/>
        <v>-31.172550000000001</v>
      </c>
      <c r="O31" s="218" t="str">
        <f t="shared" si="10"/>
        <v>Yes</v>
      </c>
      <c r="P31" s="228" t="s">
        <v>327</v>
      </c>
      <c r="Q31" s="227">
        <v>7.67</v>
      </c>
      <c r="X31" s="60" t="s">
        <v>88</v>
      </c>
      <c r="Y31" s="340">
        <v>2</v>
      </c>
      <c r="Z31" s="340">
        <v>1</v>
      </c>
      <c r="AA31" s="340">
        <v>5</v>
      </c>
      <c r="AB31" s="340">
        <v>0</v>
      </c>
      <c r="AC31" s="342">
        <v>0</v>
      </c>
      <c r="AD31" s="60">
        <f t="shared" si="13"/>
        <v>8</v>
      </c>
      <c r="AE31" s="334"/>
      <c r="AF31" s="345" t="s">
        <v>508</v>
      </c>
      <c r="AG31" s="345">
        <v>150</v>
      </c>
      <c r="AH31" s="417">
        <v>16.3689</v>
      </c>
      <c r="AI31" s="409"/>
      <c r="AJ31" s="5"/>
      <c r="AK31" s="5"/>
      <c r="AL31" s="5"/>
    </row>
    <row r="32" spans="1:38" ht="13.5" thickBot="1">
      <c r="A32" s="507"/>
      <c r="B32" s="98" t="s">
        <v>395</v>
      </c>
      <c r="C32" s="97" t="s">
        <v>56</v>
      </c>
      <c r="D32" s="96">
        <v>268.91000000000003</v>
      </c>
      <c r="E32" s="96">
        <v>500</v>
      </c>
      <c r="F32" s="96">
        <v>277.57420000000002</v>
      </c>
      <c r="G32" s="183">
        <v>1.5</v>
      </c>
      <c r="H32" s="183">
        <f t="shared" si="2"/>
        <v>416.36130000000003</v>
      </c>
      <c r="I32" s="85">
        <f t="shared" si="11"/>
        <v>83.638699999999972</v>
      </c>
      <c r="J32" s="94" t="s">
        <v>394</v>
      </c>
      <c r="K32" s="94">
        <v>922.03</v>
      </c>
      <c r="L32" s="291">
        <v>300</v>
      </c>
      <c r="M32" s="107">
        <f t="shared" si="9"/>
        <v>277.57420000000002</v>
      </c>
      <c r="N32" s="82">
        <f t="shared" si="12"/>
        <v>-116.36130000000003</v>
      </c>
      <c r="O32" s="201" t="str">
        <f t="shared" si="10"/>
        <v>Yes</v>
      </c>
      <c r="P32" s="226" t="s">
        <v>488</v>
      </c>
      <c r="Q32" s="225" t="s">
        <v>489</v>
      </c>
      <c r="T32" s="20"/>
      <c r="U32" s="58"/>
      <c r="V32" s="5"/>
      <c r="X32" s="60" t="s">
        <v>89</v>
      </c>
      <c r="Y32" s="340">
        <v>1</v>
      </c>
      <c r="Z32" s="340">
        <v>0</v>
      </c>
      <c r="AA32" s="340">
        <v>0</v>
      </c>
      <c r="AB32" s="340">
        <v>0</v>
      </c>
      <c r="AC32" s="342">
        <v>0</v>
      </c>
      <c r="AD32" s="60">
        <f t="shared" si="13"/>
        <v>1</v>
      </c>
      <c r="AE32" s="333"/>
      <c r="AF32" s="345" t="s">
        <v>509</v>
      </c>
      <c r="AG32" s="345">
        <v>200</v>
      </c>
      <c r="AH32" s="417">
        <v>16.746700000000001</v>
      </c>
      <c r="AI32" s="352"/>
      <c r="AJ32" s="5"/>
      <c r="AK32" s="5"/>
      <c r="AL32" s="5"/>
    </row>
    <row r="33" spans="1:38" ht="13.5" thickBot="1">
      <c r="A33" s="506" t="s">
        <v>382</v>
      </c>
      <c r="B33" s="88" t="s">
        <v>393</v>
      </c>
      <c r="C33" s="87" t="s">
        <v>392</v>
      </c>
      <c r="D33" s="86">
        <v>774.56</v>
      </c>
      <c r="E33" s="86">
        <f>E6</f>
        <v>1200</v>
      </c>
      <c r="F33" s="86">
        <v>593.39</v>
      </c>
      <c r="G33" s="183">
        <v>1.5</v>
      </c>
      <c r="H33" s="183">
        <f t="shared" si="2"/>
        <v>890.08500000000004</v>
      </c>
      <c r="I33" s="85">
        <f t="shared" si="11"/>
        <v>309.91499999999996</v>
      </c>
      <c r="J33" s="84" t="s">
        <v>391</v>
      </c>
      <c r="K33" s="84">
        <v>778.62</v>
      </c>
      <c r="L33" s="84">
        <v>1200</v>
      </c>
      <c r="M33" s="83">
        <f t="shared" si="9"/>
        <v>593.39</v>
      </c>
      <c r="N33" s="82">
        <f t="shared" si="12"/>
        <v>309.91499999999996</v>
      </c>
      <c r="O33" s="201" t="str">
        <f t="shared" si="10"/>
        <v>No</v>
      </c>
      <c r="P33" s="211"/>
      <c r="Q33" s="106"/>
      <c r="T33" s="553" t="s">
        <v>455</v>
      </c>
      <c r="U33" s="554"/>
      <c r="V33" s="305"/>
      <c r="X33" s="60" t="s">
        <v>90</v>
      </c>
      <c r="Y33" s="340">
        <v>0</v>
      </c>
      <c r="Z33" s="340">
        <v>0</v>
      </c>
      <c r="AA33" s="340">
        <v>1</v>
      </c>
      <c r="AB33" s="340">
        <v>0</v>
      </c>
      <c r="AC33" s="342">
        <v>0</v>
      </c>
      <c r="AD33" s="60">
        <f t="shared" si="13"/>
        <v>1</v>
      </c>
      <c r="AE33" s="333"/>
      <c r="AF33" s="345" t="s">
        <v>510</v>
      </c>
      <c r="AG33" s="345">
        <v>250</v>
      </c>
      <c r="AH33" s="417">
        <v>16.886600000000001</v>
      </c>
      <c r="AI33" s="409"/>
      <c r="AJ33" s="5"/>
      <c r="AK33" s="5"/>
      <c r="AL33" s="5"/>
    </row>
    <row r="34" spans="1:38" ht="13.5" thickBot="1">
      <c r="A34" s="507"/>
      <c r="B34" s="98" t="s">
        <v>387</v>
      </c>
      <c r="C34" s="97" t="s">
        <v>386</v>
      </c>
      <c r="D34" s="110">
        <v>894.93</v>
      </c>
      <c r="E34" s="109">
        <f>E17</f>
        <v>450</v>
      </c>
      <c r="F34" s="110">
        <v>185.4342</v>
      </c>
      <c r="G34" s="183">
        <v>1.5</v>
      </c>
      <c r="H34" s="183">
        <f t="shared" si="2"/>
        <v>278.15129999999999</v>
      </c>
      <c r="I34" s="85">
        <f t="shared" si="11"/>
        <v>171.84870000000001</v>
      </c>
      <c r="J34" s="108" t="s">
        <v>385</v>
      </c>
      <c r="K34" s="108">
        <v>975.03499999999997</v>
      </c>
      <c r="L34" s="108">
        <v>450</v>
      </c>
      <c r="M34" s="107">
        <f t="shared" si="9"/>
        <v>185.4342</v>
      </c>
      <c r="N34" s="82">
        <f t="shared" si="12"/>
        <v>171.84870000000001</v>
      </c>
      <c r="O34" s="201" t="str">
        <f t="shared" si="10"/>
        <v>No</v>
      </c>
      <c r="P34" s="209"/>
      <c r="Q34" s="105"/>
      <c r="T34" s="91"/>
      <c r="U34" s="20"/>
      <c r="V34" s="100"/>
      <c r="X34" s="60" t="s">
        <v>91</v>
      </c>
      <c r="Y34" s="340">
        <v>3</v>
      </c>
      <c r="Z34" s="340">
        <v>1</v>
      </c>
      <c r="AA34" s="342">
        <v>1</v>
      </c>
      <c r="AB34" s="342">
        <v>0</v>
      </c>
      <c r="AC34" s="342">
        <v>0</v>
      </c>
      <c r="AD34" s="60">
        <f t="shared" si="13"/>
        <v>5</v>
      </c>
      <c r="AE34" s="334"/>
      <c r="AF34" s="346" t="s">
        <v>558</v>
      </c>
      <c r="AG34" s="346">
        <v>300</v>
      </c>
      <c r="AH34" s="418">
        <v>17</v>
      </c>
      <c r="AI34" s="409"/>
      <c r="AJ34" s="5"/>
      <c r="AK34" s="5"/>
      <c r="AL34" s="5"/>
    </row>
    <row r="35" spans="1:38" ht="13.5" thickBot="1">
      <c r="A35" s="507"/>
      <c r="B35" s="98" t="s">
        <v>383</v>
      </c>
      <c r="C35" s="97" t="s">
        <v>382</v>
      </c>
      <c r="D35" s="96">
        <v>553.46500000000003</v>
      </c>
      <c r="E35" s="95">
        <v>900</v>
      </c>
      <c r="F35" s="96">
        <v>491.47570000000002</v>
      </c>
      <c r="G35" s="183">
        <v>1.5</v>
      </c>
      <c r="H35" s="183">
        <f t="shared" si="2"/>
        <v>737.21355000000005</v>
      </c>
      <c r="I35" s="85">
        <f t="shared" si="11"/>
        <v>162.78644999999995</v>
      </c>
      <c r="J35" s="94" t="s">
        <v>381</v>
      </c>
      <c r="K35" s="94">
        <v>660.12</v>
      </c>
      <c r="L35" s="94">
        <v>900</v>
      </c>
      <c r="M35" s="93">
        <f t="shared" si="9"/>
        <v>491.47570000000002</v>
      </c>
      <c r="N35" s="82">
        <f t="shared" si="12"/>
        <v>162.78644999999995</v>
      </c>
      <c r="O35" s="201" t="str">
        <f t="shared" si="10"/>
        <v>No</v>
      </c>
      <c r="P35" s="222"/>
      <c r="Q35" s="134"/>
      <c r="T35" s="302" t="s">
        <v>390</v>
      </c>
      <c r="U35" s="197" t="s">
        <v>389</v>
      </c>
      <c r="V35" s="303" t="s">
        <v>388</v>
      </c>
      <c r="X35" s="60" t="s">
        <v>92</v>
      </c>
      <c r="Y35" s="342">
        <v>1</v>
      </c>
      <c r="Z35" s="342">
        <v>1</v>
      </c>
      <c r="AA35" s="342">
        <v>0</v>
      </c>
      <c r="AB35" s="342">
        <v>0</v>
      </c>
      <c r="AC35" s="342">
        <v>0</v>
      </c>
      <c r="AD35" s="60">
        <f t="shared" si="13"/>
        <v>2</v>
      </c>
      <c r="AE35" s="334"/>
      <c r="AF35" s="409"/>
      <c r="AG35" s="409"/>
      <c r="AH35" s="5"/>
      <c r="AI35" s="409"/>
      <c r="AJ35" s="5"/>
      <c r="AK35" s="5"/>
      <c r="AL35" s="5"/>
    </row>
    <row r="36" spans="1:38" ht="13.5" thickBot="1">
      <c r="A36" s="506" t="s">
        <v>375</v>
      </c>
      <c r="B36" s="88" t="s">
        <v>379</v>
      </c>
      <c r="C36" s="87" t="s">
        <v>378</v>
      </c>
      <c r="D36" s="86">
        <v>839.23</v>
      </c>
      <c r="E36" s="85">
        <f>E18</f>
        <v>450</v>
      </c>
      <c r="F36" s="86">
        <v>213.84829999999999</v>
      </c>
      <c r="G36" s="183">
        <v>1.5</v>
      </c>
      <c r="H36" s="183">
        <f t="shared" si="2"/>
        <v>320.77244999999999</v>
      </c>
      <c r="I36" s="85">
        <f t="shared" si="11"/>
        <v>129.22755000000001</v>
      </c>
      <c r="J36" s="84" t="s">
        <v>377</v>
      </c>
      <c r="K36" s="84">
        <v>844.89</v>
      </c>
      <c r="L36" s="84">
        <v>450</v>
      </c>
      <c r="M36" s="83">
        <f t="shared" si="9"/>
        <v>213.84829999999999</v>
      </c>
      <c r="N36" s="82">
        <f t="shared" si="12"/>
        <v>129.22755000000001</v>
      </c>
      <c r="O36" s="205" t="str">
        <f t="shared" si="10"/>
        <v>No</v>
      </c>
      <c r="P36" s="206"/>
      <c r="Q36" s="77"/>
      <c r="T36" s="167" t="s">
        <v>7</v>
      </c>
      <c r="U36" s="166">
        <v>126.34</v>
      </c>
      <c r="V36" s="100">
        <f>(U36/E21)*100</f>
        <v>31.585000000000001</v>
      </c>
      <c r="X36" s="60" t="s">
        <v>93</v>
      </c>
      <c r="Y36" s="342">
        <v>1</v>
      </c>
      <c r="Z36" s="340">
        <v>0</v>
      </c>
      <c r="AA36" s="342">
        <v>3</v>
      </c>
      <c r="AB36" s="342">
        <v>0</v>
      </c>
      <c r="AC36" s="342">
        <v>0</v>
      </c>
      <c r="AD36" s="60">
        <f t="shared" si="13"/>
        <v>4</v>
      </c>
      <c r="AE36" s="334"/>
      <c r="AF36" s="409"/>
      <c r="AG36" s="409"/>
      <c r="AH36" s="5"/>
      <c r="AI36" s="409"/>
      <c r="AJ36" s="5"/>
      <c r="AK36" s="5"/>
      <c r="AL36" s="5"/>
    </row>
    <row r="37" spans="1:38" ht="13.5" thickBot="1">
      <c r="A37" s="507"/>
      <c r="B37" s="98" t="s">
        <v>376</v>
      </c>
      <c r="C37" s="97" t="s">
        <v>375</v>
      </c>
      <c r="D37" s="96">
        <v>497.76499999999999</v>
      </c>
      <c r="E37" s="96">
        <v>2200</v>
      </c>
      <c r="F37" s="96">
        <v>1151.328</v>
      </c>
      <c r="G37" s="183">
        <v>1.5</v>
      </c>
      <c r="H37" s="183">
        <f t="shared" si="2"/>
        <v>1726.992</v>
      </c>
      <c r="I37" s="85">
        <f t="shared" si="11"/>
        <v>473.00800000000004</v>
      </c>
      <c r="J37" s="94" t="s">
        <v>374</v>
      </c>
      <c r="K37" s="94">
        <v>503.42500000000001</v>
      </c>
      <c r="L37" s="94">
        <v>2200</v>
      </c>
      <c r="M37" s="93">
        <f t="shared" si="9"/>
        <v>1151.328</v>
      </c>
      <c r="N37" s="82">
        <f t="shared" si="12"/>
        <v>473.00800000000004</v>
      </c>
      <c r="O37" s="205" t="str">
        <f t="shared" si="10"/>
        <v>No</v>
      </c>
      <c r="P37" s="204"/>
      <c r="Q37" s="66"/>
      <c r="T37" s="167" t="s">
        <v>12</v>
      </c>
      <c r="U37" s="166">
        <v>36.72</v>
      </c>
      <c r="V37" s="100">
        <f>(U37/E31)*100</f>
        <v>6.12</v>
      </c>
      <c r="X37" s="60" t="s">
        <v>94</v>
      </c>
      <c r="Y37" s="342">
        <v>4</v>
      </c>
      <c r="Z37" s="340">
        <v>0</v>
      </c>
      <c r="AA37" s="342">
        <v>2</v>
      </c>
      <c r="AB37" s="342">
        <v>0</v>
      </c>
      <c r="AC37" s="342">
        <v>0</v>
      </c>
      <c r="AD37" s="60">
        <f t="shared" si="13"/>
        <v>6</v>
      </c>
      <c r="AE37" s="18"/>
      <c r="AF37" s="18"/>
      <c r="AG37" s="409"/>
      <c r="AH37" s="5"/>
      <c r="AI37" s="409"/>
      <c r="AJ37" s="5"/>
      <c r="AK37" s="5"/>
      <c r="AL37" s="5"/>
    </row>
    <row r="38" spans="1:38" ht="13.5" thickBot="1">
      <c r="A38" s="262" t="s">
        <v>372</v>
      </c>
      <c r="B38" s="88" t="s">
        <v>373</v>
      </c>
      <c r="C38" s="87" t="s">
        <v>372</v>
      </c>
      <c r="D38" s="86">
        <v>285.27999999999997</v>
      </c>
      <c r="E38" s="86">
        <v>1500</v>
      </c>
      <c r="F38" s="86">
        <v>779.52329999999995</v>
      </c>
      <c r="G38" s="183">
        <v>1.5</v>
      </c>
      <c r="H38" s="183">
        <f t="shared" si="2"/>
        <v>1169.28495</v>
      </c>
      <c r="I38" s="85">
        <f t="shared" si="11"/>
        <v>330.71505000000002</v>
      </c>
      <c r="J38" s="84" t="s">
        <v>371</v>
      </c>
      <c r="K38" s="84">
        <v>539.80499999999995</v>
      </c>
      <c r="L38" s="299">
        <v>900</v>
      </c>
      <c r="M38" s="83">
        <f t="shared" si="9"/>
        <v>779.52329999999995</v>
      </c>
      <c r="N38" s="82">
        <f t="shared" si="12"/>
        <v>-269.28494999999998</v>
      </c>
      <c r="O38" s="221" t="str">
        <f t="shared" si="10"/>
        <v>Yes</v>
      </c>
      <c r="P38" s="220" t="s">
        <v>492</v>
      </c>
      <c r="Q38" s="219" t="s">
        <v>493</v>
      </c>
      <c r="T38" s="167" t="s">
        <v>10</v>
      </c>
      <c r="U38" s="166">
        <v>160</v>
      </c>
      <c r="V38" s="100"/>
      <c r="X38" s="347" t="s">
        <v>505</v>
      </c>
      <c r="Y38" s="348">
        <v>0</v>
      </c>
      <c r="Z38" s="348">
        <v>0</v>
      </c>
      <c r="AA38" s="348">
        <v>0</v>
      </c>
      <c r="AB38" s="348">
        <v>0</v>
      </c>
      <c r="AC38" s="348">
        <v>0</v>
      </c>
      <c r="AD38" s="347">
        <f t="shared" si="13"/>
        <v>0</v>
      </c>
      <c r="AE38" s="334"/>
      <c r="AF38" s="520" t="s">
        <v>581</v>
      </c>
      <c r="AG38" s="521"/>
      <c r="AH38" s="521"/>
      <c r="AI38" s="521"/>
      <c r="AJ38" s="521"/>
      <c r="AK38" s="522"/>
      <c r="AL38" s="164"/>
    </row>
    <row r="39" spans="1:38" ht="13.5" thickBot="1">
      <c r="A39" s="506" t="s">
        <v>60</v>
      </c>
      <c r="B39" s="88" t="s">
        <v>368</v>
      </c>
      <c r="C39" s="87" t="s">
        <v>367</v>
      </c>
      <c r="D39" s="86">
        <v>239.47</v>
      </c>
      <c r="E39" s="85">
        <v>1750</v>
      </c>
      <c r="F39" s="86">
        <v>886.15449999999998</v>
      </c>
      <c r="G39" s="183">
        <v>1.5</v>
      </c>
      <c r="H39" s="183">
        <f t="shared" si="2"/>
        <v>1329.2317499999999</v>
      </c>
      <c r="I39" s="85">
        <f t="shared" si="11"/>
        <v>420.76825000000008</v>
      </c>
      <c r="J39" s="84" t="s">
        <v>366</v>
      </c>
      <c r="K39" s="84">
        <v>585.61500000000001</v>
      </c>
      <c r="L39" s="299">
        <v>1050</v>
      </c>
      <c r="M39" s="83">
        <f t="shared" si="9"/>
        <v>886.15449999999998</v>
      </c>
      <c r="N39" s="82">
        <f t="shared" si="12"/>
        <v>-279.23174999999992</v>
      </c>
      <c r="O39" s="218" t="str">
        <f t="shared" si="10"/>
        <v>Yes</v>
      </c>
      <c r="P39" s="217" t="s">
        <v>454</v>
      </c>
      <c r="Q39" s="216" t="s">
        <v>494</v>
      </c>
      <c r="T39" s="167" t="s">
        <v>27</v>
      </c>
      <c r="U39" s="166">
        <v>285</v>
      </c>
      <c r="V39" s="100">
        <f>(U39/E46)*100</f>
        <v>71.25</v>
      </c>
      <c r="X39" s="312" t="s">
        <v>515</v>
      </c>
      <c r="Y39" s="349">
        <f t="shared" ref="Y39:AD39" si="14">SUM(Y27:Y38)</f>
        <v>18</v>
      </c>
      <c r="Z39" s="349">
        <f t="shared" si="14"/>
        <v>4</v>
      </c>
      <c r="AA39" s="349">
        <f t="shared" si="14"/>
        <v>16</v>
      </c>
      <c r="AB39" s="349">
        <f t="shared" si="14"/>
        <v>0</v>
      </c>
      <c r="AC39" s="349">
        <f t="shared" si="14"/>
        <v>0</v>
      </c>
      <c r="AD39" s="350">
        <f t="shared" si="14"/>
        <v>38</v>
      </c>
      <c r="AE39" s="334"/>
      <c r="AF39" s="336" t="s">
        <v>506</v>
      </c>
      <c r="AG39" s="338" t="s">
        <v>507</v>
      </c>
      <c r="AH39" s="338" t="s">
        <v>508</v>
      </c>
      <c r="AI39" s="338" t="s">
        <v>509</v>
      </c>
      <c r="AJ39" s="338" t="s">
        <v>510</v>
      </c>
      <c r="AK39" s="339" t="s">
        <v>558</v>
      </c>
      <c r="AL39" s="312" t="s">
        <v>417</v>
      </c>
    </row>
    <row r="40" spans="1:38" ht="13.5" thickBot="1">
      <c r="A40" s="511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183">
        <v>1.5</v>
      </c>
      <c r="H40" s="183">
        <f t="shared" si="2"/>
        <v>350.71049999999997</v>
      </c>
      <c r="I40" s="85">
        <f t="shared" si="11"/>
        <v>249.28950000000003</v>
      </c>
      <c r="J40" s="72" t="s">
        <v>328</v>
      </c>
      <c r="K40" s="72">
        <v>673.16499999999996</v>
      </c>
      <c r="L40" s="300">
        <v>450</v>
      </c>
      <c r="M40" s="120">
        <f t="shared" si="9"/>
        <v>233.80699999999999</v>
      </c>
      <c r="N40" s="82">
        <f t="shared" si="12"/>
        <v>99.289500000000032</v>
      </c>
      <c r="O40" s="201" t="str">
        <f t="shared" si="10"/>
        <v>No</v>
      </c>
      <c r="P40" s="215" t="s">
        <v>453</v>
      </c>
      <c r="Q40" s="214" t="s">
        <v>495</v>
      </c>
      <c r="T40" s="167" t="s">
        <v>327</v>
      </c>
      <c r="U40" s="166">
        <v>357.58</v>
      </c>
      <c r="V40" s="100">
        <f>(U40/E35)*100</f>
        <v>39.731111111111112</v>
      </c>
      <c r="X40" s="312" t="s">
        <v>514</v>
      </c>
      <c r="Y40" s="351">
        <f>PRODUCT(Y39*AH30)</f>
        <v>270</v>
      </c>
      <c r="Z40" s="414">
        <f>PRODUCT(Z39*AH31)</f>
        <v>65.4756</v>
      </c>
      <c r="AA40" s="414">
        <f>PRODUCT(AA39*AH32)</f>
        <v>267.94720000000001</v>
      </c>
      <c r="AB40" s="414">
        <f>PRODUCT(AB39*AH33)</f>
        <v>0</v>
      </c>
      <c r="AC40" s="414">
        <f>PRODUCT(AC39*AH34)</f>
        <v>0</v>
      </c>
      <c r="AD40" s="415">
        <f>SUM(Y40:AC40)</f>
        <v>603.42280000000005</v>
      </c>
      <c r="AE40" s="334"/>
      <c r="AF40" s="60" t="s">
        <v>84</v>
      </c>
      <c r="AG40" s="342">
        <f>Y27+Y47</f>
        <v>0</v>
      </c>
      <c r="AH40" s="342">
        <f t="shared" ref="AH40:AK51" si="15">Z27+Z47</f>
        <v>8</v>
      </c>
      <c r="AI40" s="342">
        <f t="shared" si="15"/>
        <v>3</v>
      </c>
      <c r="AJ40" s="342">
        <f t="shared" si="15"/>
        <v>2</v>
      </c>
      <c r="AK40" s="342">
        <f t="shared" si="15"/>
        <v>0</v>
      </c>
      <c r="AL40" s="343">
        <f>SUM(AG40:AK40)</f>
        <v>13</v>
      </c>
    </row>
    <row r="41" spans="1:38" ht="13.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96">
        <f>E22</f>
        <v>750</v>
      </c>
      <c r="F41" s="96">
        <v>416.14780000000002</v>
      </c>
      <c r="G41" s="183">
        <v>1.5</v>
      </c>
      <c r="H41" s="183">
        <f t="shared" si="2"/>
        <v>624.22170000000006</v>
      </c>
      <c r="I41" s="85">
        <f t="shared" si="11"/>
        <v>125.77829999999994</v>
      </c>
      <c r="J41" s="94" t="s">
        <v>361</v>
      </c>
      <c r="K41" s="94">
        <v>692.19500000000005</v>
      </c>
      <c r="L41" s="94">
        <v>750</v>
      </c>
      <c r="M41" s="93">
        <f t="shared" si="9"/>
        <v>416.14780000000002</v>
      </c>
      <c r="N41" s="82">
        <f t="shared" si="12"/>
        <v>125.77829999999994</v>
      </c>
      <c r="O41" s="201" t="str">
        <f t="shared" si="10"/>
        <v>No</v>
      </c>
      <c r="P41" s="209"/>
      <c r="Q41" s="105"/>
      <c r="T41" s="167" t="s">
        <v>19</v>
      </c>
      <c r="U41" s="166">
        <v>75</v>
      </c>
      <c r="V41" s="100">
        <f>(U41/E38)*100</f>
        <v>5</v>
      </c>
      <c r="X41" s="312" t="s">
        <v>513</v>
      </c>
      <c r="Y41" s="351">
        <f>Y39*AG30</f>
        <v>1800</v>
      </c>
      <c r="Z41" s="351">
        <f>Z39*AG31</f>
        <v>600</v>
      </c>
      <c r="AA41" s="351">
        <f>AA39*AG32</f>
        <v>3200</v>
      </c>
      <c r="AB41" s="351">
        <f>AB39*AG33</f>
        <v>0</v>
      </c>
      <c r="AC41" s="351">
        <f>AC39*AG34</f>
        <v>0</v>
      </c>
      <c r="AD41" s="312">
        <f>SUM(Y41:AC41)</f>
        <v>5600</v>
      </c>
      <c r="AE41" s="334"/>
      <c r="AF41" s="60" t="s">
        <v>85</v>
      </c>
      <c r="AG41" s="342">
        <f t="shared" ref="AG41:AG51" si="16">Y28+Y48</f>
        <v>4</v>
      </c>
      <c r="AH41" s="342">
        <f t="shared" si="15"/>
        <v>11</v>
      </c>
      <c r="AI41" s="342">
        <f t="shared" si="15"/>
        <v>6</v>
      </c>
      <c r="AJ41" s="342">
        <f t="shared" si="15"/>
        <v>0</v>
      </c>
      <c r="AK41" s="342">
        <f t="shared" si="15"/>
        <v>4</v>
      </c>
      <c r="AL41" s="60">
        <f t="shared" ref="AL41:AL51" si="17">SUM(AG41:AK41)</f>
        <v>25</v>
      </c>
    </row>
    <row r="42" spans="1:38" ht="13.5" thickBot="1">
      <c r="A42" s="507"/>
      <c r="B42" s="98" t="s">
        <v>360</v>
      </c>
      <c r="C42" s="97" t="s">
        <v>55</v>
      </c>
      <c r="D42" s="110">
        <v>566.26</v>
      </c>
      <c r="E42" s="110">
        <f>E27</f>
        <v>900</v>
      </c>
      <c r="F42" s="110">
        <v>424.66829999999999</v>
      </c>
      <c r="G42" s="183">
        <v>1.5</v>
      </c>
      <c r="H42" s="183">
        <f t="shared" si="2"/>
        <v>637.00244999999995</v>
      </c>
      <c r="I42" s="85">
        <f t="shared" si="11"/>
        <v>262.99755000000005</v>
      </c>
      <c r="J42" s="108" t="s">
        <v>359</v>
      </c>
      <c r="K42" s="108">
        <v>1033.6600000000001</v>
      </c>
      <c r="L42" s="108">
        <v>900</v>
      </c>
      <c r="M42" s="107">
        <f t="shared" si="9"/>
        <v>424.66829999999999</v>
      </c>
      <c r="N42" s="82">
        <f t="shared" si="12"/>
        <v>262.99755000000005</v>
      </c>
      <c r="O42" s="201" t="str">
        <f t="shared" si="10"/>
        <v>No</v>
      </c>
      <c r="P42" s="209"/>
      <c r="Q42" s="105"/>
      <c r="T42" s="167" t="s">
        <v>28</v>
      </c>
      <c r="U42" s="166">
        <v>237</v>
      </c>
      <c r="V42" s="100">
        <f>(U42/E47)*100</f>
        <v>79</v>
      </c>
      <c r="X42" s="334"/>
      <c r="Y42" s="334"/>
      <c r="Z42" s="334"/>
      <c r="AA42" s="334"/>
      <c r="AB42" s="334"/>
      <c r="AC42" s="334"/>
      <c r="AD42" s="334"/>
      <c r="AE42" s="334"/>
      <c r="AF42" s="60" t="s">
        <v>86</v>
      </c>
      <c r="AG42" s="342">
        <f t="shared" si="16"/>
        <v>1</v>
      </c>
      <c r="AH42" s="342">
        <f t="shared" si="15"/>
        <v>0</v>
      </c>
      <c r="AI42" s="342">
        <f t="shared" si="15"/>
        <v>5</v>
      </c>
      <c r="AJ42" s="342">
        <f t="shared" si="15"/>
        <v>0</v>
      </c>
      <c r="AK42" s="342">
        <f t="shared" si="15"/>
        <v>2</v>
      </c>
      <c r="AL42" s="60">
        <f t="shared" si="17"/>
        <v>8</v>
      </c>
    </row>
    <row r="43" spans="1:38" ht="13.5" thickBot="1">
      <c r="A43" s="507"/>
      <c r="B43" s="98" t="s">
        <v>358</v>
      </c>
      <c r="C43" s="97" t="s">
        <v>62</v>
      </c>
      <c r="D43" s="96">
        <v>174.54</v>
      </c>
      <c r="E43" s="96">
        <v>250</v>
      </c>
      <c r="F43" s="96">
        <v>80.336669999999998</v>
      </c>
      <c r="G43" s="183">
        <v>1.5</v>
      </c>
      <c r="H43" s="183">
        <f t="shared" si="2"/>
        <v>120.505005</v>
      </c>
      <c r="I43" s="85">
        <f t="shared" si="11"/>
        <v>129.49499500000002</v>
      </c>
      <c r="J43" s="94" t="s">
        <v>357</v>
      </c>
      <c r="K43" s="94">
        <v>811.21</v>
      </c>
      <c r="L43" s="291">
        <v>150</v>
      </c>
      <c r="M43" s="107">
        <f t="shared" si="9"/>
        <v>80.336669999999998</v>
      </c>
      <c r="N43" s="82">
        <f t="shared" si="12"/>
        <v>29.494995000000003</v>
      </c>
      <c r="O43" s="201" t="str">
        <f t="shared" si="10"/>
        <v>No</v>
      </c>
      <c r="P43" s="209"/>
      <c r="Q43" s="105"/>
      <c r="T43" s="167" t="s">
        <v>30</v>
      </c>
      <c r="U43" s="166">
        <v>211</v>
      </c>
      <c r="V43" s="100">
        <f>(U43/E52)*100</f>
        <v>52.75</v>
      </c>
      <c r="X43" s="334"/>
      <c r="Y43" s="334"/>
      <c r="Z43" s="334"/>
      <c r="AA43" s="334"/>
      <c r="AB43" s="334"/>
      <c r="AC43" s="334"/>
      <c r="AD43" s="334"/>
      <c r="AE43" s="334"/>
      <c r="AF43" s="60" t="s">
        <v>87</v>
      </c>
      <c r="AG43" s="342">
        <f t="shared" si="16"/>
        <v>1</v>
      </c>
      <c r="AH43" s="342">
        <f t="shared" si="15"/>
        <v>21</v>
      </c>
      <c r="AI43" s="342">
        <f t="shared" si="15"/>
        <v>30</v>
      </c>
      <c r="AJ43" s="342">
        <f t="shared" si="15"/>
        <v>15</v>
      </c>
      <c r="AK43" s="342">
        <f t="shared" si="15"/>
        <v>0</v>
      </c>
      <c r="AL43" s="60">
        <f t="shared" si="17"/>
        <v>67</v>
      </c>
    </row>
    <row r="44" spans="1:38" ht="13.5" thickBot="1">
      <c r="A44" s="262" t="s">
        <v>355</v>
      </c>
      <c r="B44" s="88" t="s">
        <v>356</v>
      </c>
      <c r="C44" s="87" t="s">
        <v>355</v>
      </c>
      <c r="D44" s="86">
        <v>517.28</v>
      </c>
      <c r="E44" s="86">
        <v>200</v>
      </c>
      <c r="F44" s="86">
        <v>67.241829999999993</v>
      </c>
      <c r="G44" s="183">
        <v>1.5</v>
      </c>
      <c r="H44" s="183">
        <f t="shared" si="2"/>
        <v>100.86274499999999</v>
      </c>
      <c r="I44" s="85">
        <f t="shared" si="11"/>
        <v>99.13725500000001</v>
      </c>
      <c r="J44" s="84" t="s">
        <v>354</v>
      </c>
      <c r="K44" s="84">
        <v>607.995</v>
      </c>
      <c r="L44" s="299">
        <v>150</v>
      </c>
      <c r="M44" s="83">
        <f t="shared" si="9"/>
        <v>67.241829999999993</v>
      </c>
      <c r="N44" s="82">
        <f t="shared" si="12"/>
        <v>49.13725500000001</v>
      </c>
      <c r="O44" s="205" t="str">
        <f t="shared" si="10"/>
        <v>No</v>
      </c>
      <c r="P44" s="213"/>
      <c r="Q44" s="212"/>
      <c r="T44" s="167" t="s">
        <v>31</v>
      </c>
      <c r="U44" s="166">
        <v>573</v>
      </c>
      <c r="V44" s="100">
        <f>U44/E54 * 100</f>
        <v>286.5</v>
      </c>
      <c r="X44" s="334"/>
      <c r="Y44" s="334"/>
      <c r="Z44" s="334"/>
      <c r="AA44" s="334"/>
      <c r="AB44" s="334"/>
      <c r="AC44" s="334"/>
      <c r="AD44" s="334"/>
      <c r="AE44" s="334"/>
      <c r="AF44" s="60" t="s">
        <v>88</v>
      </c>
      <c r="AG44" s="342">
        <f t="shared" si="16"/>
        <v>2</v>
      </c>
      <c r="AH44" s="342">
        <f t="shared" si="15"/>
        <v>1</v>
      </c>
      <c r="AI44" s="342">
        <f t="shared" si="15"/>
        <v>18</v>
      </c>
      <c r="AJ44" s="342">
        <f t="shared" si="15"/>
        <v>1</v>
      </c>
      <c r="AK44" s="342">
        <f t="shared" si="15"/>
        <v>0</v>
      </c>
      <c r="AL44" s="60">
        <f t="shared" si="17"/>
        <v>22</v>
      </c>
    </row>
    <row r="45" spans="1:38" ht="13.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86">
        <v>450</v>
      </c>
      <c r="F45" s="86">
        <v>175.91919999999999</v>
      </c>
      <c r="G45" s="183">
        <v>1.5</v>
      </c>
      <c r="H45" s="183">
        <f t="shared" si="2"/>
        <v>263.87879999999996</v>
      </c>
      <c r="I45" s="85">
        <f t="shared" si="11"/>
        <v>186.12120000000004</v>
      </c>
      <c r="J45" s="84" t="s">
        <v>352</v>
      </c>
      <c r="K45" s="84">
        <v>1051.23</v>
      </c>
      <c r="L45" s="84">
        <v>450</v>
      </c>
      <c r="M45" s="83">
        <f t="shared" si="9"/>
        <v>175.91919999999999</v>
      </c>
      <c r="N45" s="82">
        <f t="shared" si="12"/>
        <v>186.12120000000004</v>
      </c>
      <c r="O45" s="201" t="str">
        <f t="shared" si="10"/>
        <v>No</v>
      </c>
      <c r="P45" s="211"/>
      <c r="Q45" s="106"/>
      <c r="T45" s="167" t="s">
        <v>14</v>
      </c>
      <c r="U45" s="166">
        <v>727</v>
      </c>
      <c r="V45" s="100">
        <f>U45/E26 * 100</f>
        <v>60.583333333333336</v>
      </c>
      <c r="X45" s="520" t="s">
        <v>580</v>
      </c>
      <c r="Y45" s="521"/>
      <c r="Z45" s="521"/>
      <c r="AA45" s="521"/>
      <c r="AB45" s="521"/>
      <c r="AC45" s="522"/>
      <c r="AD45" s="164"/>
      <c r="AE45" s="334"/>
      <c r="AF45" s="60" t="s">
        <v>89</v>
      </c>
      <c r="AG45" s="342">
        <f t="shared" si="16"/>
        <v>1</v>
      </c>
      <c r="AH45" s="342">
        <f t="shared" si="15"/>
        <v>13</v>
      </c>
      <c r="AI45" s="342">
        <f t="shared" si="15"/>
        <v>1</v>
      </c>
      <c r="AJ45" s="342">
        <f t="shared" si="15"/>
        <v>1</v>
      </c>
      <c r="AK45" s="342">
        <f t="shared" si="15"/>
        <v>0</v>
      </c>
      <c r="AL45" s="60">
        <f t="shared" si="17"/>
        <v>16</v>
      </c>
    </row>
    <row r="46" spans="1:38" ht="13.5" thickBot="1">
      <c r="A46" s="507"/>
      <c r="B46" s="98" t="s">
        <v>350</v>
      </c>
      <c r="C46" s="97" t="s">
        <v>349</v>
      </c>
      <c r="D46" s="110">
        <v>374.84</v>
      </c>
      <c r="E46" s="110">
        <v>400</v>
      </c>
      <c r="F46" s="110">
        <v>115.1143</v>
      </c>
      <c r="G46" s="183">
        <v>1.5</v>
      </c>
      <c r="H46" s="183">
        <f t="shared" si="2"/>
        <v>172.67144999999999</v>
      </c>
      <c r="I46" s="85">
        <f t="shared" si="11"/>
        <v>227.32855000000001</v>
      </c>
      <c r="J46" s="108" t="s">
        <v>348</v>
      </c>
      <c r="K46" s="108">
        <v>838.745</v>
      </c>
      <c r="L46" s="298">
        <v>300</v>
      </c>
      <c r="M46" s="107">
        <f t="shared" si="9"/>
        <v>115.1143</v>
      </c>
      <c r="N46" s="82">
        <f t="shared" si="12"/>
        <v>127.32855000000001</v>
      </c>
      <c r="O46" s="201" t="str">
        <f t="shared" si="10"/>
        <v>No</v>
      </c>
      <c r="P46" s="210"/>
      <c r="Q46" s="207"/>
      <c r="T46" s="167" t="s">
        <v>18</v>
      </c>
      <c r="U46" s="166">
        <v>256</v>
      </c>
      <c r="V46" s="100">
        <f>U46/E37 * 100</f>
        <v>11.636363636363637</v>
      </c>
      <c r="X46" s="336" t="s">
        <v>506</v>
      </c>
      <c r="Y46" s="338" t="s">
        <v>507</v>
      </c>
      <c r="Z46" s="338" t="s">
        <v>508</v>
      </c>
      <c r="AA46" s="338" t="s">
        <v>509</v>
      </c>
      <c r="AB46" s="338" t="s">
        <v>510</v>
      </c>
      <c r="AC46" s="339" t="s">
        <v>558</v>
      </c>
      <c r="AD46" s="312" t="s">
        <v>417</v>
      </c>
      <c r="AE46" s="334"/>
      <c r="AF46" s="60" t="s">
        <v>90</v>
      </c>
      <c r="AG46" s="342">
        <f t="shared" si="16"/>
        <v>0</v>
      </c>
      <c r="AH46" s="342">
        <f t="shared" si="15"/>
        <v>0</v>
      </c>
      <c r="AI46" s="342">
        <f t="shared" si="15"/>
        <v>2</v>
      </c>
      <c r="AJ46" s="342">
        <f t="shared" si="15"/>
        <v>2</v>
      </c>
      <c r="AK46" s="342">
        <f t="shared" si="15"/>
        <v>2</v>
      </c>
      <c r="AL46" s="60">
        <f t="shared" si="17"/>
        <v>6</v>
      </c>
    </row>
    <row r="47" spans="1:38" ht="13.5" thickBot="1">
      <c r="A47" s="507"/>
      <c r="B47" s="98" t="s">
        <v>347</v>
      </c>
      <c r="C47" s="97" t="s">
        <v>335</v>
      </c>
      <c r="D47" s="110">
        <v>675.17499999999995</v>
      </c>
      <c r="E47" s="110">
        <v>300</v>
      </c>
      <c r="F47" s="110">
        <v>87.5685</v>
      </c>
      <c r="G47" s="183">
        <v>1.5</v>
      </c>
      <c r="H47" s="183">
        <f t="shared" si="2"/>
        <v>131.35275000000001</v>
      </c>
      <c r="I47" s="85">
        <f t="shared" si="11"/>
        <v>168.64724999999999</v>
      </c>
      <c r="J47" s="108" t="s">
        <v>346</v>
      </c>
      <c r="K47" s="108">
        <v>792.93499999999995</v>
      </c>
      <c r="L47" s="108">
        <v>300</v>
      </c>
      <c r="M47" s="107">
        <f t="shared" si="9"/>
        <v>87.5685</v>
      </c>
      <c r="N47" s="82">
        <f t="shared" si="12"/>
        <v>168.64724999999999</v>
      </c>
      <c r="O47" s="201" t="str">
        <f t="shared" si="10"/>
        <v>No</v>
      </c>
      <c r="P47" s="210"/>
      <c r="Q47" s="207"/>
      <c r="T47" s="167" t="s">
        <v>22</v>
      </c>
      <c r="U47" s="166">
        <v>26.05</v>
      </c>
      <c r="V47" s="307"/>
      <c r="X47" s="60" t="s">
        <v>84</v>
      </c>
      <c r="Y47" s="342">
        <v>0</v>
      </c>
      <c r="Z47" s="342">
        <f>8</f>
        <v>8</v>
      </c>
      <c r="AA47" s="412">
        <f>2+1</f>
        <v>3</v>
      </c>
      <c r="AB47" s="412">
        <f>2</f>
        <v>2</v>
      </c>
      <c r="AC47" s="342">
        <v>0</v>
      </c>
      <c r="AD47" s="343">
        <f>SUM(Y47:AC47)</f>
        <v>13</v>
      </c>
      <c r="AE47" s="334"/>
      <c r="AF47" s="60" t="s">
        <v>91</v>
      </c>
      <c r="AG47" s="342">
        <f t="shared" si="16"/>
        <v>3</v>
      </c>
      <c r="AH47" s="342">
        <f t="shared" si="15"/>
        <v>18</v>
      </c>
      <c r="AI47" s="342">
        <f t="shared" si="15"/>
        <v>4</v>
      </c>
      <c r="AJ47" s="342">
        <f t="shared" si="15"/>
        <v>2</v>
      </c>
      <c r="AK47" s="342">
        <f t="shared" si="15"/>
        <v>0</v>
      </c>
      <c r="AL47" s="60">
        <f t="shared" si="17"/>
        <v>27</v>
      </c>
    </row>
    <row r="48" spans="1:38" ht="13.5" thickBot="1">
      <c r="A48" s="507"/>
      <c r="B48" s="98" t="s">
        <v>339</v>
      </c>
      <c r="C48" s="97" t="s">
        <v>338</v>
      </c>
      <c r="D48" s="96">
        <v>768.38499999999999</v>
      </c>
      <c r="E48" s="96">
        <v>150</v>
      </c>
      <c r="F48" s="96">
        <v>46.164000000000001</v>
      </c>
      <c r="G48" s="183">
        <v>1.5</v>
      </c>
      <c r="H48" s="183">
        <f t="shared" si="2"/>
        <v>69.246000000000009</v>
      </c>
      <c r="I48" s="85">
        <f t="shared" si="11"/>
        <v>80.753999999999991</v>
      </c>
      <c r="J48" s="94" t="s">
        <v>345</v>
      </c>
      <c r="K48" s="94">
        <v>934.80499999999995</v>
      </c>
      <c r="L48" s="94">
        <v>150</v>
      </c>
      <c r="M48" s="93">
        <f t="shared" si="9"/>
        <v>46.164000000000001</v>
      </c>
      <c r="N48" s="82">
        <f t="shared" si="12"/>
        <v>80.753999999999991</v>
      </c>
      <c r="O48" s="201" t="str">
        <f t="shared" si="10"/>
        <v>No</v>
      </c>
      <c r="P48" s="209"/>
      <c r="Q48" s="105"/>
      <c r="T48" s="167" t="s">
        <v>395</v>
      </c>
      <c r="U48" s="166">
        <v>72</v>
      </c>
      <c r="V48" s="307"/>
      <c r="X48" s="60" t="s">
        <v>85</v>
      </c>
      <c r="Y48" s="342">
        <v>0</v>
      </c>
      <c r="Z48" s="342">
        <f>5+3+3</f>
        <v>11</v>
      </c>
      <c r="AA48" s="342">
        <f>4+2</f>
        <v>6</v>
      </c>
      <c r="AB48" s="342">
        <v>0</v>
      </c>
      <c r="AC48" s="342">
        <f>2+2</f>
        <v>4</v>
      </c>
      <c r="AD48" s="60">
        <f t="shared" ref="AD48:AD58" si="18">SUM(Y48:AC48)</f>
        <v>21</v>
      </c>
      <c r="AE48" s="334"/>
      <c r="AF48" s="60" t="s">
        <v>92</v>
      </c>
      <c r="AG48" s="342">
        <f t="shared" si="16"/>
        <v>1</v>
      </c>
      <c r="AH48" s="342">
        <f t="shared" si="15"/>
        <v>7</v>
      </c>
      <c r="AI48" s="342">
        <f t="shared" si="15"/>
        <v>13</v>
      </c>
      <c r="AJ48" s="342">
        <f t="shared" si="15"/>
        <v>0</v>
      </c>
      <c r="AK48" s="342">
        <f t="shared" si="15"/>
        <v>0</v>
      </c>
      <c r="AL48" s="60">
        <f t="shared" si="17"/>
        <v>21</v>
      </c>
    </row>
    <row r="49" spans="1:38" ht="13.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86">
        <f>E45</f>
        <v>450</v>
      </c>
      <c r="F49" s="86">
        <v>175.91919999999999</v>
      </c>
      <c r="G49" s="183">
        <v>1.5</v>
      </c>
      <c r="H49" s="183">
        <f t="shared" si="2"/>
        <v>263.87879999999996</v>
      </c>
      <c r="I49" s="85">
        <f t="shared" si="11"/>
        <v>186.12120000000004</v>
      </c>
      <c r="J49" s="84" t="s">
        <v>341</v>
      </c>
      <c r="K49" s="84">
        <v>992.44500000000005</v>
      </c>
      <c r="L49" s="84">
        <v>450</v>
      </c>
      <c r="M49" s="83">
        <f t="shared" si="9"/>
        <v>175.91919999999999</v>
      </c>
      <c r="N49" s="82">
        <f t="shared" si="12"/>
        <v>186.12120000000004</v>
      </c>
      <c r="O49" s="201" t="str">
        <f t="shared" si="10"/>
        <v>No</v>
      </c>
      <c r="P49" s="202"/>
      <c r="Q49" s="106"/>
      <c r="T49" s="167" t="s">
        <v>483</v>
      </c>
      <c r="U49" s="166">
        <v>56.41</v>
      </c>
      <c r="V49" s="307"/>
      <c r="X49" s="60" t="s">
        <v>86</v>
      </c>
      <c r="Y49" s="342">
        <v>0</v>
      </c>
      <c r="Z49" s="342">
        <v>0</v>
      </c>
      <c r="AA49" s="340">
        <f>3+1</f>
        <v>4</v>
      </c>
      <c r="AB49" s="342">
        <v>0</v>
      </c>
      <c r="AC49" s="342">
        <f>2</f>
        <v>2</v>
      </c>
      <c r="AD49" s="60">
        <f t="shared" si="18"/>
        <v>6</v>
      </c>
      <c r="AE49" s="334"/>
      <c r="AF49" s="60" t="s">
        <v>93</v>
      </c>
      <c r="AG49" s="342">
        <f t="shared" si="16"/>
        <v>1</v>
      </c>
      <c r="AH49" s="342">
        <f t="shared" si="15"/>
        <v>0</v>
      </c>
      <c r="AI49" s="342">
        <f t="shared" si="15"/>
        <v>6</v>
      </c>
      <c r="AJ49" s="342">
        <f t="shared" si="15"/>
        <v>6</v>
      </c>
      <c r="AK49" s="342">
        <f t="shared" si="15"/>
        <v>0</v>
      </c>
      <c r="AL49" s="60">
        <f t="shared" si="17"/>
        <v>13</v>
      </c>
    </row>
    <row r="50" spans="1:38" ht="13.5" thickBot="1">
      <c r="A50" s="507"/>
      <c r="B50" s="98" t="s">
        <v>339</v>
      </c>
      <c r="C50" s="97" t="s">
        <v>338</v>
      </c>
      <c r="D50" s="96">
        <v>768.38499999999999</v>
      </c>
      <c r="E50" s="96">
        <f>E48</f>
        <v>150</v>
      </c>
      <c r="F50" s="96">
        <v>46.164000000000001</v>
      </c>
      <c r="G50" s="183">
        <v>1.5</v>
      </c>
      <c r="H50" s="183">
        <f t="shared" si="2"/>
        <v>69.246000000000009</v>
      </c>
      <c r="I50" s="85">
        <f t="shared" si="11"/>
        <v>80.753999999999991</v>
      </c>
      <c r="J50" s="94" t="s">
        <v>337</v>
      </c>
      <c r="K50" s="94">
        <v>817.04499999999996</v>
      </c>
      <c r="L50" s="94">
        <v>150</v>
      </c>
      <c r="M50" s="93">
        <f t="shared" si="9"/>
        <v>46.164000000000001</v>
      </c>
      <c r="N50" s="82">
        <f t="shared" si="12"/>
        <v>80.753999999999991</v>
      </c>
      <c r="O50" s="201" t="str">
        <f t="shared" si="10"/>
        <v>No</v>
      </c>
      <c r="P50" s="208"/>
      <c r="Q50" s="207"/>
      <c r="T50" s="167" t="s">
        <v>415</v>
      </c>
      <c r="U50" s="166">
        <v>44.68</v>
      </c>
      <c r="V50" s="307"/>
      <c r="X50" s="60" t="s">
        <v>87</v>
      </c>
      <c r="Y50" s="342">
        <v>0</v>
      </c>
      <c r="Z50" s="413">
        <f>8+6+6</f>
        <v>20</v>
      </c>
      <c r="AA50" s="342">
        <f>4+3+6+11+3</f>
        <v>27</v>
      </c>
      <c r="AB50" s="342">
        <f>2+6+7</f>
        <v>15</v>
      </c>
      <c r="AC50" s="342">
        <v>0</v>
      </c>
      <c r="AD50" s="60">
        <f t="shared" si="18"/>
        <v>62</v>
      </c>
      <c r="AE50" s="334"/>
      <c r="AF50" s="60" t="s">
        <v>94</v>
      </c>
      <c r="AG50" s="342">
        <f t="shared" si="16"/>
        <v>4</v>
      </c>
      <c r="AH50" s="342">
        <f t="shared" si="15"/>
        <v>2</v>
      </c>
      <c r="AI50" s="342">
        <f t="shared" si="15"/>
        <v>5</v>
      </c>
      <c r="AJ50" s="342">
        <f t="shared" si="15"/>
        <v>7</v>
      </c>
      <c r="AK50" s="342">
        <f t="shared" si="15"/>
        <v>0</v>
      </c>
      <c r="AL50" s="60">
        <f t="shared" si="17"/>
        <v>18</v>
      </c>
    </row>
    <row r="51" spans="1:38" ht="13.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86">
        <f>E50</f>
        <v>150</v>
      </c>
      <c r="F51" s="86">
        <v>46.164000000000001</v>
      </c>
      <c r="G51" s="183">
        <v>1.5</v>
      </c>
      <c r="H51" s="183">
        <f t="shared" si="2"/>
        <v>69.246000000000009</v>
      </c>
      <c r="I51" s="85">
        <f t="shared" si="11"/>
        <v>80.753999999999991</v>
      </c>
      <c r="J51" s="84" t="s">
        <v>337</v>
      </c>
      <c r="K51" s="84">
        <v>817.04499999999996</v>
      </c>
      <c r="L51" s="84">
        <v>150</v>
      </c>
      <c r="M51" s="83">
        <f t="shared" si="9"/>
        <v>46.164000000000001</v>
      </c>
      <c r="N51" s="82">
        <f t="shared" si="12"/>
        <v>80.753999999999991</v>
      </c>
      <c r="O51" s="205" t="str">
        <f t="shared" si="10"/>
        <v>No</v>
      </c>
      <c r="P51" s="206"/>
      <c r="Q51" s="77"/>
      <c r="T51" s="167" t="s">
        <v>396</v>
      </c>
      <c r="U51" s="166">
        <v>173.67</v>
      </c>
      <c r="V51" s="307"/>
      <c r="X51" s="60" t="s">
        <v>88</v>
      </c>
      <c r="Y51" s="342">
        <v>0</v>
      </c>
      <c r="Z51" s="342">
        <v>0</v>
      </c>
      <c r="AA51" s="342">
        <f>2+2+1+6+1+1</f>
        <v>13</v>
      </c>
      <c r="AB51" s="342">
        <f>1</f>
        <v>1</v>
      </c>
      <c r="AC51" s="342">
        <v>0</v>
      </c>
      <c r="AD51" s="60">
        <f t="shared" si="18"/>
        <v>14</v>
      </c>
      <c r="AE51" s="353"/>
      <c r="AF51" s="347" t="s">
        <v>505</v>
      </c>
      <c r="AG51" s="342">
        <f t="shared" si="16"/>
        <v>0</v>
      </c>
      <c r="AH51" s="342">
        <f t="shared" si="15"/>
        <v>1</v>
      </c>
      <c r="AI51" s="342">
        <f t="shared" si="15"/>
        <v>3</v>
      </c>
      <c r="AJ51" s="342">
        <f t="shared" si="15"/>
        <v>0</v>
      </c>
      <c r="AK51" s="342">
        <f t="shared" si="15"/>
        <v>0</v>
      </c>
      <c r="AL51" s="347">
        <f t="shared" si="17"/>
        <v>4</v>
      </c>
    </row>
    <row r="52" spans="1:38" ht="13.5" thickBot="1">
      <c r="A52" s="507"/>
      <c r="B52" s="98" t="s">
        <v>30</v>
      </c>
      <c r="C52" s="97" t="s">
        <v>326</v>
      </c>
      <c r="D52" s="96">
        <v>317.27</v>
      </c>
      <c r="E52" s="96">
        <v>400</v>
      </c>
      <c r="F52" s="96">
        <v>136.87530000000001</v>
      </c>
      <c r="G52" s="183">
        <v>1.5</v>
      </c>
      <c r="H52" s="183">
        <f t="shared" si="2"/>
        <v>205.31295</v>
      </c>
      <c r="I52" s="85">
        <f t="shared" si="11"/>
        <v>194.68705</v>
      </c>
      <c r="J52" s="94" t="s">
        <v>325</v>
      </c>
      <c r="K52" s="94">
        <v>518.48</v>
      </c>
      <c r="L52" s="94">
        <v>400</v>
      </c>
      <c r="M52" s="93">
        <f t="shared" si="9"/>
        <v>136.87530000000001</v>
      </c>
      <c r="N52" s="82">
        <f t="shared" si="12"/>
        <v>194.68705</v>
      </c>
      <c r="O52" s="205" t="str">
        <f t="shared" si="10"/>
        <v>No</v>
      </c>
      <c r="P52" s="204"/>
      <c r="Q52" s="66"/>
      <c r="T52" s="259" t="s">
        <v>20</v>
      </c>
      <c r="U52" s="258">
        <v>91</v>
      </c>
      <c r="V52" s="308"/>
      <c r="X52" s="60" t="s">
        <v>89</v>
      </c>
      <c r="Y52" s="342">
        <v>0</v>
      </c>
      <c r="Z52" s="342">
        <f>5+6+2</f>
        <v>13</v>
      </c>
      <c r="AA52" s="342">
        <f>1</f>
        <v>1</v>
      </c>
      <c r="AB52" s="342">
        <f>1</f>
        <v>1</v>
      </c>
      <c r="AC52" s="342">
        <v>0</v>
      </c>
      <c r="AD52" s="60">
        <f t="shared" si="18"/>
        <v>15</v>
      </c>
      <c r="AE52" s="353"/>
      <c r="AF52" s="312" t="s">
        <v>515</v>
      </c>
      <c r="AG52" s="349">
        <f t="shared" ref="AG52:AL52" si="19">SUM(AG40:AG51)</f>
        <v>18</v>
      </c>
      <c r="AH52" s="349">
        <f t="shared" si="19"/>
        <v>82</v>
      </c>
      <c r="AI52" s="349">
        <f t="shared" si="19"/>
        <v>96</v>
      </c>
      <c r="AJ52" s="349">
        <f t="shared" si="19"/>
        <v>36</v>
      </c>
      <c r="AK52" s="349">
        <f t="shared" si="19"/>
        <v>8</v>
      </c>
      <c r="AL52" s="350">
        <f t="shared" si="19"/>
        <v>240</v>
      </c>
    </row>
    <row r="53" spans="1:38" ht="13.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86">
        <f>E47</f>
        <v>300</v>
      </c>
      <c r="F53" s="86">
        <v>87.5685</v>
      </c>
      <c r="G53" s="183">
        <v>1.5</v>
      </c>
      <c r="H53" s="183">
        <f t="shared" si="2"/>
        <v>131.35275000000001</v>
      </c>
      <c r="I53" s="85">
        <f t="shared" si="11"/>
        <v>168.64724999999999</v>
      </c>
      <c r="J53" s="84" t="s">
        <v>334</v>
      </c>
      <c r="K53" s="84">
        <v>792.93499999999995</v>
      </c>
      <c r="L53" s="84">
        <v>300</v>
      </c>
      <c r="M53" s="83">
        <f t="shared" si="9"/>
        <v>87.5685</v>
      </c>
      <c r="N53" s="82">
        <f t="shared" si="12"/>
        <v>168.64724999999999</v>
      </c>
      <c r="O53" s="201" t="str">
        <f t="shared" si="10"/>
        <v>No</v>
      </c>
      <c r="P53" s="60"/>
      <c r="Q53" s="100"/>
      <c r="T53" s="268" t="s">
        <v>13</v>
      </c>
      <c r="U53" s="268">
        <v>256</v>
      </c>
      <c r="X53" s="60" t="s">
        <v>90</v>
      </c>
      <c r="Y53" s="342">
        <v>0</v>
      </c>
      <c r="Z53" s="340">
        <v>0</v>
      </c>
      <c r="AA53" s="340">
        <f>1</f>
        <v>1</v>
      </c>
      <c r="AB53" s="342">
        <f>2</f>
        <v>2</v>
      </c>
      <c r="AC53" s="342">
        <f>2</f>
        <v>2</v>
      </c>
      <c r="AD53" s="60">
        <f t="shared" si="18"/>
        <v>5</v>
      </c>
      <c r="AE53" s="334"/>
      <c r="AF53" s="312" t="s">
        <v>514</v>
      </c>
      <c r="AG53" s="351">
        <f>PRODUCT(AG52*AH30)</f>
        <v>270</v>
      </c>
      <c r="AH53" s="414">
        <f>PRODUCT(AH52*AH31)</f>
        <v>1342.2498000000001</v>
      </c>
      <c r="AI53" s="414">
        <f>PRODUCT(AI52*AH32)</f>
        <v>1607.6831999999999</v>
      </c>
      <c r="AJ53" s="414">
        <f>PRODUCT(AJ52*AH33)</f>
        <v>607.91759999999999</v>
      </c>
      <c r="AK53" s="414">
        <f>PRODUCT(AK52*AH34)</f>
        <v>136</v>
      </c>
      <c r="AL53" s="415">
        <f>SUM(AG53:AK53)</f>
        <v>3963.8505999999998</v>
      </c>
    </row>
    <row r="54" spans="1:38" ht="13.5" thickBot="1">
      <c r="A54" s="507"/>
      <c r="B54" s="98" t="s">
        <v>333</v>
      </c>
      <c r="C54" s="97" t="s">
        <v>332</v>
      </c>
      <c r="D54" s="96">
        <v>300.33499999999998</v>
      </c>
      <c r="E54" s="96">
        <v>200</v>
      </c>
      <c r="F54" s="96">
        <v>33.29833</v>
      </c>
      <c r="G54" s="183">
        <v>1.5</v>
      </c>
      <c r="H54" s="183">
        <f t="shared" si="2"/>
        <v>49.947495000000004</v>
      </c>
      <c r="I54" s="85">
        <f t="shared" si="11"/>
        <v>150.052505</v>
      </c>
      <c r="J54" s="94" t="s">
        <v>331</v>
      </c>
      <c r="K54" s="94">
        <v>524.75</v>
      </c>
      <c r="L54" s="94">
        <v>200</v>
      </c>
      <c r="M54" s="93">
        <f t="shared" si="9"/>
        <v>33.29833</v>
      </c>
      <c r="N54" s="82">
        <f t="shared" si="12"/>
        <v>150.052505</v>
      </c>
      <c r="O54" s="201" t="str">
        <f t="shared" si="10"/>
        <v>No</v>
      </c>
      <c r="P54" s="60"/>
      <c r="Q54" s="100"/>
      <c r="T54" s="126" t="s">
        <v>369</v>
      </c>
      <c r="U54" s="269">
        <f>SUM(U36:U53)</f>
        <v>3764.45</v>
      </c>
      <c r="X54" s="60" t="s">
        <v>91</v>
      </c>
      <c r="Y54" s="342">
        <v>0</v>
      </c>
      <c r="Z54" s="340">
        <f>3+6+2+3+2+1</f>
        <v>17</v>
      </c>
      <c r="AA54" s="342">
        <f>1+2</f>
        <v>3</v>
      </c>
      <c r="AB54" s="342">
        <f>2</f>
        <v>2</v>
      </c>
      <c r="AC54" s="342">
        <v>0</v>
      </c>
      <c r="AD54" s="60">
        <f t="shared" si="18"/>
        <v>22</v>
      </c>
      <c r="AE54" s="334"/>
      <c r="AF54" s="312" t="s">
        <v>559</v>
      </c>
      <c r="AG54" s="351">
        <f>AG52*AG30</f>
        <v>1800</v>
      </c>
      <c r="AH54" s="351">
        <f>AH52*AG31</f>
        <v>12300</v>
      </c>
      <c r="AI54" s="351">
        <f>AI52*AG32</f>
        <v>19200</v>
      </c>
      <c r="AJ54" s="351">
        <f>AJ52*AG33</f>
        <v>9000</v>
      </c>
      <c r="AK54" s="351">
        <f>AK52*AG34</f>
        <v>2400</v>
      </c>
      <c r="AL54" s="312">
        <f>SUM(AG54:AK54)</f>
        <v>44700</v>
      </c>
    </row>
    <row r="55" spans="1:38" ht="13.5" thickBot="1">
      <c r="A55" s="506" t="s">
        <v>330</v>
      </c>
      <c r="B55" s="88" t="s">
        <v>329</v>
      </c>
      <c r="C55" s="87" t="s">
        <v>61</v>
      </c>
      <c r="D55" s="86">
        <v>381.34</v>
      </c>
      <c r="E55" s="86">
        <f>E40</f>
        <v>600</v>
      </c>
      <c r="F55" s="86">
        <v>233.80699999999999</v>
      </c>
      <c r="G55" s="183">
        <v>1.5</v>
      </c>
      <c r="H55" s="183">
        <f t="shared" si="2"/>
        <v>350.71049999999997</v>
      </c>
      <c r="I55" s="85">
        <f t="shared" si="11"/>
        <v>249.28950000000003</v>
      </c>
      <c r="J55" s="84" t="s">
        <v>328</v>
      </c>
      <c r="K55" s="84">
        <v>673.16499999999996</v>
      </c>
      <c r="L55" s="299">
        <v>450</v>
      </c>
      <c r="M55" s="83">
        <f t="shared" si="9"/>
        <v>233.80699999999999</v>
      </c>
      <c r="N55" s="82">
        <f t="shared" si="12"/>
        <v>99.289500000000032</v>
      </c>
      <c r="O55" s="201" t="str">
        <f t="shared" si="10"/>
        <v>No</v>
      </c>
      <c r="P55" s="202"/>
      <c r="Q55" s="106"/>
      <c r="T55" s="17" t="s">
        <v>365</v>
      </c>
      <c r="U55" s="17">
        <f>U54/E57</f>
        <v>0.12506478405315613</v>
      </c>
      <c r="X55" s="60" t="s">
        <v>92</v>
      </c>
      <c r="Y55" s="342">
        <v>0</v>
      </c>
      <c r="Z55" s="340">
        <f>3+3</f>
        <v>6</v>
      </c>
      <c r="AA55" s="342">
        <f>11+2</f>
        <v>13</v>
      </c>
      <c r="AB55" s="342">
        <v>0</v>
      </c>
      <c r="AC55" s="342">
        <v>0</v>
      </c>
      <c r="AD55" s="60">
        <f t="shared" si="18"/>
        <v>19</v>
      </c>
      <c r="AH55" s="320"/>
      <c r="AI55" s="320"/>
    </row>
    <row r="56" spans="1:38" ht="13.5" thickBot="1">
      <c r="A56" s="511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183">
        <v>1.5</v>
      </c>
      <c r="H56" s="183">
        <f t="shared" si="2"/>
        <v>205.31295</v>
      </c>
      <c r="I56" s="85">
        <f t="shared" si="11"/>
        <v>194.68705</v>
      </c>
      <c r="J56" s="72" t="s">
        <v>325</v>
      </c>
      <c r="K56" s="72">
        <v>518.48</v>
      </c>
      <c r="L56" s="72">
        <v>400</v>
      </c>
      <c r="M56" s="71">
        <f t="shared" si="9"/>
        <v>136.87530000000001</v>
      </c>
      <c r="N56" s="82">
        <f t="shared" si="12"/>
        <v>194.68705</v>
      </c>
      <c r="O56" s="201" t="str">
        <f t="shared" si="10"/>
        <v>No</v>
      </c>
      <c r="P56" s="200"/>
      <c r="Q56" s="199"/>
      <c r="X56" s="60" t="s">
        <v>93</v>
      </c>
      <c r="Y56" s="342">
        <v>0</v>
      </c>
      <c r="Z56" s="340">
        <v>0</v>
      </c>
      <c r="AA56" s="342">
        <f>2+1</f>
        <v>3</v>
      </c>
      <c r="AB56" s="342">
        <f>6</f>
        <v>6</v>
      </c>
      <c r="AC56" s="342">
        <v>0</v>
      </c>
      <c r="AD56" s="60">
        <f t="shared" si="18"/>
        <v>9</v>
      </c>
      <c r="AH56" s="320"/>
      <c r="AI56" s="320"/>
    </row>
    <row r="57" spans="1:38">
      <c r="D57" s="268" t="s">
        <v>417</v>
      </c>
      <c r="E57" s="268">
        <f>SUM(E3:E56)</f>
        <v>30100</v>
      </c>
      <c r="X57" s="60" t="s">
        <v>94</v>
      </c>
      <c r="Y57" s="342">
        <v>0</v>
      </c>
      <c r="Z57" s="413">
        <f>2</f>
        <v>2</v>
      </c>
      <c r="AA57" s="342">
        <f>2+1</f>
        <v>3</v>
      </c>
      <c r="AB57" s="342">
        <f>7</f>
        <v>7</v>
      </c>
      <c r="AC57" s="342">
        <v>0</v>
      </c>
      <c r="AD57" s="60">
        <f t="shared" si="18"/>
        <v>12</v>
      </c>
      <c r="AH57" s="5"/>
      <c r="AI57" s="5"/>
    </row>
    <row r="58" spans="1:38">
      <c r="X58" s="347" t="s">
        <v>505</v>
      </c>
      <c r="Y58" s="342">
        <v>0</v>
      </c>
      <c r="Z58" s="348">
        <f>1</f>
        <v>1</v>
      </c>
      <c r="AA58" s="348">
        <f>3</f>
        <v>3</v>
      </c>
      <c r="AB58" s="348">
        <v>0</v>
      </c>
      <c r="AC58" s="342">
        <v>0</v>
      </c>
      <c r="AD58" s="347">
        <f t="shared" si="18"/>
        <v>4</v>
      </c>
      <c r="AH58" s="5"/>
      <c r="AI58" s="5"/>
    </row>
    <row r="59" spans="1:38">
      <c r="X59" s="312" t="s">
        <v>515</v>
      </c>
      <c r="Y59" s="349">
        <f t="shared" ref="Y59:AD59" si="20">SUM(Y47:Y58)</f>
        <v>0</v>
      </c>
      <c r="Z59" s="349">
        <f t="shared" si="20"/>
        <v>78</v>
      </c>
      <c r="AA59" s="349">
        <f t="shared" si="20"/>
        <v>80</v>
      </c>
      <c r="AB59" s="349">
        <f t="shared" si="20"/>
        <v>36</v>
      </c>
      <c r="AC59" s="349">
        <f t="shared" si="20"/>
        <v>8</v>
      </c>
      <c r="AD59" s="350">
        <f t="shared" si="20"/>
        <v>202</v>
      </c>
      <c r="AE59" s="353"/>
      <c r="AF59" s="353"/>
      <c r="AG59" s="353"/>
      <c r="AH59" s="334"/>
      <c r="AI59" s="334"/>
      <c r="AJ59" s="353"/>
      <c r="AK59" s="353"/>
    </row>
    <row r="60" spans="1:38">
      <c r="X60" s="312" t="s">
        <v>514</v>
      </c>
      <c r="Y60" s="414">
        <f>PRODUCT(Y59*AH30)</f>
        <v>0</v>
      </c>
      <c r="Z60" s="414">
        <f>PRODUCT(Z59*AH31)</f>
        <v>1276.7742000000001</v>
      </c>
      <c r="AA60" s="414">
        <f>PRODUCT(AA59*AH32)</f>
        <v>1339.7360000000001</v>
      </c>
      <c r="AB60" s="414">
        <f>PRODUCT(AB59*AH33)</f>
        <v>607.91759999999999</v>
      </c>
      <c r="AC60" s="414">
        <f>PRODUCT(AC59*AH34)</f>
        <v>136</v>
      </c>
      <c r="AD60" s="415">
        <f>SUM(Y60:AC60)</f>
        <v>3360.4278000000004</v>
      </c>
      <c r="AE60" s="334"/>
      <c r="AF60" s="334"/>
      <c r="AG60" s="353"/>
      <c r="AH60" s="333"/>
      <c r="AI60" s="333"/>
      <c r="AJ60" s="353"/>
      <c r="AK60" s="353"/>
    </row>
    <row r="61" spans="1:38">
      <c r="X61" s="312" t="s">
        <v>559</v>
      </c>
      <c r="Y61" s="351">
        <f>Y59*AG30</f>
        <v>0</v>
      </c>
      <c r="Z61" s="351">
        <f>Z59*AG31</f>
        <v>11700</v>
      </c>
      <c r="AA61" s="351">
        <f>AA59*AG32</f>
        <v>16000</v>
      </c>
      <c r="AB61" s="351">
        <f>AB59*AG33</f>
        <v>9000</v>
      </c>
      <c r="AC61" s="351">
        <f>AC59*AG34</f>
        <v>2400</v>
      </c>
      <c r="AD61" s="312">
        <f>SUM(Y61:AC61)</f>
        <v>39100</v>
      </c>
      <c r="AE61" s="334"/>
      <c r="AF61" s="334"/>
      <c r="AG61" s="353"/>
      <c r="AH61" s="334"/>
      <c r="AI61" s="334"/>
      <c r="AJ61" s="353"/>
      <c r="AK61" s="353"/>
    </row>
    <row r="62" spans="1:38">
      <c r="Y62" s="333"/>
      <c r="Z62" s="333"/>
      <c r="AA62" s="333"/>
      <c r="AB62" s="333"/>
      <c r="AC62" s="333"/>
      <c r="AD62" s="333"/>
      <c r="AE62" s="334"/>
      <c r="AF62" s="334"/>
      <c r="AG62" s="353"/>
      <c r="AH62" s="352"/>
      <c r="AI62" s="352"/>
      <c r="AJ62" s="353"/>
      <c r="AK62" s="353"/>
    </row>
    <row r="63" spans="1:38">
      <c r="Y63" s="334"/>
      <c r="Z63" s="334"/>
      <c r="AA63" s="334"/>
      <c r="AB63" s="334"/>
      <c r="AC63" s="334"/>
      <c r="AD63" s="334"/>
      <c r="AE63" s="334"/>
      <c r="AF63" s="334"/>
      <c r="AG63" s="353"/>
      <c r="AH63" s="334"/>
      <c r="AI63" s="334"/>
      <c r="AJ63" s="353"/>
      <c r="AK63" s="353"/>
    </row>
    <row r="64" spans="1:38">
      <c r="Y64" s="334"/>
      <c r="Z64" s="334"/>
      <c r="AA64" s="334"/>
      <c r="AB64" s="334"/>
      <c r="AC64" s="334"/>
      <c r="AD64" s="334"/>
      <c r="AE64" s="334"/>
      <c r="AF64" s="334"/>
      <c r="AG64" s="353"/>
      <c r="AH64" s="334"/>
      <c r="AI64" s="334"/>
      <c r="AJ64" s="353"/>
      <c r="AK64" s="353"/>
    </row>
    <row r="65" spans="25:37">
      <c r="Y65" s="334"/>
      <c r="Z65" s="334"/>
      <c r="AA65" s="334"/>
      <c r="AB65" s="334"/>
      <c r="AC65" s="334"/>
      <c r="AD65" s="334"/>
      <c r="AE65" s="334"/>
      <c r="AF65" s="334"/>
      <c r="AG65" s="353"/>
      <c r="AH65" s="334"/>
      <c r="AI65" s="334"/>
      <c r="AJ65" s="353"/>
      <c r="AK65" s="353"/>
    </row>
    <row r="66" spans="25:37">
      <c r="Y66" s="334"/>
      <c r="Z66" s="334"/>
      <c r="AA66" s="334"/>
      <c r="AB66" s="334"/>
      <c r="AC66" s="334"/>
      <c r="AD66" s="334"/>
      <c r="AE66" s="334"/>
      <c r="AF66" s="334"/>
      <c r="AG66" s="353"/>
      <c r="AH66" s="334"/>
      <c r="AI66" s="334"/>
      <c r="AJ66" s="353"/>
      <c r="AK66" s="353"/>
    </row>
    <row r="67" spans="25:37">
      <c r="Y67" s="334"/>
      <c r="Z67" s="334"/>
      <c r="AA67" s="334"/>
      <c r="AB67" s="334"/>
      <c r="AC67" s="334"/>
      <c r="AD67" s="334"/>
      <c r="AE67" s="334"/>
      <c r="AF67" s="334"/>
      <c r="AG67" s="353"/>
      <c r="AH67" s="334"/>
      <c r="AI67" s="334"/>
      <c r="AJ67" s="353"/>
      <c r="AK67" s="353"/>
    </row>
    <row r="68" spans="25:37">
      <c r="Y68" s="334"/>
      <c r="Z68" s="334"/>
      <c r="AA68" s="334"/>
      <c r="AB68" s="334"/>
      <c r="AC68" s="334"/>
      <c r="AD68" s="334"/>
      <c r="AE68" s="334"/>
      <c r="AF68" s="334"/>
      <c r="AG68" s="353"/>
      <c r="AH68" s="334"/>
      <c r="AI68" s="334"/>
      <c r="AJ68" s="353"/>
      <c r="AK68" s="353"/>
    </row>
    <row r="69" spans="25:37">
      <c r="Y69" s="334"/>
      <c r="Z69" s="334"/>
      <c r="AA69" s="334"/>
      <c r="AB69" s="334"/>
      <c r="AC69" s="334"/>
      <c r="AD69" s="334"/>
      <c r="AE69" s="334"/>
      <c r="AF69" s="334"/>
      <c r="AG69" s="353"/>
      <c r="AH69" s="334"/>
      <c r="AI69" s="334"/>
      <c r="AJ69" s="353"/>
      <c r="AK69" s="353"/>
    </row>
    <row r="70" spans="25:37">
      <c r="Y70" s="334"/>
      <c r="Z70" s="334"/>
      <c r="AA70" s="334"/>
      <c r="AB70" s="334"/>
      <c r="AC70" s="334"/>
      <c r="AD70" s="334"/>
      <c r="AE70" s="334"/>
      <c r="AF70" s="334"/>
      <c r="AG70" s="353"/>
      <c r="AH70" s="334"/>
      <c r="AI70" s="334"/>
      <c r="AJ70" s="353"/>
      <c r="AK70" s="353"/>
    </row>
    <row r="71" spans="25:37">
      <c r="Y71" s="334"/>
      <c r="Z71" s="334"/>
      <c r="AA71" s="334"/>
      <c r="AB71" s="334"/>
      <c r="AC71" s="334"/>
      <c r="AD71" s="334"/>
      <c r="AE71" s="334"/>
      <c r="AF71" s="334"/>
      <c r="AG71" s="353"/>
      <c r="AH71" s="334"/>
      <c r="AI71" s="334"/>
      <c r="AJ71" s="353"/>
      <c r="AK71" s="353"/>
    </row>
    <row r="72" spans="25:37">
      <c r="Y72" s="334"/>
      <c r="Z72" s="334"/>
      <c r="AA72" s="334"/>
      <c r="AB72" s="334"/>
      <c r="AC72" s="334"/>
      <c r="AD72" s="334"/>
      <c r="AE72" s="334"/>
      <c r="AF72" s="334"/>
      <c r="AG72" s="353"/>
      <c r="AH72" s="334"/>
      <c r="AI72" s="334"/>
      <c r="AJ72" s="353"/>
      <c r="AK72" s="353"/>
    </row>
    <row r="73" spans="25:37">
      <c r="Y73" s="334"/>
      <c r="Z73" s="334"/>
      <c r="AA73" s="334"/>
      <c r="AB73" s="334"/>
      <c r="AC73" s="334"/>
      <c r="AD73" s="334"/>
      <c r="AE73" s="334"/>
      <c r="AF73" s="334"/>
      <c r="AG73" s="353"/>
      <c r="AH73" s="334"/>
      <c r="AI73" s="334"/>
      <c r="AJ73" s="353"/>
      <c r="AK73" s="353"/>
    </row>
    <row r="74" spans="25:37">
      <c r="Y74" s="334"/>
      <c r="Z74" s="334"/>
      <c r="AA74" s="334"/>
      <c r="AB74" s="334"/>
      <c r="AC74" s="334"/>
      <c r="AD74" s="334"/>
      <c r="AE74" s="334"/>
      <c r="AF74" s="334"/>
      <c r="AG74" s="353"/>
      <c r="AH74" s="353"/>
      <c r="AI74" s="353"/>
      <c r="AJ74" s="353"/>
      <c r="AK74" s="353"/>
    </row>
    <row r="75" spans="25:37">
      <c r="Y75" s="334"/>
      <c r="Z75" s="334"/>
      <c r="AA75" s="334"/>
      <c r="AB75" s="334"/>
      <c r="AC75" s="334"/>
      <c r="AD75" s="334"/>
      <c r="AE75" s="334"/>
      <c r="AF75" s="334"/>
      <c r="AG75" s="353"/>
      <c r="AH75" s="353"/>
      <c r="AI75" s="353"/>
      <c r="AJ75" s="353"/>
      <c r="AK75" s="353"/>
    </row>
    <row r="76" spans="25:37">
      <c r="Y76" s="334"/>
      <c r="Z76" s="334"/>
      <c r="AA76" s="334"/>
      <c r="AB76" s="334"/>
      <c r="AC76" s="334"/>
      <c r="AD76" s="334"/>
      <c r="AE76" s="334"/>
      <c r="AF76" s="334"/>
      <c r="AG76" s="353"/>
      <c r="AH76" s="353"/>
      <c r="AI76" s="563"/>
      <c r="AJ76" s="563"/>
      <c r="AK76" s="563"/>
    </row>
    <row r="77" spans="25:37">
      <c r="Y77" s="334"/>
      <c r="Z77" s="334"/>
      <c r="AA77" s="334"/>
      <c r="AB77" s="334"/>
      <c r="AC77" s="334"/>
      <c r="AD77" s="334"/>
      <c r="AE77" s="334"/>
      <c r="AF77" s="334"/>
      <c r="AG77" s="353"/>
      <c r="AH77" s="353"/>
      <c r="AI77" s="334"/>
      <c r="AJ77" s="334"/>
      <c r="AK77" s="334"/>
    </row>
    <row r="78" spans="25:37">
      <c r="Y78" s="334"/>
      <c r="Z78" s="334"/>
      <c r="AA78" s="334"/>
      <c r="AB78" s="334"/>
      <c r="AC78" s="334"/>
      <c r="AD78" s="334"/>
      <c r="AE78" s="334"/>
      <c r="AF78" s="334"/>
      <c r="AG78" s="353"/>
      <c r="AH78" s="353"/>
      <c r="AI78" s="334"/>
      <c r="AJ78" s="334"/>
      <c r="AK78" s="334"/>
    </row>
    <row r="79" spans="25:37">
      <c r="Y79" s="334"/>
      <c r="Z79" s="334"/>
      <c r="AA79" s="334"/>
      <c r="AB79" s="334"/>
      <c r="AC79" s="334"/>
      <c r="AD79" s="334"/>
      <c r="AE79" s="353"/>
      <c r="AF79" s="353"/>
      <c r="AG79" s="353"/>
      <c r="AH79" s="353"/>
      <c r="AI79" s="334"/>
      <c r="AJ79" s="334"/>
      <c r="AK79" s="334"/>
    </row>
    <row r="80" spans="25:37">
      <c r="Y80" s="334"/>
      <c r="Z80" s="334"/>
      <c r="AA80" s="334"/>
      <c r="AB80" s="334"/>
      <c r="AC80" s="334"/>
      <c r="AD80" s="334"/>
      <c r="AE80" s="353"/>
      <c r="AF80" s="353"/>
      <c r="AG80" s="353"/>
      <c r="AH80" s="353"/>
      <c r="AI80" s="334"/>
      <c r="AJ80" s="334"/>
      <c r="AK80" s="334"/>
    </row>
    <row r="81" spans="25:37">
      <c r="Y81" s="18"/>
      <c r="Z81" s="18"/>
      <c r="AA81" s="334"/>
      <c r="AB81" s="18"/>
      <c r="AC81" s="334"/>
      <c r="AD81" s="334"/>
      <c r="AE81" s="335"/>
      <c r="AF81" s="334"/>
      <c r="AG81" s="353"/>
      <c r="AH81" s="353"/>
      <c r="AI81" s="334"/>
      <c r="AJ81" s="334"/>
      <c r="AK81" s="334"/>
    </row>
    <row r="82" spans="25:37">
      <c r="Y82" s="18"/>
      <c r="Z82" s="18"/>
      <c r="AA82" s="334"/>
      <c r="AB82" s="18"/>
      <c r="AC82" s="334"/>
      <c r="AD82" s="334"/>
      <c r="AE82" s="335"/>
      <c r="AF82" s="334"/>
      <c r="AG82" s="353"/>
      <c r="AH82" s="353"/>
      <c r="AI82" s="334"/>
      <c r="AJ82" s="334"/>
      <c r="AK82" s="334"/>
    </row>
    <row r="83" spans="25:37"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34"/>
      <c r="AJ83" s="334"/>
      <c r="AK83" s="334"/>
    </row>
    <row r="84" spans="25:37"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34"/>
      <c r="AJ84" s="334"/>
      <c r="AK84" s="334"/>
    </row>
    <row r="85" spans="25:37"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34"/>
      <c r="AJ85" s="334"/>
      <c r="AK85" s="334"/>
    </row>
    <row r="86" spans="25:37"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34"/>
      <c r="AJ86" s="334"/>
      <c r="AK86" s="334"/>
    </row>
    <row r="87" spans="25:37"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34"/>
      <c r="AJ87" s="334"/>
      <c r="AK87" s="334"/>
    </row>
    <row r="88" spans="25:37"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34"/>
      <c r="AJ88" s="334"/>
      <c r="AK88" s="334"/>
    </row>
    <row r="89" spans="25:37"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34"/>
      <c r="AJ89" s="334"/>
      <c r="AK89" s="334"/>
    </row>
    <row r="90" spans="25:37"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33"/>
      <c r="AJ90" s="334"/>
      <c r="AK90" s="334"/>
    </row>
  </sheetData>
  <mergeCells count="23">
    <mergeCell ref="AF38:AK38"/>
    <mergeCell ref="X45:AC45"/>
    <mergeCell ref="AI76:AK76"/>
    <mergeCell ref="A15:A20"/>
    <mergeCell ref="A51:A52"/>
    <mergeCell ref="A53:A54"/>
    <mergeCell ref="A55:A56"/>
    <mergeCell ref="A21:A24"/>
    <mergeCell ref="A26:A27"/>
    <mergeCell ref="A28:A32"/>
    <mergeCell ref="A33:A35"/>
    <mergeCell ref="A36:A37"/>
    <mergeCell ref="A39:A40"/>
    <mergeCell ref="X25:AC25"/>
    <mergeCell ref="T33:U33"/>
    <mergeCell ref="A41:A43"/>
    <mergeCell ref="A45:A48"/>
    <mergeCell ref="A49:A50"/>
    <mergeCell ref="C1:I1"/>
    <mergeCell ref="J1:O1"/>
    <mergeCell ref="A4:A5"/>
    <mergeCell ref="A6:A8"/>
    <mergeCell ref="A9:A13"/>
  </mergeCells>
  <conditionalFormatting sqref="L3:L56">
    <cfRule type="expression" dxfId="73" priority="9">
      <formula>(L3&lt;E3)</formula>
    </cfRule>
  </conditionalFormatting>
  <conditionalFormatting sqref="N3:N56">
    <cfRule type="cellIs" dxfId="72" priority="7" operator="lessThan">
      <formula>0</formula>
    </cfRule>
  </conditionalFormatting>
  <conditionalFormatting sqref="O3:O56">
    <cfRule type="containsText" dxfId="71" priority="6" operator="containsText" text="Yes">
      <formula>NOT(ISERROR(SEARCH("Yes",O3)))</formula>
    </cfRule>
  </conditionalFormatting>
  <conditionalFormatting sqref="Y27:AD38">
    <cfRule type="cellIs" dxfId="70" priority="5" operator="greaterThan">
      <formula>0</formula>
    </cfRule>
  </conditionalFormatting>
  <conditionalFormatting sqref="AG40:AL51">
    <cfRule type="cellIs" dxfId="69" priority="4" operator="greaterThan">
      <formula>0</formula>
    </cfRule>
  </conditionalFormatting>
  <conditionalFormatting sqref="AD47:AD58">
    <cfRule type="cellIs" dxfId="68" priority="3" operator="greaterThan">
      <formula>0</formula>
    </cfRule>
  </conditionalFormatting>
  <conditionalFormatting sqref="Z47:AC58">
    <cfRule type="cellIs" dxfId="67" priority="2" operator="greaterThan">
      <formula>0</formula>
    </cfRule>
  </conditionalFormatting>
  <conditionalFormatting sqref="Y47:Y58">
    <cfRule type="cellIs" dxfId="6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opLeftCell="U27" zoomScaleNormal="100" workbookViewId="0">
      <selection activeCell="AC28" sqref="AC28"/>
    </sheetView>
  </sheetViews>
  <sheetFormatPr defaultRowHeight="15"/>
  <cols>
    <col min="2" max="2" width="14.28515625" customWidth="1"/>
    <col min="3" max="3" width="23.140625" customWidth="1"/>
    <col min="4" max="4" width="12.85546875" customWidth="1"/>
    <col min="5" max="5" width="24.42578125" customWidth="1"/>
    <col min="6" max="6" width="16.5703125" customWidth="1"/>
    <col min="7" max="7" width="9.42578125" customWidth="1"/>
    <col min="8" max="10" width="23.42578125" customWidth="1"/>
    <col min="11" max="12" width="16.5703125" customWidth="1"/>
    <col min="13" max="13" width="27.42578125" customWidth="1"/>
    <col min="14" max="14" width="12.5703125" customWidth="1"/>
    <col min="15" max="15" width="19.28515625" customWidth="1"/>
    <col min="16" max="16" width="18.7109375" customWidth="1"/>
    <col min="18" max="19" width="22" customWidth="1"/>
    <col min="20" max="20" width="16.85546875" customWidth="1"/>
    <col min="21" max="21" width="22.28515625" customWidth="1"/>
    <col min="22" max="22" width="42.140625" customWidth="1"/>
    <col min="24" max="24" width="15.42578125" customWidth="1"/>
    <col min="25" max="25" width="23.85546875" customWidth="1"/>
    <col min="26" max="26" width="15.5703125" customWidth="1"/>
    <col min="27" max="27" width="14.42578125" customWidth="1"/>
    <col min="33" max="33" width="11.42578125" customWidth="1"/>
    <col min="34" max="34" width="18" customWidth="1"/>
  </cols>
  <sheetData>
    <row r="1" spans="1:26">
      <c r="A1" s="197"/>
      <c r="B1" s="198"/>
      <c r="C1" s="514" t="s">
        <v>452</v>
      </c>
      <c r="D1" s="515"/>
      <c r="E1" s="515"/>
      <c r="F1" s="515"/>
      <c r="G1" s="515"/>
      <c r="H1" s="515"/>
      <c r="I1" s="515"/>
      <c r="J1" s="515"/>
      <c r="K1" s="516"/>
      <c r="L1" s="316"/>
      <c r="M1" s="512" t="s">
        <v>451</v>
      </c>
      <c r="N1" s="513"/>
      <c r="O1" s="513"/>
      <c r="P1" s="513"/>
      <c r="Q1" s="513"/>
      <c r="R1" s="513"/>
      <c r="S1" s="513"/>
      <c r="T1" s="513"/>
      <c r="U1" s="552"/>
    </row>
    <row r="2" spans="1:26" ht="15.75" thickBot="1">
      <c r="A2" s="197" t="s">
        <v>450</v>
      </c>
      <c r="B2" s="196" t="s">
        <v>449</v>
      </c>
      <c r="C2" s="195" t="s">
        <v>448</v>
      </c>
      <c r="D2" s="194" t="s">
        <v>34</v>
      </c>
      <c r="E2" s="194" t="s">
        <v>497</v>
      </c>
      <c r="F2" s="194" t="s">
        <v>447</v>
      </c>
      <c r="G2" s="194" t="s">
        <v>460</v>
      </c>
      <c r="H2" s="194" t="s">
        <v>461</v>
      </c>
      <c r="I2" s="194" t="s">
        <v>498</v>
      </c>
      <c r="J2" s="194" t="s">
        <v>499</v>
      </c>
      <c r="K2" s="193" t="s">
        <v>444</v>
      </c>
      <c r="L2" s="256" t="s">
        <v>500</v>
      </c>
      <c r="M2" s="192" t="s">
        <v>446</v>
      </c>
      <c r="N2" s="192" t="s">
        <v>34</v>
      </c>
      <c r="O2" s="192" t="s">
        <v>41</v>
      </c>
      <c r="P2" s="191" t="s">
        <v>445</v>
      </c>
      <c r="Q2" s="190" t="s">
        <v>460</v>
      </c>
      <c r="R2" s="286" t="s">
        <v>462</v>
      </c>
      <c r="S2" s="190" t="s">
        <v>499</v>
      </c>
      <c r="T2" s="190" t="s">
        <v>444</v>
      </c>
      <c r="U2" s="245" t="s">
        <v>496</v>
      </c>
      <c r="V2" s="190" t="s">
        <v>504</v>
      </c>
    </row>
    <row r="3" spans="1:26" ht="15.75" thickBot="1">
      <c r="A3" s="162" t="s">
        <v>438</v>
      </c>
      <c r="B3" s="185" t="s">
        <v>437</v>
      </c>
      <c r="C3" s="184" t="s">
        <v>436</v>
      </c>
      <c r="D3" s="183">
        <v>386.9</v>
      </c>
      <c r="E3" s="86">
        <f>IF(D3&lt;135,300, IF(AND(D3&gt;135,D3&lt;288),250, IF(AND(D3&gt;288,D3&lt;537),200,IF(AND(D3&gt;537,D3&lt;1096),150,100))))</f>
        <v>200</v>
      </c>
      <c r="F3" s="183">
        <v>131.95400000000001</v>
      </c>
      <c r="G3" s="86">
        <v>1.5</v>
      </c>
      <c r="H3" s="86">
        <f>G3*F3</f>
        <v>197.93100000000001</v>
      </c>
      <c r="I3" s="85">
        <f>CEILING(H3/(0.84*E3),1)</f>
        <v>2</v>
      </c>
      <c r="J3" s="85">
        <f>I3*E3</f>
        <v>400</v>
      </c>
      <c r="K3" s="85">
        <f>J3-H3</f>
        <v>202.06899999999999</v>
      </c>
      <c r="L3" s="182">
        <f>H3/J3</f>
        <v>0.49482750000000003</v>
      </c>
      <c r="M3" s="181" t="s">
        <v>435</v>
      </c>
      <c r="N3" s="181">
        <v>598.85</v>
      </c>
      <c r="O3" s="180">
        <f>IF(N3&lt;135,300, IF(AND(N3&gt;135,N3&lt;288),250, IF(AND(N3&gt;288,N3&lt;537),200,IF(AND(N3&gt;537,N3&lt;1096),150,100))))</f>
        <v>150</v>
      </c>
      <c r="P3" s="180">
        <f t="shared" ref="P3:P13" si="0">F3</f>
        <v>131.95400000000001</v>
      </c>
      <c r="Q3" s="101">
        <v>1.5</v>
      </c>
      <c r="R3" s="83">
        <f>P3*Q3</f>
        <v>197.93100000000001</v>
      </c>
      <c r="S3" s="180">
        <f t="shared" ref="S3:S14" si="1">O3*I3</f>
        <v>300</v>
      </c>
      <c r="T3" s="290">
        <f>S3-R3</f>
        <v>102.06899999999999</v>
      </c>
      <c r="U3" s="180">
        <f>IF(T3&lt;-1, CEILING((R3-S3)/O3,1),0)</f>
        <v>0</v>
      </c>
      <c r="V3" s="328"/>
    </row>
    <row r="4" spans="1:26" ht="15.75" thickBot="1">
      <c r="A4" s="517" t="s">
        <v>44</v>
      </c>
      <c r="B4" s="178" t="s">
        <v>3</v>
      </c>
      <c r="C4" s="177" t="s">
        <v>44</v>
      </c>
      <c r="D4" s="176">
        <v>424.31</v>
      </c>
      <c r="E4" s="276">
        <f t="shared" ref="E4:E56" si="2">IF(D4&lt;135,300, IF(AND(D4&gt;135,D4&lt;288),250, IF(AND(D4&gt;288,D4&lt;537),200,IF(AND(D4&gt;537,D4&lt;1096),150,100))))</f>
        <v>200</v>
      </c>
      <c r="F4" s="176">
        <v>79.758499999999998</v>
      </c>
      <c r="G4" s="276">
        <v>1.5</v>
      </c>
      <c r="H4" s="86">
        <f t="shared" ref="H4:H56" si="3">G4*F4</f>
        <v>119.63775</v>
      </c>
      <c r="I4" s="85">
        <f t="shared" ref="I4:I56" si="4">CEILING(H4/(0.84*E4),1)</f>
        <v>1</v>
      </c>
      <c r="J4" s="85">
        <f t="shared" ref="J4:J56" si="5">I4*E4</f>
        <v>200</v>
      </c>
      <c r="K4" s="85">
        <f t="shared" ref="K4:K13" si="6">J4-H4</f>
        <v>80.362250000000003</v>
      </c>
      <c r="L4" s="95">
        <f t="shared" ref="L4:L56" si="7">H4/J4</f>
        <v>0.59818874999999994</v>
      </c>
      <c r="M4" s="172" t="s">
        <v>434</v>
      </c>
      <c r="N4" s="174">
        <v>561.44000000000005</v>
      </c>
      <c r="O4" s="93">
        <f t="shared" ref="O4:O56" si="8">IF(N4&lt;135,300, IF(AND(N4&gt;135,N4&lt;288),250, IF(AND(N4&gt;288,N4&lt;537),200,IF(AND(N4&gt;537,N4&lt;1096),150,100))))</f>
        <v>150</v>
      </c>
      <c r="P4" s="174">
        <f t="shared" si="0"/>
        <v>79.758499999999998</v>
      </c>
      <c r="Q4" s="283">
        <v>1.5</v>
      </c>
      <c r="R4" s="287">
        <f t="shared" ref="R4:R56" si="9">P4*Q4</f>
        <v>119.63775</v>
      </c>
      <c r="S4" s="180">
        <f t="shared" si="1"/>
        <v>150</v>
      </c>
      <c r="T4" s="290">
        <f t="shared" ref="T4:T13" si="10">S4-R4</f>
        <v>30.362250000000003</v>
      </c>
      <c r="U4" s="180">
        <f t="shared" ref="U4:U13" si="11">IF(T4&lt;-1, CEILING((R4-S4)/O4,1),0)</f>
        <v>0</v>
      </c>
      <c r="V4" s="328"/>
    </row>
    <row r="5" spans="1:26" ht="15.75" thickBot="1">
      <c r="A5" s="507"/>
      <c r="B5" s="63" t="s">
        <v>25</v>
      </c>
      <c r="C5" s="116" t="s">
        <v>65</v>
      </c>
      <c r="D5" s="96">
        <v>645.40499999999997</v>
      </c>
      <c r="E5" s="278">
        <f t="shared" si="2"/>
        <v>150</v>
      </c>
      <c r="F5" s="96">
        <v>101.52370000000001</v>
      </c>
      <c r="G5" s="278">
        <v>1.5</v>
      </c>
      <c r="H5" s="96">
        <f t="shared" si="3"/>
        <v>152.28555</v>
      </c>
      <c r="I5" s="85">
        <f t="shared" si="4"/>
        <v>2</v>
      </c>
      <c r="J5" s="85">
        <f t="shared" si="5"/>
        <v>300</v>
      </c>
      <c r="K5" s="85">
        <f t="shared" si="6"/>
        <v>147.71445</v>
      </c>
      <c r="L5" s="95">
        <f t="shared" si="7"/>
        <v>0.50761849999999997</v>
      </c>
      <c r="M5" s="92" t="s">
        <v>429</v>
      </c>
      <c r="N5" s="94">
        <v>691.82</v>
      </c>
      <c r="O5" s="93">
        <f t="shared" si="8"/>
        <v>150</v>
      </c>
      <c r="P5" s="94">
        <f t="shared" si="0"/>
        <v>101.52370000000001</v>
      </c>
      <c r="Q5" s="284">
        <v>1.5</v>
      </c>
      <c r="R5" s="288">
        <f t="shared" si="9"/>
        <v>152.28555</v>
      </c>
      <c r="S5" s="180">
        <f t="shared" si="1"/>
        <v>300</v>
      </c>
      <c r="T5" s="290">
        <f t="shared" si="10"/>
        <v>147.71445</v>
      </c>
      <c r="U5" s="180">
        <f t="shared" si="11"/>
        <v>0</v>
      </c>
      <c r="V5" s="328"/>
    </row>
    <row r="6" spans="1:26" ht="15.75" thickBot="1">
      <c r="A6" s="506" t="s">
        <v>433</v>
      </c>
      <c r="B6" s="88" t="s">
        <v>432</v>
      </c>
      <c r="C6" s="87" t="s">
        <v>392</v>
      </c>
      <c r="D6" s="86">
        <v>774.56</v>
      </c>
      <c r="E6" s="276">
        <f t="shared" si="2"/>
        <v>150</v>
      </c>
      <c r="F6" s="86">
        <v>593.39</v>
      </c>
      <c r="G6" s="276">
        <v>1.5</v>
      </c>
      <c r="H6" s="86">
        <f t="shared" si="3"/>
        <v>890.08500000000004</v>
      </c>
      <c r="I6" s="85">
        <f t="shared" si="4"/>
        <v>8</v>
      </c>
      <c r="J6" s="85">
        <f t="shared" si="5"/>
        <v>1200</v>
      </c>
      <c r="K6" s="85">
        <f t="shared" si="6"/>
        <v>309.91499999999996</v>
      </c>
      <c r="L6" s="85">
        <f t="shared" si="7"/>
        <v>0.74173750000000005</v>
      </c>
      <c r="M6" s="101" t="s">
        <v>431</v>
      </c>
      <c r="N6" s="84">
        <v>778.62</v>
      </c>
      <c r="O6" s="83">
        <f t="shared" si="8"/>
        <v>150</v>
      </c>
      <c r="P6" s="84">
        <f t="shared" si="0"/>
        <v>593.39</v>
      </c>
      <c r="Q6" s="283">
        <v>1.5</v>
      </c>
      <c r="R6" s="287">
        <f t="shared" si="9"/>
        <v>890.08500000000004</v>
      </c>
      <c r="S6" s="180">
        <f t="shared" si="1"/>
        <v>1200</v>
      </c>
      <c r="T6" s="290">
        <f t="shared" si="10"/>
        <v>309.91499999999996</v>
      </c>
      <c r="U6" s="180">
        <f t="shared" si="11"/>
        <v>0</v>
      </c>
      <c r="V6" s="328"/>
    </row>
    <row r="7" spans="1:26" ht="15.75" thickBot="1">
      <c r="A7" s="507"/>
      <c r="B7" s="98" t="s">
        <v>4</v>
      </c>
      <c r="C7" s="97" t="s">
        <v>45</v>
      </c>
      <c r="D7" s="110">
        <v>221.095</v>
      </c>
      <c r="E7" s="278">
        <f t="shared" si="2"/>
        <v>250</v>
      </c>
      <c r="F7" s="110">
        <v>165.54</v>
      </c>
      <c r="G7" s="278">
        <v>1.5</v>
      </c>
      <c r="H7" s="96">
        <f t="shared" si="3"/>
        <v>248.31</v>
      </c>
      <c r="I7" s="85">
        <f t="shared" si="4"/>
        <v>2</v>
      </c>
      <c r="J7" s="85">
        <f t="shared" si="5"/>
        <v>500</v>
      </c>
      <c r="K7" s="85">
        <f t="shared" si="6"/>
        <v>251.69</v>
      </c>
      <c r="L7" s="95">
        <f t="shared" si="7"/>
        <v>0.49662000000000001</v>
      </c>
      <c r="M7" s="102" t="s">
        <v>430</v>
      </c>
      <c r="N7" s="108">
        <v>904.18</v>
      </c>
      <c r="O7" s="93">
        <f t="shared" si="8"/>
        <v>150</v>
      </c>
      <c r="P7" s="108">
        <f t="shared" si="0"/>
        <v>165.54</v>
      </c>
      <c r="Q7" s="284">
        <v>1.5</v>
      </c>
      <c r="R7" s="288">
        <f t="shared" si="9"/>
        <v>248.31</v>
      </c>
      <c r="S7" s="180">
        <f t="shared" si="1"/>
        <v>300</v>
      </c>
      <c r="T7" s="290">
        <f t="shared" si="10"/>
        <v>51.69</v>
      </c>
      <c r="U7" s="180">
        <f t="shared" si="11"/>
        <v>0</v>
      </c>
      <c r="V7" s="328"/>
    </row>
    <row r="8" spans="1:26" ht="15.75" thickBot="1">
      <c r="A8" s="507"/>
      <c r="B8" s="98" t="s">
        <v>25</v>
      </c>
      <c r="C8" s="97" t="s">
        <v>65</v>
      </c>
      <c r="D8" s="96">
        <v>645.40499999999997</v>
      </c>
      <c r="E8" s="278">
        <f t="shared" si="2"/>
        <v>150</v>
      </c>
      <c r="F8" s="96">
        <v>101.52370000000001</v>
      </c>
      <c r="G8" s="278">
        <v>1.5</v>
      </c>
      <c r="H8" s="96">
        <f t="shared" si="3"/>
        <v>152.28555</v>
      </c>
      <c r="I8" s="85">
        <f t="shared" si="4"/>
        <v>2</v>
      </c>
      <c r="J8" s="85">
        <f t="shared" si="5"/>
        <v>300</v>
      </c>
      <c r="K8" s="85">
        <f t="shared" si="6"/>
        <v>147.71445</v>
      </c>
      <c r="L8" s="73">
        <f t="shared" si="7"/>
        <v>0.50761849999999997</v>
      </c>
      <c r="M8" s="92" t="s">
        <v>429</v>
      </c>
      <c r="N8" s="94">
        <v>691.82</v>
      </c>
      <c r="O8" s="120">
        <f t="shared" si="8"/>
        <v>150</v>
      </c>
      <c r="P8" s="94">
        <f t="shared" si="0"/>
        <v>101.52370000000001</v>
      </c>
      <c r="Q8" s="284">
        <v>1.5</v>
      </c>
      <c r="R8" s="288">
        <f t="shared" si="9"/>
        <v>152.28555</v>
      </c>
      <c r="S8" s="180">
        <f t="shared" si="1"/>
        <v>300</v>
      </c>
      <c r="T8" s="290">
        <f t="shared" si="10"/>
        <v>147.71445</v>
      </c>
      <c r="U8" s="180">
        <f t="shared" si="11"/>
        <v>0</v>
      </c>
      <c r="V8" s="328"/>
    </row>
    <row r="9" spans="1:26" ht="15.75" thickBot="1">
      <c r="A9" s="506" t="s">
        <v>46</v>
      </c>
      <c r="B9" s="88" t="s">
        <v>5</v>
      </c>
      <c r="C9" s="87" t="s">
        <v>46</v>
      </c>
      <c r="D9" s="86">
        <v>87.444999999999993</v>
      </c>
      <c r="E9" s="276">
        <f t="shared" si="2"/>
        <v>300</v>
      </c>
      <c r="F9" s="86">
        <v>330.03719999999998</v>
      </c>
      <c r="G9" s="276">
        <v>1.5</v>
      </c>
      <c r="H9" s="86">
        <f t="shared" si="3"/>
        <v>495.05579999999998</v>
      </c>
      <c r="I9" s="85">
        <f t="shared" si="4"/>
        <v>2</v>
      </c>
      <c r="J9" s="85">
        <f t="shared" si="5"/>
        <v>600</v>
      </c>
      <c r="K9" s="85">
        <f t="shared" si="6"/>
        <v>104.94420000000002</v>
      </c>
      <c r="L9" s="95">
        <f t="shared" si="7"/>
        <v>0.82509299999999997</v>
      </c>
      <c r="M9" s="101" t="s">
        <v>428</v>
      </c>
      <c r="N9" s="84">
        <v>243.73500000000001</v>
      </c>
      <c r="O9" s="93">
        <f t="shared" si="8"/>
        <v>250</v>
      </c>
      <c r="P9" s="84">
        <f t="shared" si="0"/>
        <v>330.03719999999998</v>
      </c>
      <c r="Q9" s="283">
        <v>1.5</v>
      </c>
      <c r="R9" s="287">
        <f t="shared" si="9"/>
        <v>495.05579999999998</v>
      </c>
      <c r="S9" s="180">
        <f t="shared" si="1"/>
        <v>500</v>
      </c>
      <c r="T9" s="290">
        <f t="shared" si="10"/>
        <v>4.9442000000000235</v>
      </c>
      <c r="U9" s="180">
        <f t="shared" si="11"/>
        <v>0</v>
      </c>
      <c r="V9" s="328"/>
    </row>
    <row r="10" spans="1:26" ht="15.75" thickBot="1">
      <c r="A10" s="507"/>
      <c r="B10" s="98" t="s">
        <v>7</v>
      </c>
      <c r="C10" s="97" t="s">
        <v>48</v>
      </c>
      <c r="D10" s="110">
        <v>457.755</v>
      </c>
      <c r="E10" s="278">
        <f t="shared" si="2"/>
        <v>200</v>
      </c>
      <c r="F10" s="110">
        <v>200.11</v>
      </c>
      <c r="G10" s="278">
        <v>1.5</v>
      </c>
      <c r="H10" s="96">
        <f t="shared" si="3"/>
        <v>300.16500000000002</v>
      </c>
      <c r="I10" s="85">
        <f t="shared" si="4"/>
        <v>2</v>
      </c>
      <c r="J10" s="85">
        <f t="shared" si="5"/>
        <v>400</v>
      </c>
      <c r="K10" s="85">
        <f t="shared" si="6"/>
        <v>99.83499999999998</v>
      </c>
      <c r="L10" s="95">
        <f t="shared" si="7"/>
        <v>0.75041250000000004</v>
      </c>
      <c r="M10" s="102" t="s">
        <v>427</v>
      </c>
      <c r="N10" s="108">
        <v>614.06500000000005</v>
      </c>
      <c r="O10" s="93">
        <f t="shared" si="8"/>
        <v>150</v>
      </c>
      <c r="P10" s="108">
        <f t="shared" si="0"/>
        <v>200.11</v>
      </c>
      <c r="Q10" s="284">
        <v>1.5</v>
      </c>
      <c r="R10" s="288">
        <f t="shared" si="9"/>
        <v>300.16500000000002</v>
      </c>
      <c r="S10" s="180">
        <f t="shared" si="1"/>
        <v>300</v>
      </c>
      <c r="T10" s="290">
        <f t="shared" si="10"/>
        <v>-0.16500000000002046</v>
      </c>
      <c r="U10" s="180">
        <f t="shared" si="11"/>
        <v>0</v>
      </c>
      <c r="V10" s="328">
        <f>IF(T10&lt;0, -1*T10,0)</f>
        <v>0.16500000000002046</v>
      </c>
      <c r="W10" t="s">
        <v>521</v>
      </c>
    </row>
    <row r="11" spans="1:26" ht="15.75" thickBot="1">
      <c r="A11" s="507"/>
      <c r="B11" s="98" t="s">
        <v>8</v>
      </c>
      <c r="C11" s="97" t="s">
        <v>74</v>
      </c>
      <c r="D11" s="110">
        <v>632.29</v>
      </c>
      <c r="E11" s="278">
        <f t="shared" si="2"/>
        <v>150</v>
      </c>
      <c r="F11" s="110">
        <v>416.14780000000002</v>
      </c>
      <c r="G11" s="278">
        <v>1.5</v>
      </c>
      <c r="H11" s="96">
        <f t="shared" si="3"/>
        <v>624.22170000000006</v>
      </c>
      <c r="I11" s="85">
        <f t="shared" si="4"/>
        <v>5</v>
      </c>
      <c r="J11" s="85">
        <f t="shared" si="5"/>
        <v>750</v>
      </c>
      <c r="K11" s="85">
        <f t="shared" si="6"/>
        <v>125.77829999999994</v>
      </c>
      <c r="L11" s="95">
        <f t="shared" si="7"/>
        <v>0.83229560000000002</v>
      </c>
      <c r="M11" s="102" t="s">
        <v>426</v>
      </c>
      <c r="N11" s="108">
        <v>692.19500000000005</v>
      </c>
      <c r="O11" s="93">
        <f t="shared" si="8"/>
        <v>150</v>
      </c>
      <c r="P11" s="108">
        <f t="shared" si="0"/>
        <v>416.14780000000002</v>
      </c>
      <c r="Q11" s="284">
        <v>1.5</v>
      </c>
      <c r="R11" s="288">
        <f t="shared" si="9"/>
        <v>624.22170000000006</v>
      </c>
      <c r="S11" s="180">
        <f t="shared" si="1"/>
        <v>750</v>
      </c>
      <c r="T11" s="290">
        <f t="shared" si="10"/>
        <v>125.77829999999994</v>
      </c>
      <c r="U11" s="180">
        <f t="shared" si="11"/>
        <v>0</v>
      </c>
      <c r="V11" s="328"/>
    </row>
    <row r="12" spans="1:26" ht="15.75" thickBot="1">
      <c r="A12" s="507"/>
      <c r="B12" s="98" t="s">
        <v>12</v>
      </c>
      <c r="C12" s="97" t="s">
        <v>52</v>
      </c>
      <c r="D12" s="110">
        <v>428.91</v>
      </c>
      <c r="E12" s="278">
        <f t="shared" si="2"/>
        <v>200</v>
      </c>
      <c r="F12" s="110">
        <v>320.77999999999997</v>
      </c>
      <c r="G12" s="278">
        <v>1.5</v>
      </c>
      <c r="H12" s="96">
        <f t="shared" si="3"/>
        <v>481.16999999999996</v>
      </c>
      <c r="I12" s="85">
        <f t="shared" si="4"/>
        <v>3</v>
      </c>
      <c r="J12" s="85">
        <f t="shared" si="5"/>
        <v>600</v>
      </c>
      <c r="K12" s="85">
        <f t="shared" si="6"/>
        <v>118.83000000000004</v>
      </c>
      <c r="L12" s="95">
        <f t="shared" si="7"/>
        <v>0.80194999999999994</v>
      </c>
      <c r="M12" s="102" t="s">
        <v>420</v>
      </c>
      <c r="N12" s="108">
        <v>440.09</v>
      </c>
      <c r="O12" s="93">
        <f t="shared" si="8"/>
        <v>200</v>
      </c>
      <c r="P12" s="108">
        <f t="shared" si="0"/>
        <v>320.77999999999997</v>
      </c>
      <c r="Q12" s="284">
        <v>1.5</v>
      </c>
      <c r="R12" s="288">
        <f t="shared" si="9"/>
        <v>481.16999999999996</v>
      </c>
      <c r="S12" s="180">
        <f t="shared" si="1"/>
        <v>600</v>
      </c>
      <c r="T12" s="290">
        <f t="shared" si="10"/>
        <v>118.83000000000004</v>
      </c>
      <c r="U12" s="180">
        <f t="shared" si="11"/>
        <v>0</v>
      </c>
      <c r="V12" s="328"/>
      <c r="X12" s="317" t="s">
        <v>455</v>
      </c>
      <c r="Y12" s="318"/>
      <c r="Z12" s="319"/>
    </row>
    <row r="13" spans="1:26" ht="15.75" thickBot="1">
      <c r="A13" s="507"/>
      <c r="B13" s="98" t="s">
        <v>396</v>
      </c>
      <c r="C13" s="97" t="s">
        <v>63</v>
      </c>
      <c r="D13" s="96">
        <v>530.30999999999995</v>
      </c>
      <c r="E13" s="277">
        <f t="shared" si="2"/>
        <v>200</v>
      </c>
      <c r="F13" s="96">
        <v>22.35</v>
      </c>
      <c r="G13" s="277">
        <v>1.5</v>
      </c>
      <c r="H13" s="74">
        <f t="shared" si="3"/>
        <v>33.525000000000006</v>
      </c>
      <c r="I13" s="85">
        <f t="shared" si="4"/>
        <v>1</v>
      </c>
      <c r="J13" s="86">
        <f t="shared" si="5"/>
        <v>200</v>
      </c>
      <c r="K13" s="321">
        <f t="shared" si="6"/>
        <v>166.47499999999999</v>
      </c>
      <c r="L13" s="95">
        <f t="shared" si="7"/>
        <v>0.16762500000000002</v>
      </c>
      <c r="M13" s="92" t="s">
        <v>418</v>
      </c>
      <c r="N13" s="94">
        <v>541.49</v>
      </c>
      <c r="O13" s="93">
        <f t="shared" si="8"/>
        <v>150</v>
      </c>
      <c r="P13" s="94">
        <f t="shared" si="0"/>
        <v>22.35</v>
      </c>
      <c r="Q13" s="285">
        <v>1.5</v>
      </c>
      <c r="R13" s="289">
        <f t="shared" si="9"/>
        <v>33.525000000000006</v>
      </c>
      <c r="S13" s="180">
        <f t="shared" si="1"/>
        <v>150</v>
      </c>
      <c r="T13" s="290">
        <f t="shared" si="10"/>
        <v>116.47499999999999</v>
      </c>
      <c r="U13" s="180">
        <f t="shared" si="11"/>
        <v>0</v>
      </c>
      <c r="V13" s="328"/>
      <c r="X13" s="91"/>
      <c r="Y13" s="320"/>
      <c r="Z13" s="100"/>
    </row>
    <row r="14" spans="1:26" ht="15.75" thickBot="1">
      <c r="A14" s="315" t="s">
        <v>426</v>
      </c>
      <c r="B14" s="88" t="s">
        <v>351</v>
      </c>
      <c r="C14" s="161"/>
      <c r="D14" s="86"/>
      <c r="E14" s="96">
        <f t="shared" si="2"/>
        <v>300</v>
      </c>
      <c r="F14" s="86"/>
      <c r="G14" s="96">
        <v>1.5</v>
      </c>
      <c r="H14" s="96">
        <f t="shared" si="3"/>
        <v>0</v>
      </c>
      <c r="I14" s="85">
        <f t="shared" si="4"/>
        <v>0</v>
      </c>
      <c r="J14" s="85">
        <f t="shared" si="5"/>
        <v>0</v>
      </c>
      <c r="K14" s="95"/>
      <c r="L14" s="182"/>
      <c r="M14" s="84"/>
      <c r="N14" s="84"/>
      <c r="O14" s="180">
        <f t="shared" si="8"/>
        <v>300</v>
      </c>
      <c r="P14" s="83"/>
      <c r="Q14" s="92">
        <v>1.5</v>
      </c>
      <c r="R14" s="93">
        <f t="shared" si="9"/>
        <v>0</v>
      </c>
      <c r="S14" s="180">
        <f t="shared" si="1"/>
        <v>0</v>
      </c>
      <c r="T14" s="82"/>
      <c r="U14" s="83"/>
      <c r="V14" s="328"/>
      <c r="X14" s="138" t="s">
        <v>390</v>
      </c>
      <c r="Y14" s="137" t="s">
        <v>389</v>
      </c>
      <c r="Z14" s="136" t="s">
        <v>388</v>
      </c>
    </row>
    <row r="15" spans="1:26" ht="15.75" thickBot="1">
      <c r="A15" s="506" t="s">
        <v>49</v>
      </c>
      <c r="B15" s="88" t="s">
        <v>425</v>
      </c>
      <c r="C15" s="87" t="s">
        <v>47</v>
      </c>
      <c r="D15" s="86">
        <v>341.36500000000001</v>
      </c>
      <c r="E15" s="276">
        <f t="shared" si="2"/>
        <v>200</v>
      </c>
      <c r="F15" s="86">
        <v>414.50749999999999</v>
      </c>
      <c r="G15" s="276">
        <v>1.5</v>
      </c>
      <c r="H15" s="86">
        <f t="shared" si="3"/>
        <v>621.76125000000002</v>
      </c>
      <c r="I15" s="85">
        <f t="shared" si="4"/>
        <v>4</v>
      </c>
      <c r="J15" s="85">
        <f t="shared" si="5"/>
        <v>800</v>
      </c>
      <c r="K15" s="279">
        <f>J15-H15</f>
        <v>178.23874999999998</v>
      </c>
      <c r="L15" s="95">
        <f t="shared" si="7"/>
        <v>0.77720156250000005</v>
      </c>
      <c r="M15" s="101" t="s">
        <v>424</v>
      </c>
      <c r="N15" s="84">
        <v>527.53499999999997</v>
      </c>
      <c r="O15" s="93">
        <f t="shared" si="8"/>
        <v>200</v>
      </c>
      <c r="P15" s="84">
        <f t="shared" ref="P15:P24" si="12">F15</f>
        <v>414.50749999999999</v>
      </c>
      <c r="Q15" s="283">
        <v>1.5</v>
      </c>
      <c r="R15" s="287">
        <f t="shared" si="9"/>
        <v>621.76125000000002</v>
      </c>
      <c r="S15" s="93">
        <f t="shared" ref="S15:S24" si="13">O15*I15</f>
        <v>800</v>
      </c>
      <c r="T15" s="203">
        <f>S15-R15</f>
        <v>178.23874999999998</v>
      </c>
      <c r="U15" s="83">
        <f>IF(T15&lt;-1, CEILING((R15-S15)/O15,1),0)</f>
        <v>0</v>
      </c>
      <c r="V15" s="328"/>
      <c r="X15" s="322" t="s">
        <v>14</v>
      </c>
      <c r="Y15" s="323">
        <v>96.77</v>
      </c>
      <c r="Z15" s="319"/>
    </row>
    <row r="16" spans="1:26" ht="15.75" thickBot="1">
      <c r="A16" s="507"/>
      <c r="B16" s="98" t="s">
        <v>9</v>
      </c>
      <c r="C16" s="97" t="s">
        <v>423</v>
      </c>
      <c r="D16" s="110">
        <v>72.555000000000007</v>
      </c>
      <c r="E16" s="278">
        <f t="shared" si="2"/>
        <v>300</v>
      </c>
      <c r="F16" s="110">
        <v>249.06020000000001</v>
      </c>
      <c r="G16" s="278">
        <v>1.5</v>
      </c>
      <c r="H16" s="96">
        <f t="shared" si="3"/>
        <v>373.59030000000001</v>
      </c>
      <c r="I16" s="85">
        <f t="shared" si="4"/>
        <v>2</v>
      </c>
      <c r="J16" s="85">
        <f t="shared" si="5"/>
        <v>600</v>
      </c>
      <c r="K16" s="279">
        <f t="shared" ref="K16:K24" si="14">J16-H16</f>
        <v>226.40969999999999</v>
      </c>
      <c r="L16" s="95">
        <f t="shared" si="7"/>
        <v>0.6226505</v>
      </c>
      <c r="M16" s="102" t="s">
        <v>422</v>
      </c>
      <c r="N16" s="108">
        <v>258.625</v>
      </c>
      <c r="O16" s="93">
        <f t="shared" si="8"/>
        <v>250</v>
      </c>
      <c r="P16" s="108">
        <f t="shared" si="12"/>
        <v>249.06020000000001</v>
      </c>
      <c r="Q16" s="284">
        <v>1.5</v>
      </c>
      <c r="R16" s="288">
        <f t="shared" si="9"/>
        <v>373.59030000000001</v>
      </c>
      <c r="S16" s="93">
        <f t="shared" si="13"/>
        <v>500</v>
      </c>
      <c r="T16" s="203">
        <f t="shared" ref="T16:T24" si="15">S16-R16</f>
        <v>126.40969999999999</v>
      </c>
      <c r="U16" s="83">
        <f t="shared" ref="U16:U24" si="16">IF(T16&lt;-1, CEILING((R16-S16)/O16,1),0)</f>
        <v>0</v>
      </c>
      <c r="V16" s="328"/>
      <c r="X16" s="167" t="s">
        <v>6</v>
      </c>
      <c r="Y16" s="166">
        <v>21.76</v>
      </c>
      <c r="Z16" s="100"/>
    </row>
    <row r="17" spans="1:38" ht="15.75" thickBot="1">
      <c r="A17" s="507"/>
      <c r="B17" s="98" t="s">
        <v>10</v>
      </c>
      <c r="C17" s="97" t="s">
        <v>386</v>
      </c>
      <c r="D17" s="110">
        <v>894.93</v>
      </c>
      <c r="E17" s="278">
        <f t="shared" si="2"/>
        <v>150</v>
      </c>
      <c r="F17" s="110">
        <v>185.4342</v>
      </c>
      <c r="G17" s="278">
        <v>1.5</v>
      </c>
      <c r="H17" s="96">
        <f t="shared" si="3"/>
        <v>278.15129999999999</v>
      </c>
      <c r="I17" s="85">
        <f t="shared" si="4"/>
        <v>3</v>
      </c>
      <c r="J17" s="85">
        <f t="shared" si="5"/>
        <v>450</v>
      </c>
      <c r="K17" s="279">
        <f t="shared" si="14"/>
        <v>171.84870000000001</v>
      </c>
      <c r="L17" s="95">
        <f t="shared" si="7"/>
        <v>0.61811399999999994</v>
      </c>
      <c r="M17" s="102" t="s">
        <v>385</v>
      </c>
      <c r="N17" s="108">
        <v>975.03499999999997</v>
      </c>
      <c r="O17" s="93">
        <f t="shared" si="8"/>
        <v>150</v>
      </c>
      <c r="P17" s="108">
        <f t="shared" si="12"/>
        <v>185.4342</v>
      </c>
      <c r="Q17" s="284">
        <v>1.5</v>
      </c>
      <c r="R17" s="288">
        <f t="shared" si="9"/>
        <v>278.15129999999999</v>
      </c>
      <c r="S17" s="93">
        <f t="shared" si="13"/>
        <v>450</v>
      </c>
      <c r="T17" s="203">
        <f t="shared" si="15"/>
        <v>171.84870000000001</v>
      </c>
      <c r="U17" s="83">
        <f t="shared" si="16"/>
        <v>0</v>
      </c>
      <c r="V17" s="328"/>
      <c r="X17" s="167" t="s">
        <v>11</v>
      </c>
      <c r="Y17" s="166">
        <v>20.77</v>
      </c>
      <c r="Z17" s="100"/>
    </row>
    <row r="18" spans="1:38" ht="15.75" thickBot="1">
      <c r="A18" s="507"/>
      <c r="B18" s="98" t="s">
        <v>11</v>
      </c>
      <c r="C18" s="97" t="s">
        <v>378</v>
      </c>
      <c r="D18" s="110">
        <v>839.23</v>
      </c>
      <c r="E18" s="278">
        <f t="shared" si="2"/>
        <v>150</v>
      </c>
      <c r="F18" s="110">
        <v>213.84829999999999</v>
      </c>
      <c r="G18" s="278">
        <v>1.5</v>
      </c>
      <c r="H18" s="96">
        <f t="shared" si="3"/>
        <v>320.77244999999999</v>
      </c>
      <c r="I18" s="85">
        <f t="shared" si="4"/>
        <v>3</v>
      </c>
      <c r="J18" s="85">
        <f t="shared" si="5"/>
        <v>450</v>
      </c>
      <c r="K18" s="279">
        <f t="shared" si="14"/>
        <v>129.22755000000001</v>
      </c>
      <c r="L18" s="95">
        <f t="shared" si="7"/>
        <v>0.71282766666666664</v>
      </c>
      <c r="M18" s="102" t="s">
        <v>421</v>
      </c>
      <c r="N18" s="108">
        <v>1025.3</v>
      </c>
      <c r="O18" s="93">
        <f t="shared" si="8"/>
        <v>150</v>
      </c>
      <c r="P18" s="108">
        <f t="shared" si="12"/>
        <v>213.84829999999999</v>
      </c>
      <c r="Q18" s="284">
        <v>1.5</v>
      </c>
      <c r="R18" s="288">
        <f t="shared" si="9"/>
        <v>320.77244999999999</v>
      </c>
      <c r="S18" s="93">
        <f t="shared" si="13"/>
        <v>450</v>
      </c>
      <c r="T18" s="203">
        <f t="shared" si="15"/>
        <v>129.22755000000001</v>
      </c>
      <c r="U18" s="83">
        <f t="shared" si="16"/>
        <v>0</v>
      </c>
      <c r="V18" s="328"/>
      <c r="X18" s="167" t="s">
        <v>12</v>
      </c>
      <c r="Y18" s="166">
        <v>31.17</v>
      </c>
      <c r="Z18" s="100"/>
    </row>
    <row r="19" spans="1:38" ht="15.75" thickBot="1">
      <c r="A19" s="507"/>
      <c r="B19" s="98" t="s">
        <v>12</v>
      </c>
      <c r="C19" s="97" t="s">
        <v>52</v>
      </c>
      <c r="D19" s="110">
        <v>428.91</v>
      </c>
      <c r="E19" s="278">
        <f t="shared" si="2"/>
        <v>200</v>
      </c>
      <c r="F19" s="110">
        <v>320.7817</v>
      </c>
      <c r="G19" s="278">
        <v>1.5</v>
      </c>
      <c r="H19" s="96">
        <f t="shared" si="3"/>
        <v>481.17255</v>
      </c>
      <c r="I19" s="85">
        <f t="shared" si="4"/>
        <v>3</v>
      </c>
      <c r="J19" s="85">
        <f t="shared" si="5"/>
        <v>600</v>
      </c>
      <c r="K19" s="279">
        <f t="shared" si="14"/>
        <v>118.82745</v>
      </c>
      <c r="L19" s="95">
        <f t="shared" si="7"/>
        <v>0.80195424999999998</v>
      </c>
      <c r="M19" s="102" t="s">
        <v>420</v>
      </c>
      <c r="N19" s="108">
        <v>440.09</v>
      </c>
      <c r="O19" s="93">
        <f t="shared" si="8"/>
        <v>200</v>
      </c>
      <c r="P19" s="108">
        <f t="shared" si="12"/>
        <v>320.7817</v>
      </c>
      <c r="Q19" s="284">
        <v>1.5</v>
      </c>
      <c r="R19" s="288">
        <f t="shared" si="9"/>
        <v>481.17255</v>
      </c>
      <c r="S19" s="93">
        <f t="shared" si="13"/>
        <v>600</v>
      </c>
      <c r="T19" s="203">
        <f t="shared" si="15"/>
        <v>118.82745</v>
      </c>
      <c r="U19" s="83">
        <f t="shared" si="16"/>
        <v>0</v>
      </c>
      <c r="V19" s="328"/>
      <c r="X19" s="167" t="s">
        <v>395</v>
      </c>
      <c r="Y19" s="166">
        <v>116.36</v>
      </c>
      <c r="Z19" s="100"/>
    </row>
    <row r="20" spans="1:38" ht="15.75" thickBot="1">
      <c r="A20" s="507"/>
      <c r="B20" s="98" t="s">
        <v>419</v>
      </c>
      <c r="C20" s="97" t="s">
        <v>411</v>
      </c>
      <c r="D20" s="96">
        <v>530.30999999999995</v>
      </c>
      <c r="E20" s="278">
        <f t="shared" si="2"/>
        <v>200</v>
      </c>
      <c r="F20" s="96">
        <v>22.35</v>
      </c>
      <c r="G20" s="278">
        <v>1.5</v>
      </c>
      <c r="H20" s="96">
        <f t="shared" si="3"/>
        <v>33.525000000000006</v>
      </c>
      <c r="I20" s="85">
        <f t="shared" si="4"/>
        <v>1</v>
      </c>
      <c r="J20" s="85">
        <f t="shared" si="5"/>
        <v>200</v>
      </c>
      <c r="K20" s="279">
        <f t="shared" si="14"/>
        <v>166.47499999999999</v>
      </c>
      <c r="L20" s="95">
        <f t="shared" si="7"/>
        <v>0.16762500000000002</v>
      </c>
      <c r="M20" s="92" t="s">
        <v>418</v>
      </c>
      <c r="N20" s="94">
        <v>541.49</v>
      </c>
      <c r="O20" s="93">
        <f t="shared" si="8"/>
        <v>150</v>
      </c>
      <c r="P20" s="94">
        <f t="shared" si="12"/>
        <v>22.35</v>
      </c>
      <c r="Q20" s="284">
        <v>1.5</v>
      </c>
      <c r="R20" s="288">
        <f t="shared" si="9"/>
        <v>33.525000000000006</v>
      </c>
      <c r="S20" s="93">
        <f t="shared" si="13"/>
        <v>150</v>
      </c>
      <c r="T20" s="203">
        <f t="shared" si="15"/>
        <v>116.47499999999999</v>
      </c>
      <c r="U20" s="83">
        <f t="shared" si="16"/>
        <v>0</v>
      </c>
      <c r="V20" s="328"/>
      <c r="X20" s="167" t="s">
        <v>19</v>
      </c>
      <c r="Y20" s="166">
        <v>269.27999999999997</v>
      </c>
      <c r="Z20" s="100"/>
    </row>
    <row r="21" spans="1:38" ht="15.75" thickBot="1">
      <c r="A21" s="506" t="s">
        <v>413</v>
      </c>
      <c r="B21" s="88" t="s">
        <v>7</v>
      </c>
      <c r="C21" s="87" t="s">
        <v>48</v>
      </c>
      <c r="D21" s="86">
        <v>457.755</v>
      </c>
      <c r="E21" s="276">
        <f t="shared" si="2"/>
        <v>200</v>
      </c>
      <c r="F21" s="86">
        <v>200.1122</v>
      </c>
      <c r="G21" s="276">
        <v>1.5</v>
      </c>
      <c r="H21" s="86">
        <f t="shared" si="3"/>
        <v>300.16829999999999</v>
      </c>
      <c r="I21" s="85">
        <f t="shared" si="4"/>
        <v>2</v>
      </c>
      <c r="J21" s="85">
        <f t="shared" si="5"/>
        <v>400</v>
      </c>
      <c r="K21" s="279">
        <f t="shared" si="14"/>
        <v>99.831700000000012</v>
      </c>
      <c r="L21" s="85">
        <f t="shared" si="7"/>
        <v>0.75042074999999997</v>
      </c>
      <c r="M21" s="101" t="s">
        <v>416</v>
      </c>
      <c r="N21" s="84">
        <v>733.18499999999995</v>
      </c>
      <c r="O21" s="83">
        <f t="shared" si="8"/>
        <v>150</v>
      </c>
      <c r="P21" s="84">
        <f t="shared" si="12"/>
        <v>200.1122</v>
      </c>
      <c r="Q21" s="283">
        <v>1.5</v>
      </c>
      <c r="R21" s="287">
        <f t="shared" si="9"/>
        <v>300.16829999999999</v>
      </c>
      <c r="S21" s="93">
        <f t="shared" si="13"/>
        <v>300</v>
      </c>
      <c r="T21" s="203">
        <f t="shared" si="15"/>
        <v>-0.1682999999999879</v>
      </c>
      <c r="U21" s="83">
        <f t="shared" si="16"/>
        <v>0</v>
      </c>
      <c r="V21" s="328">
        <f>IF(T21&lt;0, -1*T21,0)</f>
        <v>0.1682999999999879</v>
      </c>
      <c r="W21" t="s">
        <v>522</v>
      </c>
      <c r="X21" s="167" t="s">
        <v>20</v>
      </c>
      <c r="Y21" s="166">
        <v>279.23</v>
      </c>
      <c r="Z21" s="224"/>
    </row>
    <row r="22" spans="1:38" ht="15.75" thickBot="1">
      <c r="A22" s="507"/>
      <c r="B22" s="98" t="s">
        <v>415</v>
      </c>
      <c r="C22" s="97" t="s">
        <v>74</v>
      </c>
      <c r="D22" s="110">
        <v>632.29</v>
      </c>
      <c r="E22" s="278">
        <f t="shared" si="2"/>
        <v>150</v>
      </c>
      <c r="F22" s="110">
        <v>416.14780000000002</v>
      </c>
      <c r="G22" s="278">
        <v>1.5</v>
      </c>
      <c r="H22" s="96">
        <f t="shared" si="3"/>
        <v>624.22170000000006</v>
      </c>
      <c r="I22" s="85">
        <f t="shared" si="4"/>
        <v>5</v>
      </c>
      <c r="J22" s="85">
        <f t="shared" si="5"/>
        <v>750</v>
      </c>
      <c r="K22" s="279">
        <f t="shared" si="14"/>
        <v>125.77829999999994</v>
      </c>
      <c r="L22" s="95">
        <f t="shared" si="7"/>
        <v>0.83229560000000002</v>
      </c>
      <c r="M22" s="102" t="s">
        <v>361</v>
      </c>
      <c r="N22" s="108">
        <v>692.19500000000005</v>
      </c>
      <c r="O22" s="93">
        <f t="shared" si="8"/>
        <v>150</v>
      </c>
      <c r="P22" s="108">
        <f t="shared" si="12"/>
        <v>416.14780000000002</v>
      </c>
      <c r="Q22" s="284">
        <v>1.5</v>
      </c>
      <c r="R22" s="288">
        <f t="shared" si="9"/>
        <v>624.22170000000006</v>
      </c>
      <c r="S22" s="93">
        <f t="shared" si="13"/>
        <v>750</v>
      </c>
      <c r="T22" s="203">
        <f t="shared" si="15"/>
        <v>125.77829999999994</v>
      </c>
      <c r="U22" s="83">
        <f t="shared" si="16"/>
        <v>0</v>
      </c>
      <c r="V22" s="328"/>
      <c r="X22" s="259"/>
      <c r="Y22" s="258"/>
      <c r="Z22" s="324"/>
    </row>
    <row r="23" spans="1:38" ht="15.75" thickBot="1">
      <c r="A23" s="507"/>
      <c r="B23" s="98" t="s">
        <v>414</v>
      </c>
      <c r="C23" s="97" t="s">
        <v>413</v>
      </c>
      <c r="D23" s="110">
        <v>370.31</v>
      </c>
      <c r="E23" s="278">
        <f t="shared" si="2"/>
        <v>200</v>
      </c>
      <c r="F23" s="110">
        <v>24.103000000000002</v>
      </c>
      <c r="G23" s="278">
        <v>1.5</v>
      </c>
      <c r="H23" s="96">
        <f t="shared" si="3"/>
        <v>36.154499999999999</v>
      </c>
      <c r="I23" s="85">
        <f t="shared" si="4"/>
        <v>1</v>
      </c>
      <c r="J23" s="85">
        <f t="shared" si="5"/>
        <v>200</v>
      </c>
      <c r="K23" s="279">
        <f t="shared" si="14"/>
        <v>163.84550000000002</v>
      </c>
      <c r="L23" s="95">
        <f t="shared" si="7"/>
        <v>0.1807725</v>
      </c>
      <c r="M23" s="102" t="s">
        <v>412</v>
      </c>
      <c r="N23" s="108">
        <v>820.63</v>
      </c>
      <c r="O23" s="93">
        <f t="shared" si="8"/>
        <v>150</v>
      </c>
      <c r="P23" s="108">
        <f t="shared" si="12"/>
        <v>24.103000000000002</v>
      </c>
      <c r="Q23" s="284">
        <v>1.5</v>
      </c>
      <c r="R23" s="288">
        <f t="shared" si="9"/>
        <v>36.154499999999999</v>
      </c>
      <c r="S23" s="93">
        <f t="shared" si="13"/>
        <v>150</v>
      </c>
      <c r="T23" s="203">
        <f t="shared" si="15"/>
        <v>113.8455</v>
      </c>
      <c r="U23" s="83">
        <f t="shared" si="16"/>
        <v>0</v>
      </c>
      <c r="V23" s="328"/>
      <c r="X23" s="160" t="s">
        <v>369</v>
      </c>
      <c r="Y23" s="325">
        <f xml:space="preserve"> SUM(Y15:Y21)</f>
        <v>835.34</v>
      </c>
    </row>
    <row r="24" spans="1:38" ht="15.75" thickBot="1">
      <c r="A24" s="507"/>
      <c r="B24" s="98" t="s">
        <v>396</v>
      </c>
      <c r="C24" s="97" t="s">
        <v>411</v>
      </c>
      <c r="D24" s="96">
        <v>530.30999999999995</v>
      </c>
      <c r="E24" s="277">
        <f t="shared" si="2"/>
        <v>200</v>
      </c>
      <c r="F24" s="96">
        <v>22.35</v>
      </c>
      <c r="G24" s="277">
        <v>1.5</v>
      </c>
      <c r="H24" s="74">
        <f t="shared" si="3"/>
        <v>33.525000000000006</v>
      </c>
      <c r="I24" s="85">
        <f t="shared" si="4"/>
        <v>1</v>
      </c>
      <c r="J24" s="85">
        <f t="shared" si="5"/>
        <v>200</v>
      </c>
      <c r="K24" s="279">
        <f t="shared" si="14"/>
        <v>166.47499999999999</v>
      </c>
      <c r="L24" s="73">
        <f t="shared" si="7"/>
        <v>0.16762500000000002</v>
      </c>
      <c r="M24" s="92" t="s">
        <v>410</v>
      </c>
      <c r="N24" s="94">
        <v>660.63</v>
      </c>
      <c r="O24" s="120">
        <f t="shared" si="8"/>
        <v>150</v>
      </c>
      <c r="P24" s="94">
        <f t="shared" si="12"/>
        <v>22.35</v>
      </c>
      <c r="Q24" s="285">
        <v>1.5</v>
      </c>
      <c r="R24" s="289">
        <f t="shared" si="9"/>
        <v>33.525000000000006</v>
      </c>
      <c r="S24" s="93">
        <f t="shared" si="13"/>
        <v>150</v>
      </c>
      <c r="T24" s="203">
        <f t="shared" si="15"/>
        <v>116.47499999999999</v>
      </c>
      <c r="U24" s="83">
        <f t="shared" si="16"/>
        <v>0</v>
      </c>
      <c r="V24" s="328"/>
    </row>
    <row r="25" spans="1:38" ht="15.75" thickBot="1">
      <c r="A25" s="162" t="s">
        <v>409</v>
      </c>
      <c r="B25" s="88" t="s">
        <v>408</v>
      </c>
      <c r="C25" s="161"/>
      <c r="D25" s="86"/>
      <c r="E25" s="96">
        <f t="shared" si="2"/>
        <v>300</v>
      </c>
      <c r="F25" s="86"/>
      <c r="G25" s="96">
        <v>1.5</v>
      </c>
      <c r="H25" s="96">
        <f t="shared" si="3"/>
        <v>0</v>
      </c>
      <c r="I25" s="85">
        <f t="shared" si="4"/>
        <v>0</v>
      </c>
      <c r="J25" s="85">
        <f t="shared" si="5"/>
        <v>0</v>
      </c>
      <c r="K25" s="95"/>
      <c r="L25" s="95"/>
      <c r="M25" s="84"/>
      <c r="N25" s="84"/>
      <c r="O25" s="93">
        <f t="shared" si="8"/>
        <v>300</v>
      </c>
      <c r="P25" s="83"/>
      <c r="Q25" s="92">
        <v>1.5</v>
      </c>
      <c r="R25" s="93">
        <f t="shared" si="9"/>
        <v>0</v>
      </c>
      <c r="S25" s="93"/>
      <c r="T25" s="82"/>
      <c r="U25" s="83"/>
      <c r="V25" s="328"/>
    </row>
    <row r="26" spans="1:38" ht="15.75" thickBot="1">
      <c r="A26" s="517" t="s">
        <v>407</v>
      </c>
      <c r="B26" s="158" t="s">
        <v>14</v>
      </c>
      <c r="C26" s="87" t="s">
        <v>406</v>
      </c>
      <c r="D26" s="86">
        <v>391.72</v>
      </c>
      <c r="E26" s="276">
        <f t="shared" si="2"/>
        <v>200</v>
      </c>
      <c r="F26" s="86">
        <v>664.51419999999996</v>
      </c>
      <c r="G26" s="276">
        <v>1.5</v>
      </c>
      <c r="H26" s="86">
        <f t="shared" si="3"/>
        <v>996.77129999999988</v>
      </c>
      <c r="I26" s="85">
        <f t="shared" si="4"/>
        <v>6</v>
      </c>
      <c r="J26" s="85">
        <f t="shared" si="5"/>
        <v>1200</v>
      </c>
      <c r="K26" s="279">
        <f>J26-H26</f>
        <v>203.22870000000012</v>
      </c>
      <c r="L26" s="85">
        <f t="shared" si="7"/>
        <v>0.83064274999999987</v>
      </c>
      <c r="M26" s="101" t="s">
        <v>405</v>
      </c>
      <c r="N26" s="84">
        <v>799.22</v>
      </c>
      <c r="O26" s="83">
        <f t="shared" si="8"/>
        <v>150</v>
      </c>
      <c r="P26" s="84">
        <f t="shared" ref="P26:P56" si="17">F26</f>
        <v>664.51419999999996</v>
      </c>
      <c r="Q26" s="283">
        <v>1.5</v>
      </c>
      <c r="R26" s="287">
        <f t="shared" si="9"/>
        <v>996.77129999999988</v>
      </c>
      <c r="S26" s="83">
        <f t="shared" ref="S26:S56" si="18">O26*I26</f>
        <v>900</v>
      </c>
      <c r="T26" s="82">
        <f>S26-R26</f>
        <v>-96.771299999999883</v>
      </c>
      <c r="U26" s="83">
        <f>IF(T26&lt;-1, CEILING((R26-S26)/O26,1),0)</f>
        <v>1</v>
      </c>
      <c r="V26" s="328">
        <f>IF(T26&lt;0, -1*T26,0)</f>
        <v>96.771299999999883</v>
      </c>
      <c r="X26" s="260"/>
      <c r="Y26" s="260"/>
      <c r="Z26" s="260"/>
      <c r="AA26" s="260"/>
      <c r="AB26" s="260"/>
      <c r="AC26" s="260"/>
      <c r="AD26" s="260"/>
      <c r="AE26" s="260"/>
    </row>
    <row r="27" spans="1:38" ht="15.75" thickBot="1">
      <c r="A27" s="518"/>
      <c r="B27" s="76" t="s">
        <v>360</v>
      </c>
      <c r="C27" s="75" t="s">
        <v>55</v>
      </c>
      <c r="D27" s="155">
        <v>566.26</v>
      </c>
      <c r="E27" s="278">
        <f t="shared" si="2"/>
        <v>150</v>
      </c>
      <c r="F27" s="155">
        <v>424.66829999999999</v>
      </c>
      <c r="G27" s="278">
        <v>1.5</v>
      </c>
      <c r="H27" s="96">
        <f t="shared" si="3"/>
        <v>637.00244999999995</v>
      </c>
      <c r="I27" s="85">
        <f t="shared" si="4"/>
        <v>6</v>
      </c>
      <c r="J27" s="85">
        <f t="shared" si="5"/>
        <v>900</v>
      </c>
      <c r="K27" s="279">
        <f t="shared" ref="K27:K56" si="19">J27-H27</f>
        <v>262.99755000000005</v>
      </c>
      <c r="L27" s="73">
        <f t="shared" si="7"/>
        <v>0.70778049999999992</v>
      </c>
      <c r="M27" s="282" t="s">
        <v>404</v>
      </c>
      <c r="N27" s="153">
        <v>973.76</v>
      </c>
      <c r="O27" s="120">
        <f t="shared" si="8"/>
        <v>150</v>
      </c>
      <c r="P27" s="153">
        <f t="shared" si="17"/>
        <v>424.66829999999999</v>
      </c>
      <c r="Q27" s="284">
        <v>1.5</v>
      </c>
      <c r="R27" s="288">
        <f t="shared" si="9"/>
        <v>637.00244999999995</v>
      </c>
      <c r="S27" s="83">
        <f t="shared" si="18"/>
        <v>900</v>
      </c>
      <c r="T27" s="82">
        <f t="shared" ref="T27:T56" si="20">S27-R27</f>
        <v>262.99755000000005</v>
      </c>
      <c r="U27" s="83">
        <f t="shared" ref="U27:U56" si="21">IF(T27&lt;-1, CEILING((R27-S27)/O27,1),0)</f>
        <v>0</v>
      </c>
      <c r="V27" s="328"/>
      <c r="X27" s="520" t="s">
        <v>582</v>
      </c>
      <c r="Y27" s="521"/>
      <c r="Z27" s="521"/>
      <c r="AA27" s="521"/>
      <c r="AB27" s="521"/>
      <c r="AC27" s="522"/>
      <c r="AD27" s="164"/>
      <c r="AE27" s="5"/>
      <c r="AF27" s="5"/>
      <c r="AG27" s="5"/>
      <c r="AH27" s="5"/>
      <c r="AI27" s="5"/>
      <c r="AJ27" s="5"/>
      <c r="AK27" s="5"/>
      <c r="AL27" s="5"/>
    </row>
    <row r="28" spans="1:38" ht="15.75" thickBot="1">
      <c r="A28" s="507" t="s">
        <v>403</v>
      </c>
      <c r="B28" s="63" t="s">
        <v>6</v>
      </c>
      <c r="C28" s="116" t="s">
        <v>47</v>
      </c>
      <c r="D28" s="96">
        <v>341.46499999999997</v>
      </c>
      <c r="E28" s="276">
        <f t="shared" si="2"/>
        <v>200</v>
      </c>
      <c r="F28" s="96">
        <v>414.50749999999999</v>
      </c>
      <c r="G28" s="276">
        <v>1.5</v>
      </c>
      <c r="H28" s="86">
        <f t="shared" si="3"/>
        <v>621.76125000000002</v>
      </c>
      <c r="I28" s="85">
        <f t="shared" si="4"/>
        <v>4</v>
      </c>
      <c r="J28" s="85">
        <f t="shared" si="5"/>
        <v>800</v>
      </c>
      <c r="K28" s="279">
        <f t="shared" si="19"/>
        <v>178.23874999999998</v>
      </c>
      <c r="L28" s="95">
        <f t="shared" si="7"/>
        <v>0.77720156250000005</v>
      </c>
      <c r="M28" s="92" t="s">
        <v>402</v>
      </c>
      <c r="N28" s="94">
        <v>849.47500000000002</v>
      </c>
      <c r="O28" s="93">
        <f t="shared" si="8"/>
        <v>150</v>
      </c>
      <c r="P28" s="94">
        <f t="shared" si="17"/>
        <v>414.50749999999999</v>
      </c>
      <c r="Q28" s="283">
        <v>1.5</v>
      </c>
      <c r="R28" s="287">
        <f t="shared" si="9"/>
        <v>621.76125000000002</v>
      </c>
      <c r="S28" s="83">
        <f t="shared" si="18"/>
        <v>600</v>
      </c>
      <c r="T28" s="82">
        <f t="shared" si="20"/>
        <v>-21.761250000000018</v>
      </c>
      <c r="U28" s="83">
        <f t="shared" si="21"/>
        <v>1</v>
      </c>
      <c r="V28" s="328">
        <f>IF(T28&lt;0, -1*T28,0)</f>
        <v>21.761250000000018</v>
      </c>
      <c r="X28" s="336" t="s">
        <v>506</v>
      </c>
      <c r="Y28" s="338" t="s">
        <v>507</v>
      </c>
      <c r="Z28" s="338" t="s">
        <v>508</v>
      </c>
      <c r="AA28" s="338" t="s">
        <v>509</v>
      </c>
      <c r="AB28" s="338" t="s">
        <v>510</v>
      </c>
      <c r="AC28" s="339" t="s">
        <v>558</v>
      </c>
      <c r="AD28" s="312" t="s">
        <v>417</v>
      </c>
      <c r="AE28" s="5"/>
      <c r="AF28" s="5"/>
      <c r="AG28" s="5"/>
      <c r="AH28" s="5"/>
      <c r="AI28" s="5"/>
      <c r="AJ28" s="5"/>
      <c r="AK28" s="5"/>
      <c r="AL28" s="5"/>
    </row>
    <row r="29" spans="1:38" ht="15.75" thickBot="1">
      <c r="A29" s="507"/>
      <c r="B29" s="63" t="s">
        <v>401</v>
      </c>
      <c r="C29" s="116" t="s">
        <v>386</v>
      </c>
      <c r="D29" s="96">
        <v>894.93</v>
      </c>
      <c r="E29" s="278">
        <f t="shared" si="2"/>
        <v>150</v>
      </c>
      <c r="F29" s="96">
        <v>185.4342</v>
      </c>
      <c r="G29" s="278">
        <v>1.5</v>
      </c>
      <c r="H29" s="96">
        <f t="shared" si="3"/>
        <v>278.15129999999999</v>
      </c>
      <c r="I29" s="85">
        <f t="shared" si="4"/>
        <v>3</v>
      </c>
      <c r="J29" s="85">
        <f t="shared" si="5"/>
        <v>450</v>
      </c>
      <c r="K29" s="279">
        <f t="shared" si="19"/>
        <v>171.84870000000001</v>
      </c>
      <c r="L29" s="95">
        <f t="shared" si="7"/>
        <v>0.61811399999999994</v>
      </c>
      <c r="M29" s="92" t="s">
        <v>385</v>
      </c>
      <c r="N29" s="94">
        <v>975.03499999999997</v>
      </c>
      <c r="O29" s="93">
        <f t="shared" si="8"/>
        <v>150</v>
      </c>
      <c r="P29" s="94">
        <f t="shared" si="17"/>
        <v>185.4342</v>
      </c>
      <c r="Q29" s="284">
        <v>1.5</v>
      </c>
      <c r="R29" s="288">
        <f t="shared" si="9"/>
        <v>278.15129999999999</v>
      </c>
      <c r="S29" s="83">
        <f t="shared" si="18"/>
        <v>450</v>
      </c>
      <c r="T29" s="82">
        <f t="shared" si="20"/>
        <v>171.84870000000001</v>
      </c>
      <c r="U29" s="83">
        <f t="shared" si="21"/>
        <v>0</v>
      </c>
      <c r="V29" s="328"/>
      <c r="X29" s="60" t="s">
        <v>84</v>
      </c>
      <c r="Y29" s="340">
        <v>0</v>
      </c>
      <c r="Z29" s="340">
        <v>0</v>
      </c>
      <c r="AA29" s="341">
        <v>0</v>
      </c>
      <c r="AB29" s="341">
        <v>0</v>
      </c>
      <c r="AC29" s="342">
        <v>0</v>
      </c>
      <c r="AD29" s="343">
        <f>SUM(Y29:AC29)</f>
        <v>0</v>
      </c>
      <c r="AE29" s="5"/>
      <c r="AF29" s="5"/>
      <c r="AG29" s="5"/>
      <c r="AH29" s="5"/>
      <c r="AI29" s="5"/>
      <c r="AJ29" s="5"/>
      <c r="AK29" s="5"/>
      <c r="AL29" s="5"/>
    </row>
    <row r="30" spans="1:38" ht="15.75" thickBot="1">
      <c r="A30" s="507"/>
      <c r="B30" s="98" t="s">
        <v>400</v>
      </c>
      <c r="C30" s="97" t="s">
        <v>378</v>
      </c>
      <c r="D30" s="110">
        <v>839.23</v>
      </c>
      <c r="E30" s="278">
        <f t="shared" si="2"/>
        <v>150</v>
      </c>
      <c r="F30" s="110">
        <v>213.84829999999999</v>
      </c>
      <c r="G30" s="278">
        <v>1.5</v>
      </c>
      <c r="H30" s="96">
        <f t="shared" si="3"/>
        <v>320.77244999999999</v>
      </c>
      <c r="I30" s="85">
        <f t="shared" si="4"/>
        <v>3</v>
      </c>
      <c r="J30" s="85">
        <f t="shared" si="5"/>
        <v>450</v>
      </c>
      <c r="K30" s="279">
        <f t="shared" si="19"/>
        <v>129.22755000000001</v>
      </c>
      <c r="L30" s="95">
        <f t="shared" si="7"/>
        <v>0.71282766666666664</v>
      </c>
      <c r="M30" s="102" t="s">
        <v>399</v>
      </c>
      <c r="N30" s="108">
        <v>1347.24</v>
      </c>
      <c r="O30" s="93">
        <f t="shared" si="8"/>
        <v>100</v>
      </c>
      <c r="P30" s="108">
        <f t="shared" si="17"/>
        <v>213.84829999999999</v>
      </c>
      <c r="Q30" s="284">
        <v>1.5</v>
      </c>
      <c r="R30" s="288">
        <f t="shared" si="9"/>
        <v>320.77244999999999</v>
      </c>
      <c r="S30" s="83">
        <f t="shared" si="18"/>
        <v>300</v>
      </c>
      <c r="T30" s="82">
        <f t="shared" si="20"/>
        <v>-20.772449999999992</v>
      </c>
      <c r="U30" s="83">
        <f t="shared" si="21"/>
        <v>1</v>
      </c>
      <c r="V30" s="328">
        <f>IF(T30&lt;0, -1*T30,0)</f>
        <v>20.772449999999992</v>
      </c>
      <c r="X30" s="60" t="s">
        <v>85</v>
      </c>
      <c r="Y30" s="340">
        <v>2</v>
      </c>
      <c r="Z30" s="340">
        <v>0</v>
      </c>
      <c r="AA30" s="340">
        <v>0</v>
      </c>
      <c r="AB30" s="340">
        <v>0</v>
      </c>
      <c r="AC30" s="342">
        <v>0</v>
      </c>
      <c r="AD30" s="60">
        <f t="shared" ref="AD30:AD40" si="22">SUM(Y30:AC30)</f>
        <v>2</v>
      </c>
      <c r="AE30" s="5"/>
      <c r="AF30" s="5"/>
      <c r="AG30" s="5"/>
      <c r="AH30" s="5"/>
      <c r="AI30" s="5"/>
      <c r="AJ30" s="5"/>
      <c r="AK30" s="5"/>
      <c r="AL30" s="5"/>
    </row>
    <row r="31" spans="1:38" ht="15.75" thickBot="1">
      <c r="A31" s="507"/>
      <c r="B31" s="98" t="s">
        <v>398</v>
      </c>
      <c r="C31" s="97" t="s">
        <v>52</v>
      </c>
      <c r="D31" s="96">
        <v>428.91</v>
      </c>
      <c r="E31" s="278">
        <f t="shared" si="2"/>
        <v>200</v>
      </c>
      <c r="F31" s="96">
        <v>320.7817</v>
      </c>
      <c r="G31" s="278">
        <v>1.5</v>
      </c>
      <c r="H31" s="96">
        <f t="shared" si="3"/>
        <v>481.17255</v>
      </c>
      <c r="I31" s="85">
        <f t="shared" si="4"/>
        <v>3</v>
      </c>
      <c r="J31" s="85">
        <f t="shared" si="5"/>
        <v>600</v>
      </c>
      <c r="K31" s="279">
        <f t="shared" si="19"/>
        <v>118.82745</v>
      </c>
      <c r="L31" s="95">
        <f t="shared" si="7"/>
        <v>0.80195424999999998</v>
      </c>
      <c r="M31" s="92" t="s">
        <v>397</v>
      </c>
      <c r="N31" s="94">
        <v>762.03</v>
      </c>
      <c r="O31" s="93">
        <f t="shared" si="8"/>
        <v>150</v>
      </c>
      <c r="P31" s="94">
        <f t="shared" si="17"/>
        <v>320.7817</v>
      </c>
      <c r="Q31" s="284">
        <v>1.5</v>
      </c>
      <c r="R31" s="288">
        <f t="shared" si="9"/>
        <v>481.17255</v>
      </c>
      <c r="S31" s="83">
        <f t="shared" si="18"/>
        <v>450</v>
      </c>
      <c r="T31" s="82">
        <f t="shared" si="20"/>
        <v>-31.172550000000001</v>
      </c>
      <c r="U31" s="83">
        <f t="shared" si="21"/>
        <v>1</v>
      </c>
      <c r="V31" s="328">
        <f>IF(T31&lt;0, -1*T31,0)</f>
        <v>31.172550000000001</v>
      </c>
      <c r="X31" s="60" t="s">
        <v>86</v>
      </c>
      <c r="Y31" s="340">
        <v>1</v>
      </c>
      <c r="Z31" s="340">
        <v>0</v>
      </c>
      <c r="AA31" s="340">
        <v>0</v>
      </c>
      <c r="AB31" s="340">
        <v>0</v>
      </c>
      <c r="AC31" s="342">
        <v>0</v>
      </c>
      <c r="AD31" s="60">
        <f t="shared" si="22"/>
        <v>1</v>
      </c>
      <c r="AE31" s="5"/>
      <c r="AF31" s="406" t="s">
        <v>512</v>
      </c>
      <c r="AG31" s="406" t="s">
        <v>513</v>
      </c>
      <c r="AH31" s="344" t="s">
        <v>514</v>
      </c>
      <c r="AI31" s="5"/>
      <c r="AJ31" s="5"/>
      <c r="AK31" s="5"/>
      <c r="AL31" s="5"/>
    </row>
    <row r="32" spans="1:38" ht="15.75" thickBot="1">
      <c r="A32" s="507"/>
      <c r="B32" s="98" t="s">
        <v>395</v>
      </c>
      <c r="C32" s="97" t="s">
        <v>56</v>
      </c>
      <c r="D32" s="96">
        <v>268.91000000000003</v>
      </c>
      <c r="E32" s="278">
        <f t="shared" si="2"/>
        <v>250</v>
      </c>
      <c r="F32" s="96">
        <v>277.57420000000002</v>
      </c>
      <c r="G32" s="278">
        <v>1.5</v>
      </c>
      <c r="H32" s="96">
        <f t="shared" si="3"/>
        <v>416.36130000000003</v>
      </c>
      <c r="I32" s="85">
        <f t="shared" si="4"/>
        <v>2</v>
      </c>
      <c r="J32" s="85">
        <f t="shared" si="5"/>
        <v>500</v>
      </c>
      <c r="K32" s="279">
        <f t="shared" si="19"/>
        <v>83.638699999999972</v>
      </c>
      <c r="L32" s="95">
        <f t="shared" si="7"/>
        <v>0.83272260000000009</v>
      </c>
      <c r="M32" s="92" t="s">
        <v>394</v>
      </c>
      <c r="N32" s="94">
        <v>922.03</v>
      </c>
      <c r="O32" s="93">
        <f t="shared" si="8"/>
        <v>150</v>
      </c>
      <c r="P32" s="108">
        <f t="shared" si="17"/>
        <v>277.57420000000002</v>
      </c>
      <c r="Q32" s="284">
        <v>1.5</v>
      </c>
      <c r="R32" s="288">
        <f t="shared" si="9"/>
        <v>416.36130000000003</v>
      </c>
      <c r="S32" s="83">
        <f t="shared" si="18"/>
        <v>300</v>
      </c>
      <c r="T32" s="82">
        <f t="shared" si="20"/>
        <v>-116.36130000000003</v>
      </c>
      <c r="U32" s="83">
        <f t="shared" si="21"/>
        <v>1</v>
      </c>
      <c r="V32" s="328">
        <f>IF(T32&lt;0, -1*T32,0)</f>
        <v>116.36130000000003</v>
      </c>
      <c r="X32" s="60" t="s">
        <v>87</v>
      </c>
      <c r="Y32" s="340">
        <v>1</v>
      </c>
      <c r="Z32" s="340">
        <v>2</v>
      </c>
      <c r="AA32" s="340">
        <v>0</v>
      </c>
      <c r="AB32" s="340">
        <v>0</v>
      </c>
      <c r="AC32" s="342">
        <v>0</v>
      </c>
      <c r="AD32" s="60">
        <f t="shared" si="22"/>
        <v>3</v>
      </c>
      <c r="AE32" s="5"/>
      <c r="AF32" s="61" t="s">
        <v>507</v>
      </c>
      <c r="AG32" s="61">
        <v>100</v>
      </c>
      <c r="AH32" s="416">
        <v>15</v>
      </c>
      <c r="AI32" s="405"/>
      <c r="AJ32" s="5"/>
      <c r="AK32" s="5"/>
      <c r="AL32" s="5"/>
    </row>
    <row r="33" spans="1:38" ht="15.75" thickBot="1">
      <c r="A33" s="506" t="s">
        <v>382</v>
      </c>
      <c r="B33" s="88" t="s">
        <v>393</v>
      </c>
      <c r="C33" s="87" t="s">
        <v>392</v>
      </c>
      <c r="D33" s="86">
        <v>774.56</v>
      </c>
      <c r="E33" s="276">
        <f t="shared" si="2"/>
        <v>150</v>
      </c>
      <c r="F33" s="86">
        <v>593.39</v>
      </c>
      <c r="G33" s="276">
        <v>1.5</v>
      </c>
      <c r="H33" s="86">
        <f t="shared" si="3"/>
        <v>890.08500000000004</v>
      </c>
      <c r="I33" s="85">
        <f t="shared" si="4"/>
        <v>8</v>
      </c>
      <c r="J33" s="85">
        <f t="shared" si="5"/>
        <v>1200</v>
      </c>
      <c r="K33" s="279">
        <f t="shared" si="19"/>
        <v>309.91499999999996</v>
      </c>
      <c r="L33" s="85">
        <f t="shared" si="7"/>
        <v>0.74173750000000005</v>
      </c>
      <c r="M33" s="101" t="s">
        <v>391</v>
      </c>
      <c r="N33" s="84">
        <v>778.62</v>
      </c>
      <c r="O33" s="83">
        <f t="shared" si="8"/>
        <v>150</v>
      </c>
      <c r="P33" s="84">
        <f t="shared" si="17"/>
        <v>593.39</v>
      </c>
      <c r="Q33" s="283">
        <v>1.5</v>
      </c>
      <c r="R33" s="287">
        <f t="shared" si="9"/>
        <v>890.08500000000004</v>
      </c>
      <c r="S33" s="83">
        <f t="shared" si="18"/>
        <v>1200</v>
      </c>
      <c r="T33" s="82">
        <f t="shared" si="20"/>
        <v>309.91499999999996</v>
      </c>
      <c r="U33" s="83">
        <f t="shared" si="21"/>
        <v>0</v>
      </c>
      <c r="V33" s="328"/>
      <c r="X33" s="60" t="s">
        <v>88</v>
      </c>
      <c r="Y33" s="340">
        <v>1</v>
      </c>
      <c r="Z33" s="340">
        <v>0</v>
      </c>
      <c r="AA33" s="340">
        <v>0</v>
      </c>
      <c r="AB33" s="340">
        <v>0</v>
      </c>
      <c r="AC33" s="342">
        <v>0</v>
      </c>
      <c r="AD33" s="60">
        <f t="shared" si="22"/>
        <v>1</v>
      </c>
      <c r="AE33" s="334"/>
      <c r="AF33" s="345" t="s">
        <v>508</v>
      </c>
      <c r="AG33" s="345">
        <v>150</v>
      </c>
      <c r="AH33" s="417">
        <v>16.3689</v>
      </c>
      <c r="AI33" s="409"/>
      <c r="AJ33" s="5"/>
      <c r="AK33" s="5"/>
      <c r="AL33" s="5"/>
    </row>
    <row r="34" spans="1:38" ht="15.75" thickBot="1">
      <c r="A34" s="507"/>
      <c r="B34" s="98" t="s">
        <v>387</v>
      </c>
      <c r="C34" s="97" t="s">
        <v>386</v>
      </c>
      <c r="D34" s="110">
        <v>894.93</v>
      </c>
      <c r="E34" s="278">
        <f t="shared" si="2"/>
        <v>150</v>
      </c>
      <c r="F34" s="110">
        <v>185.4342</v>
      </c>
      <c r="G34" s="278">
        <v>1.5</v>
      </c>
      <c r="H34" s="96">
        <f t="shared" si="3"/>
        <v>278.15129999999999</v>
      </c>
      <c r="I34" s="85">
        <f t="shared" si="4"/>
        <v>3</v>
      </c>
      <c r="J34" s="85">
        <f t="shared" si="5"/>
        <v>450</v>
      </c>
      <c r="K34" s="279">
        <f t="shared" si="19"/>
        <v>171.84870000000001</v>
      </c>
      <c r="L34" s="95">
        <f t="shared" si="7"/>
        <v>0.61811399999999994</v>
      </c>
      <c r="M34" s="102" t="s">
        <v>385</v>
      </c>
      <c r="N34" s="108">
        <v>975.03499999999997</v>
      </c>
      <c r="O34" s="93">
        <f t="shared" si="8"/>
        <v>150</v>
      </c>
      <c r="P34" s="108">
        <f t="shared" si="17"/>
        <v>185.4342</v>
      </c>
      <c r="Q34" s="284">
        <v>1.5</v>
      </c>
      <c r="R34" s="288">
        <f t="shared" si="9"/>
        <v>278.15129999999999</v>
      </c>
      <c r="S34" s="83">
        <f t="shared" si="18"/>
        <v>450</v>
      </c>
      <c r="T34" s="82">
        <f t="shared" si="20"/>
        <v>171.84870000000001</v>
      </c>
      <c r="U34" s="83">
        <f t="shared" si="21"/>
        <v>0</v>
      </c>
      <c r="V34" s="328"/>
      <c r="X34" s="60" t="s">
        <v>89</v>
      </c>
      <c r="Y34" s="340">
        <v>0</v>
      </c>
      <c r="Z34" s="340">
        <v>0</v>
      </c>
      <c r="AA34" s="340">
        <v>0</v>
      </c>
      <c r="AB34" s="340">
        <v>0</v>
      </c>
      <c r="AC34" s="342">
        <v>0</v>
      </c>
      <c r="AD34" s="60">
        <f t="shared" si="22"/>
        <v>0</v>
      </c>
      <c r="AE34" s="333"/>
      <c r="AF34" s="345" t="s">
        <v>509</v>
      </c>
      <c r="AG34" s="345">
        <v>200</v>
      </c>
      <c r="AH34" s="417">
        <v>16.746700000000001</v>
      </c>
      <c r="AI34" s="352"/>
      <c r="AJ34" s="5"/>
      <c r="AK34" s="5"/>
      <c r="AL34" s="5"/>
    </row>
    <row r="35" spans="1:38" ht="15.75" thickBot="1">
      <c r="A35" s="507"/>
      <c r="B35" s="98" t="s">
        <v>383</v>
      </c>
      <c r="C35" s="97" t="s">
        <v>382</v>
      </c>
      <c r="D35" s="96">
        <v>553.46500000000003</v>
      </c>
      <c r="E35" s="278">
        <f t="shared" si="2"/>
        <v>150</v>
      </c>
      <c r="F35" s="96">
        <v>491.47570000000002</v>
      </c>
      <c r="G35" s="278">
        <v>1.5</v>
      </c>
      <c r="H35" s="96">
        <f t="shared" si="3"/>
        <v>737.21355000000005</v>
      </c>
      <c r="I35" s="85">
        <f t="shared" si="4"/>
        <v>6</v>
      </c>
      <c r="J35" s="85">
        <f t="shared" si="5"/>
        <v>900</v>
      </c>
      <c r="K35" s="279">
        <f t="shared" si="19"/>
        <v>162.78644999999995</v>
      </c>
      <c r="L35" s="73">
        <f t="shared" si="7"/>
        <v>0.81912616666666671</v>
      </c>
      <c r="M35" s="92" t="s">
        <v>381</v>
      </c>
      <c r="N35" s="94">
        <v>660.12</v>
      </c>
      <c r="O35" s="120">
        <f t="shared" si="8"/>
        <v>150</v>
      </c>
      <c r="P35" s="94">
        <f t="shared" si="17"/>
        <v>491.47570000000002</v>
      </c>
      <c r="Q35" s="284">
        <v>1.5</v>
      </c>
      <c r="R35" s="288">
        <f t="shared" si="9"/>
        <v>737.21355000000005</v>
      </c>
      <c r="S35" s="83">
        <f t="shared" si="18"/>
        <v>900</v>
      </c>
      <c r="T35" s="82">
        <f t="shared" si="20"/>
        <v>162.78644999999995</v>
      </c>
      <c r="U35" s="83">
        <f t="shared" si="21"/>
        <v>0</v>
      </c>
      <c r="V35" s="328"/>
      <c r="X35" s="60" t="s">
        <v>90</v>
      </c>
      <c r="Y35" s="340">
        <v>0</v>
      </c>
      <c r="Z35" s="340">
        <v>1</v>
      </c>
      <c r="AA35" s="340">
        <v>0</v>
      </c>
      <c r="AB35" s="340">
        <v>0</v>
      </c>
      <c r="AC35" s="342">
        <v>0</v>
      </c>
      <c r="AD35" s="60">
        <f t="shared" si="22"/>
        <v>1</v>
      </c>
      <c r="AE35" s="333"/>
      <c r="AF35" s="345" t="s">
        <v>510</v>
      </c>
      <c r="AG35" s="345">
        <v>250</v>
      </c>
      <c r="AH35" s="417">
        <v>16.886600000000001</v>
      </c>
      <c r="AI35" s="409"/>
      <c r="AJ35" s="5"/>
      <c r="AK35" s="5"/>
      <c r="AL35" s="5"/>
    </row>
    <row r="36" spans="1:38" ht="15.75" thickBot="1">
      <c r="A36" s="506" t="s">
        <v>375</v>
      </c>
      <c r="B36" s="88" t="s">
        <v>379</v>
      </c>
      <c r="C36" s="87" t="s">
        <v>378</v>
      </c>
      <c r="D36" s="86">
        <v>839.23</v>
      </c>
      <c r="E36" s="276">
        <f t="shared" si="2"/>
        <v>150</v>
      </c>
      <c r="F36" s="86">
        <v>213.84829999999999</v>
      </c>
      <c r="G36" s="276">
        <v>1.5</v>
      </c>
      <c r="H36" s="86">
        <f t="shared" si="3"/>
        <v>320.77244999999999</v>
      </c>
      <c r="I36" s="85">
        <f t="shared" si="4"/>
        <v>3</v>
      </c>
      <c r="J36" s="85">
        <f t="shared" si="5"/>
        <v>450</v>
      </c>
      <c r="K36" s="279">
        <f t="shared" si="19"/>
        <v>129.22755000000001</v>
      </c>
      <c r="L36" s="95">
        <f t="shared" si="7"/>
        <v>0.71282766666666664</v>
      </c>
      <c r="M36" s="101" t="s">
        <v>377</v>
      </c>
      <c r="N36" s="84">
        <v>844.89</v>
      </c>
      <c r="O36" s="93">
        <f t="shared" si="8"/>
        <v>150</v>
      </c>
      <c r="P36" s="84">
        <f t="shared" si="17"/>
        <v>213.84829999999999</v>
      </c>
      <c r="Q36" s="283">
        <v>1.5</v>
      </c>
      <c r="R36" s="287">
        <f t="shared" si="9"/>
        <v>320.77244999999999</v>
      </c>
      <c r="S36" s="83">
        <f t="shared" si="18"/>
        <v>450</v>
      </c>
      <c r="T36" s="82">
        <f t="shared" si="20"/>
        <v>129.22755000000001</v>
      </c>
      <c r="U36" s="83">
        <f t="shared" si="21"/>
        <v>0</v>
      </c>
      <c r="V36" s="328"/>
      <c r="X36" s="60" t="s">
        <v>91</v>
      </c>
      <c r="Y36" s="340">
        <v>0</v>
      </c>
      <c r="Z36" s="340">
        <v>0</v>
      </c>
      <c r="AA36" s="342">
        <v>0</v>
      </c>
      <c r="AB36" s="342">
        <v>0</v>
      </c>
      <c r="AC36" s="342">
        <v>0</v>
      </c>
      <c r="AD36" s="60">
        <f t="shared" si="22"/>
        <v>0</v>
      </c>
      <c r="AE36" s="334"/>
      <c r="AF36" s="346" t="s">
        <v>558</v>
      </c>
      <c r="AG36" s="346">
        <v>300</v>
      </c>
      <c r="AH36" s="418">
        <v>17</v>
      </c>
      <c r="AI36" s="409"/>
      <c r="AJ36" s="5"/>
      <c r="AK36" s="5"/>
      <c r="AL36" s="5"/>
    </row>
    <row r="37" spans="1:38" ht="15.75" thickBot="1">
      <c r="A37" s="507"/>
      <c r="B37" s="98" t="s">
        <v>376</v>
      </c>
      <c r="C37" s="97" t="s">
        <v>375</v>
      </c>
      <c r="D37" s="96">
        <v>497.76499999999999</v>
      </c>
      <c r="E37" s="277">
        <f t="shared" si="2"/>
        <v>200</v>
      </c>
      <c r="F37" s="96">
        <v>1151.328</v>
      </c>
      <c r="G37" s="277">
        <v>1.5</v>
      </c>
      <c r="H37" s="74">
        <f t="shared" si="3"/>
        <v>1726.992</v>
      </c>
      <c r="I37" s="85">
        <f t="shared" si="4"/>
        <v>11</v>
      </c>
      <c r="J37" s="85">
        <f t="shared" si="5"/>
        <v>2200</v>
      </c>
      <c r="K37" s="279">
        <f t="shared" si="19"/>
        <v>473.00800000000004</v>
      </c>
      <c r="L37" s="95">
        <f t="shared" si="7"/>
        <v>0.7849963636363636</v>
      </c>
      <c r="M37" s="92" t="s">
        <v>374</v>
      </c>
      <c r="N37" s="94">
        <v>503.42500000000001</v>
      </c>
      <c r="O37" s="93">
        <f t="shared" si="8"/>
        <v>200</v>
      </c>
      <c r="P37" s="94">
        <f t="shared" si="17"/>
        <v>1151.328</v>
      </c>
      <c r="Q37" s="285">
        <v>1.5</v>
      </c>
      <c r="R37" s="289">
        <f t="shared" si="9"/>
        <v>1726.992</v>
      </c>
      <c r="S37" s="83">
        <f t="shared" si="18"/>
        <v>2200</v>
      </c>
      <c r="T37" s="82">
        <f t="shared" si="20"/>
        <v>473.00800000000004</v>
      </c>
      <c r="U37" s="83">
        <f t="shared" si="21"/>
        <v>0</v>
      </c>
      <c r="V37" s="328"/>
      <c r="X37" s="60" t="s">
        <v>92</v>
      </c>
      <c r="Y37" s="342">
        <v>1</v>
      </c>
      <c r="Z37" s="342">
        <v>0</v>
      </c>
      <c r="AA37" s="342">
        <v>0</v>
      </c>
      <c r="AB37" s="342">
        <v>0</v>
      </c>
      <c r="AC37" s="342">
        <v>0</v>
      </c>
      <c r="AD37" s="60">
        <f t="shared" si="22"/>
        <v>1</v>
      </c>
      <c r="AE37" s="334"/>
      <c r="AF37" s="409"/>
      <c r="AG37" s="409"/>
      <c r="AH37" s="5"/>
      <c r="AI37" s="409"/>
      <c r="AJ37" s="5"/>
      <c r="AK37" s="5"/>
      <c r="AL37" s="5"/>
    </row>
    <row r="38" spans="1:38" ht="15.75" thickBot="1">
      <c r="A38" s="315" t="s">
        <v>372</v>
      </c>
      <c r="B38" s="88" t="s">
        <v>373</v>
      </c>
      <c r="C38" s="87" t="s">
        <v>372</v>
      </c>
      <c r="D38" s="86">
        <v>285.27999999999997</v>
      </c>
      <c r="E38" s="96">
        <f t="shared" si="2"/>
        <v>250</v>
      </c>
      <c r="F38" s="86">
        <v>779.52329999999995</v>
      </c>
      <c r="G38" s="96">
        <v>1.5</v>
      </c>
      <c r="H38" s="96">
        <f t="shared" si="3"/>
        <v>1169.28495</v>
      </c>
      <c r="I38" s="85">
        <f t="shared" si="4"/>
        <v>6</v>
      </c>
      <c r="J38" s="85">
        <f t="shared" si="5"/>
        <v>1500</v>
      </c>
      <c r="K38" s="279">
        <f t="shared" si="19"/>
        <v>330.71505000000002</v>
      </c>
      <c r="L38" s="182">
        <f t="shared" si="7"/>
        <v>0.77952330000000003</v>
      </c>
      <c r="M38" s="84" t="s">
        <v>371</v>
      </c>
      <c r="N38" s="84">
        <v>539.80499999999995</v>
      </c>
      <c r="O38" s="180">
        <f t="shared" si="8"/>
        <v>150</v>
      </c>
      <c r="P38" s="83">
        <f t="shared" si="17"/>
        <v>779.52329999999995</v>
      </c>
      <c r="Q38" s="92">
        <v>1.5</v>
      </c>
      <c r="R38" s="93">
        <f t="shared" si="9"/>
        <v>1169.28495</v>
      </c>
      <c r="S38" s="83">
        <f t="shared" si="18"/>
        <v>900</v>
      </c>
      <c r="T38" s="82">
        <f t="shared" si="20"/>
        <v>-269.28494999999998</v>
      </c>
      <c r="U38" s="83">
        <f t="shared" si="21"/>
        <v>2</v>
      </c>
      <c r="V38" s="328">
        <f>IF(T38&lt;0, -1*T38,0)</f>
        <v>269.28494999999998</v>
      </c>
      <c r="X38" s="60" t="s">
        <v>93</v>
      </c>
      <c r="Y38" s="342">
        <v>0</v>
      </c>
      <c r="Z38" s="340">
        <v>2</v>
      </c>
      <c r="AA38" s="342">
        <v>0</v>
      </c>
      <c r="AB38" s="342">
        <v>0</v>
      </c>
      <c r="AC38" s="342">
        <v>0</v>
      </c>
      <c r="AD38" s="60">
        <f t="shared" si="22"/>
        <v>2</v>
      </c>
      <c r="AE38" s="334"/>
      <c r="AF38" s="409"/>
      <c r="AG38" s="409"/>
      <c r="AH38" s="5"/>
      <c r="AI38" s="409"/>
      <c r="AJ38" s="5"/>
      <c r="AK38" s="5"/>
      <c r="AL38" s="5"/>
    </row>
    <row r="39" spans="1:38" ht="15.75" thickBot="1">
      <c r="A39" s="506" t="s">
        <v>60</v>
      </c>
      <c r="B39" s="88" t="s">
        <v>368</v>
      </c>
      <c r="C39" s="87" t="s">
        <v>367</v>
      </c>
      <c r="D39" s="86">
        <v>239.47</v>
      </c>
      <c r="E39" s="276">
        <f t="shared" si="2"/>
        <v>250</v>
      </c>
      <c r="F39" s="86">
        <v>886.15449999999998</v>
      </c>
      <c r="G39" s="276">
        <v>1.5</v>
      </c>
      <c r="H39" s="86">
        <f t="shared" si="3"/>
        <v>1329.2317499999999</v>
      </c>
      <c r="I39" s="85">
        <f t="shared" si="4"/>
        <v>7</v>
      </c>
      <c r="J39" s="85">
        <f t="shared" si="5"/>
        <v>1750</v>
      </c>
      <c r="K39" s="279">
        <f t="shared" si="19"/>
        <v>420.76825000000008</v>
      </c>
      <c r="L39" s="95">
        <f t="shared" si="7"/>
        <v>0.75956099999999993</v>
      </c>
      <c r="M39" s="101" t="s">
        <v>366</v>
      </c>
      <c r="N39" s="84">
        <v>585.61500000000001</v>
      </c>
      <c r="O39" s="93">
        <f t="shared" si="8"/>
        <v>150</v>
      </c>
      <c r="P39" s="84">
        <f t="shared" si="17"/>
        <v>886.15449999999998</v>
      </c>
      <c r="Q39" s="283">
        <v>1.5</v>
      </c>
      <c r="R39" s="287">
        <f t="shared" si="9"/>
        <v>1329.2317499999999</v>
      </c>
      <c r="S39" s="83">
        <f t="shared" si="18"/>
        <v>1050</v>
      </c>
      <c r="T39" s="82">
        <f t="shared" si="20"/>
        <v>-279.23174999999992</v>
      </c>
      <c r="U39" s="83">
        <f t="shared" si="21"/>
        <v>2</v>
      </c>
      <c r="V39" s="328">
        <f>IF(T39&lt;0, -1*T39,0)</f>
        <v>279.23174999999992</v>
      </c>
      <c r="X39" s="60" t="s">
        <v>94</v>
      </c>
      <c r="Y39" s="342">
        <v>0</v>
      </c>
      <c r="Z39" s="340">
        <v>2</v>
      </c>
      <c r="AA39" s="342">
        <v>0</v>
      </c>
      <c r="AB39" s="342">
        <v>0</v>
      </c>
      <c r="AC39" s="342">
        <v>0</v>
      </c>
      <c r="AD39" s="60">
        <f t="shared" si="22"/>
        <v>2</v>
      </c>
      <c r="AE39" s="18"/>
      <c r="AF39" s="18"/>
      <c r="AG39" s="409"/>
      <c r="AH39" s="5"/>
      <c r="AI39" s="409"/>
      <c r="AJ39" s="5"/>
      <c r="AK39" s="5"/>
      <c r="AL39" s="5"/>
    </row>
    <row r="40" spans="1:38" ht="15.75" thickBot="1">
      <c r="A40" s="511"/>
      <c r="B40" s="76" t="s">
        <v>364</v>
      </c>
      <c r="C40" s="75" t="s">
        <v>61</v>
      </c>
      <c r="D40" s="74">
        <v>381.34</v>
      </c>
      <c r="E40" s="278">
        <f t="shared" si="2"/>
        <v>200</v>
      </c>
      <c r="F40" s="74">
        <v>233.80699999999999</v>
      </c>
      <c r="G40" s="278">
        <v>1.5</v>
      </c>
      <c r="H40" s="96">
        <f t="shared" si="3"/>
        <v>350.71049999999997</v>
      </c>
      <c r="I40" s="85">
        <f t="shared" si="4"/>
        <v>3</v>
      </c>
      <c r="J40" s="85">
        <f t="shared" si="5"/>
        <v>600</v>
      </c>
      <c r="K40" s="279">
        <f t="shared" si="19"/>
        <v>249.28950000000003</v>
      </c>
      <c r="L40" s="95">
        <f t="shared" si="7"/>
        <v>0.58451749999999991</v>
      </c>
      <c r="M40" s="70" t="s">
        <v>328</v>
      </c>
      <c r="N40" s="72">
        <v>673.16499999999996</v>
      </c>
      <c r="O40" s="93">
        <f t="shared" si="8"/>
        <v>150</v>
      </c>
      <c r="P40" s="72">
        <f t="shared" si="17"/>
        <v>233.80699999999999</v>
      </c>
      <c r="Q40" s="284">
        <v>1.5</v>
      </c>
      <c r="R40" s="288">
        <f t="shared" si="9"/>
        <v>350.71049999999997</v>
      </c>
      <c r="S40" s="83">
        <f t="shared" si="18"/>
        <v>450</v>
      </c>
      <c r="T40" s="82">
        <f t="shared" si="20"/>
        <v>99.289500000000032</v>
      </c>
      <c r="U40" s="83">
        <f t="shared" si="21"/>
        <v>0</v>
      </c>
      <c r="V40" s="328"/>
      <c r="X40" s="347" t="s">
        <v>505</v>
      </c>
      <c r="Y40" s="348">
        <v>0</v>
      </c>
      <c r="Z40" s="348">
        <v>0</v>
      </c>
      <c r="AA40" s="348">
        <v>0</v>
      </c>
      <c r="AB40" s="348">
        <v>0</v>
      </c>
      <c r="AC40" s="348">
        <v>0</v>
      </c>
      <c r="AD40" s="347">
        <f t="shared" si="22"/>
        <v>0</v>
      </c>
      <c r="AE40" s="334"/>
      <c r="AF40" s="520" t="s">
        <v>584</v>
      </c>
      <c r="AG40" s="521"/>
      <c r="AH40" s="521"/>
      <c r="AI40" s="521"/>
      <c r="AJ40" s="521"/>
      <c r="AK40" s="522"/>
      <c r="AL40" s="164"/>
    </row>
    <row r="41" spans="1:38" ht="15.75" thickBot="1">
      <c r="A41" s="507" t="s">
        <v>363</v>
      </c>
      <c r="B41" s="63" t="s">
        <v>362</v>
      </c>
      <c r="C41" s="116" t="s">
        <v>74</v>
      </c>
      <c r="D41" s="96">
        <v>632.29499999999996</v>
      </c>
      <c r="E41" s="276">
        <f t="shared" si="2"/>
        <v>150</v>
      </c>
      <c r="F41" s="96">
        <v>416.14780000000002</v>
      </c>
      <c r="G41" s="276">
        <v>1.5</v>
      </c>
      <c r="H41" s="86">
        <f t="shared" si="3"/>
        <v>624.22170000000006</v>
      </c>
      <c r="I41" s="85">
        <f t="shared" si="4"/>
        <v>5</v>
      </c>
      <c r="J41" s="85">
        <f t="shared" si="5"/>
        <v>750</v>
      </c>
      <c r="K41" s="279">
        <f t="shared" si="19"/>
        <v>125.77829999999994</v>
      </c>
      <c r="L41" s="85">
        <f t="shared" si="7"/>
        <v>0.83229560000000002</v>
      </c>
      <c r="M41" s="92" t="s">
        <v>361</v>
      </c>
      <c r="N41" s="94">
        <v>692.19500000000005</v>
      </c>
      <c r="O41" s="83">
        <f t="shared" si="8"/>
        <v>150</v>
      </c>
      <c r="P41" s="94">
        <f t="shared" si="17"/>
        <v>416.14780000000002</v>
      </c>
      <c r="Q41" s="283">
        <v>1.5</v>
      </c>
      <c r="R41" s="287">
        <f t="shared" si="9"/>
        <v>624.22170000000006</v>
      </c>
      <c r="S41" s="83">
        <f t="shared" si="18"/>
        <v>750</v>
      </c>
      <c r="T41" s="82">
        <f t="shared" si="20"/>
        <v>125.77829999999994</v>
      </c>
      <c r="U41" s="83">
        <f t="shared" si="21"/>
        <v>0</v>
      </c>
      <c r="V41" s="328"/>
      <c r="X41" s="312" t="s">
        <v>515</v>
      </c>
      <c r="Y41" s="349">
        <f t="shared" ref="Y41:AD41" si="23">SUM(Y29:Y40)</f>
        <v>6</v>
      </c>
      <c r="Z41" s="349">
        <f t="shared" si="23"/>
        <v>7</v>
      </c>
      <c r="AA41" s="349">
        <f t="shared" si="23"/>
        <v>0</v>
      </c>
      <c r="AB41" s="349">
        <f t="shared" si="23"/>
        <v>0</v>
      </c>
      <c r="AC41" s="349">
        <f t="shared" si="23"/>
        <v>0</v>
      </c>
      <c r="AD41" s="350">
        <f t="shared" si="23"/>
        <v>13</v>
      </c>
      <c r="AE41" s="334"/>
      <c r="AF41" s="336" t="s">
        <v>506</v>
      </c>
      <c r="AG41" s="338" t="s">
        <v>507</v>
      </c>
      <c r="AH41" s="338" t="s">
        <v>508</v>
      </c>
      <c r="AI41" s="338" t="s">
        <v>509</v>
      </c>
      <c r="AJ41" s="338" t="s">
        <v>510</v>
      </c>
      <c r="AK41" s="339" t="s">
        <v>558</v>
      </c>
      <c r="AL41" s="312" t="s">
        <v>417</v>
      </c>
    </row>
    <row r="42" spans="1:38" ht="15.75" thickBot="1">
      <c r="A42" s="507"/>
      <c r="B42" s="98" t="s">
        <v>360</v>
      </c>
      <c r="C42" s="97" t="s">
        <v>55</v>
      </c>
      <c r="D42" s="110">
        <v>566.26</v>
      </c>
      <c r="E42" s="278">
        <f t="shared" si="2"/>
        <v>150</v>
      </c>
      <c r="F42" s="110">
        <v>424.66829999999999</v>
      </c>
      <c r="G42" s="278">
        <v>1.5</v>
      </c>
      <c r="H42" s="96">
        <f t="shared" si="3"/>
        <v>637.00244999999995</v>
      </c>
      <c r="I42" s="85">
        <f t="shared" si="4"/>
        <v>6</v>
      </c>
      <c r="J42" s="85">
        <f t="shared" si="5"/>
        <v>900</v>
      </c>
      <c r="K42" s="279">
        <f t="shared" si="19"/>
        <v>262.99755000000005</v>
      </c>
      <c r="L42" s="95">
        <f t="shared" si="7"/>
        <v>0.70778049999999992</v>
      </c>
      <c r="M42" s="102" t="s">
        <v>359</v>
      </c>
      <c r="N42" s="108">
        <v>1033.6600000000001</v>
      </c>
      <c r="O42" s="93">
        <f t="shared" si="8"/>
        <v>150</v>
      </c>
      <c r="P42" s="108">
        <f t="shared" si="17"/>
        <v>424.66829999999999</v>
      </c>
      <c r="Q42" s="284">
        <v>1.5</v>
      </c>
      <c r="R42" s="288">
        <f t="shared" si="9"/>
        <v>637.00244999999995</v>
      </c>
      <c r="S42" s="83">
        <f t="shared" si="18"/>
        <v>900</v>
      </c>
      <c r="T42" s="82">
        <f t="shared" si="20"/>
        <v>262.99755000000005</v>
      </c>
      <c r="U42" s="83">
        <f t="shared" si="21"/>
        <v>0</v>
      </c>
      <c r="V42" s="328"/>
      <c r="X42" s="312" t="s">
        <v>514</v>
      </c>
      <c r="Y42" s="351">
        <f>PRODUCT(Y41*AH32)</f>
        <v>90</v>
      </c>
      <c r="Z42" s="414">
        <f>PRODUCT(Z41*AH33)</f>
        <v>114.5823</v>
      </c>
      <c r="AA42" s="414">
        <f>PRODUCT(AA41*AH34)</f>
        <v>0</v>
      </c>
      <c r="AB42" s="414">
        <f>PRODUCT(AB41*AH35)</f>
        <v>0</v>
      </c>
      <c r="AC42" s="414">
        <f>PRODUCT(AC41*AH36)</f>
        <v>0</v>
      </c>
      <c r="AD42" s="415">
        <f>SUM(Y42:AC42)</f>
        <v>204.5823</v>
      </c>
      <c r="AE42" s="334"/>
      <c r="AF42" s="60" t="s">
        <v>84</v>
      </c>
      <c r="AG42" s="342">
        <f>Y29+Y49</f>
        <v>0</v>
      </c>
      <c r="AH42" s="342">
        <f t="shared" ref="AH42:AK53" si="24">Z29+Z49</f>
        <v>8</v>
      </c>
      <c r="AI42" s="342">
        <f t="shared" si="24"/>
        <v>3</v>
      </c>
      <c r="AJ42" s="342">
        <f t="shared" si="24"/>
        <v>2</v>
      </c>
      <c r="AK42" s="342">
        <f t="shared" si="24"/>
        <v>0</v>
      </c>
      <c r="AL42" s="343">
        <f>SUM(AG42:AK42)</f>
        <v>13</v>
      </c>
    </row>
    <row r="43" spans="1:38" ht="15.75" thickBot="1">
      <c r="A43" s="507"/>
      <c r="B43" s="98" t="s">
        <v>358</v>
      </c>
      <c r="C43" s="97" t="s">
        <v>62</v>
      </c>
      <c r="D43" s="96">
        <v>174.54</v>
      </c>
      <c r="E43" s="277">
        <f t="shared" si="2"/>
        <v>250</v>
      </c>
      <c r="F43" s="96">
        <v>80.336669999999998</v>
      </c>
      <c r="G43" s="277">
        <v>1.5</v>
      </c>
      <c r="H43" s="74">
        <f t="shared" si="3"/>
        <v>120.505005</v>
      </c>
      <c r="I43" s="85">
        <f t="shared" si="4"/>
        <v>1</v>
      </c>
      <c r="J43" s="85">
        <f t="shared" si="5"/>
        <v>250</v>
      </c>
      <c r="K43" s="279">
        <f t="shared" si="19"/>
        <v>129.49499500000002</v>
      </c>
      <c r="L43" s="73">
        <f t="shared" si="7"/>
        <v>0.48202001999999999</v>
      </c>
      <c r="M43" s="92" t="s">
        <v>357</v>
      </c>
      <c r="N43" s="94">
        <v>811.21</v>
      </c>
      <c r="O43" s="120">
        <f t="shared" si="8"/>
        <v>150</v>
      </c>
      <c r="P43" s="108">
        <f t="shared" si="17"/>
        <v>80.336669999999998</v>
      </c>
      <c r="Q43" s="285">
        <v>1.5</v>
      </c>
      <c r="R43" s="289">
        <f t="shared" si="9"/>
        <v>120.505005</v>
      </c>
      <c r="S43" s="83">
        <f t="shared" si="18"/>
        <v>150</v>
      </c>
      <c r="T43" s="82">
        <f t="shared" si="20"/>
        <v>29.494995000000003</v>
      </c>
      <c r="U43" s="83">
        <f t="shared" si="21"/>
        <v>0</v>
      </c>
      <c r="V43" s="328"/>
      <c r="X43" s="312" t="s">
        <v>513</v>
      </c>
      <c r="Y43" s="351">
        <f>Y41*AG32</f>
        <v>600</v>
      </c>
      <c r="Z43" s="351">
        <f>Z41*AG33</f>
        <v>1050</v>
      </c>
      <c r="AA43" s="351">
        <f>AA41*AG34</f>
        <v>0</v>
      </c>
      <c r="AB43" s="351">
        <f>AB41*AG35</f>
        <v>0</v>
      </c>
      <c r="AC43" s="351">
        <f>AC41*AG36</f>
        <v>0</v>
      </c>
      <c r="AD43" s="312">
        <f>SUM(Y43:AC43)</f>
        <v>1650</v>
      </c>
      <c r="AE43" s="334"/>
      <c r="AF43" s="60" t="s">
        <v>85</v>
      </c>
      <c r="AG43" s="342">
        <f t="shared" ref="AG43:AG53" si="25">Y30+Y50</f>
        <v>2</v>
      </c>
      <c r="AH43" s="342">
        <f t="shared" si="24"/>
        <v>11</v>
      </c>
      <c r="AI43" s="342">
        <f t="shared" si="24"/>
        <v>6</v>
      </c>
      <c r="AJ43" s="342">
        <f t="shared" si="24"/>
        <v>0</v>
      </c>
      <c r="AK43" s="342">
        <f t="shared" si="24"/>
        <v>4</v>
      </c>
      <c r="AL43" s="60">
        <f t="shared" ref="AL43:AL53" si="26">SUM(AG43:AK43)</f>
        <v>23</v>
      </c>
    </row>
    <row r="44" spans="1:38" ht="15.75" thickBot="1">
      <c r="A44" s="315" t="s">
        <v>355</v>
      </c>
      <c r="B44" s="88" t="s">
        <v>356</v>
      </c>
      <c r="C44" s="87" t="s">
        <v>355</v>
      </c>
      <c r="D44" s="86">
        <v>517.28</v>
      </c>
      <c r="E44" s="96">
        <f t="shared" si="2"/>
        <v>200</v>
      </c>
      <c r="F44" s="86">
        <v>67.241829999999993</v>
      </c>
      <c r="G44" s="96">
        <v>1.5</v>
      </c>
      <c r="H44" s="96">
        <f t="shared" si="3"/>
        <v>100.86274499999999</v>
      </c>
      <c r="I44" s="85">
        <f t="shared" si="4"/>
        <v>1</v>
      </c>
      <c r="J44" s="85">
        <f t="shared" si="5"/>
        <v>200</v>
      </c>
      <c r="K44" s="279">
        <f t="shared" si="19"/>
        <v>99.13725500000001</v>
      </c>
      <c r="L44" s="95">
        <f t="shared" si="7"/>
        <v>0.50431372499999993</v>
      </c>
      <c r="M44" s="84" t="s">
        <v>354</v>
      </c>
      <c r="N44" s="84">
        <v>607.995</v>
      </c>
      <c r="O44" s="93">
        <f t="shared" si="8"/>
        <v>150</v>
      </c>
      <c r="P44" s="83">
        <f t="shared" si="17"/>
        <v>67.241829999999993</v>
      </c>
      <c r="Q44" s="92">
        <v>1.5</v>
      </c>
      <c r="R44" s="93">
        <f t="shared" si="9"/>
        <v>100.86274499999999</v>
      </c>
      <c r="S44" s="83">
        <f t="shared" si="18"/>
        <v>150</v>
      </c>
      <c r="T44" s="82">
        <f t="shared" si="20"/>
        <v>49.13725500000001</v>
      </c>
      <c r="U44" s="83">
        <f t="shared" si="21"/>
        <v>0</v>
      </c>
      <c r="V44" s="328"/>
      <c r="X44" s="409"/>
      <c r="Y44" s="409"/>
      <c r="Z44" s="409"/>
      <c r="AA44" s="409"/>
      <c r="AB44" s="409"/>
      <c r="AC44" s="409"/>
      <c r="AD44" s="409"/>
      <c r="AE44" s="334"/>
      <c r="AF44" s="60" t="s">
        <v>86</v>
      </c>
      <c r="AG44" s="342">
        <f t="shared" si="25"/>
        <v>1</v>
      </c>
      <c r="AH44" s="342">
        <f t="shared" si="24"/>
        <v>0</v>
      </c>
      <c r="AI44" s="342">
        <f t="shared" si="24"/>
        <v>4</v>
      </c>
      <c r="AJ44" s="342">
        <f t="shared" si="24"/>
        <v>0</v>
      </c>
      <c r="AK44" s="342">
        <f t="shared" si="24"/>
        <v>2</v>
      </c>
      <c r="AL44" s="60">
        <f t="shared" si="26"/>
        <v>7</v>
      </c>
    </row>
    <row r="45" spans="1:38" ht="15.75" thickBot="1">
      <c r="A45" s="506" t="s">
        <v>349</v>
      </c>
      <c r="B45" s="88" t="s">
        <v>353</v>
      </c>
      <c r="C45" s="87" t="s">
        <v>342</v>
      </c>
      <c r="D45" s="86">
        <v>592.98500000000001</v>
      </c>
      <c r="E45" s="276">
        <f t="shared" si="2"/>
        <v>150</v>
      </c>
      <c r="F45" s="86">
        <v>175.91919999999999</v>
      </c>
      <c r="G45" s="276">
        <v>1.5</v>
      </c>
      <c r="H45" s="86">
        <f t="shared" si="3"/>
        <v>263.87879999999996</v>
      </c>
      <c r="I45" s="85">
        <f t="shared" si="4"/>
        <v>3</v>
      </c>
      <c r="J45" s="85">
        <f t="shared" si="5"/>
        <v>450</v>
      </c>
      <c r="K45" s="279">
        <f t="shared" si="19"/>
        <v>186.12120000000004</v>
      </c>
      <c r="L45" s="85">
        <f t="shared" si="7"/>
        <v>0.58639733333333321</v>
      </c>
      <c r="M45" s="101" t="s">
        <v>352</v>
      </c>
      <c r="N45" s="84">
        <v>1051.23</v>
      </c>
      <c r="O45" s="83">
        <f t="shared" si="8"/>
        <v>150</v>
      </c>
      <c r="P45" s="84">
        <f t="shared" si="17"/>
        <v>175.91919999999999</v>
      </c>
      <c r="Q45" s="283">
        <v>1.5</v>
      </c>
      <c r="R45" s="287">
        <f t="shared" si="9"/>
        <v>263.87879999999996</v>
      </c>
      <c r="S45" s="83">
        <f t="shared" si="18"/>
        <v>450</v>
      </c>
      <c r="T45" s="82">
        <f t="shared" si="20"/>
        <v>186.12120000000004</v>
      </c>
      <c r="U45" s="83">
        <f t="shared" si="21"/>
        <v>0</v>
      </c>
      <c r="V45" s="328"/>
      <c r="X45" s="409"/>
      <c r="Y45" s="409"/>
      <c r="Z45" s="409"/>
      <c r="AA45" s="409"/>
      <c r="AB45" s="409"/>
      <c r="AC45" s="409"/>
      <c r="AD45" s="409"/>
      <c r="AE45" s="334"/>
      <c r="AF45" s="60" t="s">
        <v>87</v>
      </c>
      <c r="AG45" s="342">
        <f t="shared" si="25"/>
        <v>1</v>
      </c>
      <c r="AH45" s="342">
        <f t="shared" si="24"/>
        <v>22</v>
      </c>
      <c r="AI45" s="342">
        <f t="shared" si="24"/>
        <v>27</v>
      </c>
      <c r="AJ45" s="342">
        <f t="shared" si="24"/>
        <v>15</v>
      </c>
      <c r="AK45" s="342">
        <f t="shared" si="24"/>
        <v>0</v>
      </c>
      <c r="AL45" s="60">
        <f t="shared" si="26"/>
        <v>65</v>
      </c>
    </row>
    <row r="46" spans="1:38" ht="15.75" thickBot="1">
      <c r="A46" s="507"/>
      <c r="B46" s="98" t="s">
        <v>350</v>
      </c>
      <c r="C46" s="97" t="s">
        <v>349</v>
      </c>
      <c r="D46" s="110">
        <v>374.84</v>
      </c>
      <c r="E46" s="278">
        <f t="shared" si="2"/>
        <v>200</v>
      </c>
      <c r="F46" s="110">
        <v>115.1143</v>
      </c>
      <c r="G46" s="278">
        <v>1.5</v>
      </c>
      <c r="H46" s="96">
        <f t="shared" si="3"/>
        <v>172.67144999999999</v>
      </c>
      <c r="I46" s="85">
        <f t="shared" si="4"/>
        <v>2</v>
      </c>
      <c r="J46" s="85">
        <f t="shared" si="5"/>
        <v>400</v>
      </c>
      <c r="K46" s="279">
        <f t="shared" si="19"/>
        <v>227.32855000000001</v>
      </c>
      <c r="L46" s="95">
        <f t="shared" si="7"/>
        <v>0.43167862499999998</v>
      </c>
      <c r="M46" s="102" t="s">
        <v>348</v>
      </c>
      <c r="N46" s="108">
        <v>838.745</v>
      </c>
      <c r="O46" s="93">
        <f t="shared" si="8"/>
        <v>150</v>
      </c>
      <c r="P46" s="108">
        <f t="shared" si="17"/>
        <v>115.1143</v>
      </c>
      <c r="Q46" s="284">
        <v>1.5</v>
      </c>
      <c r="R46" s="288">
        <f t="shared" si="9"/>
        <v>172.67144999999999</v>
      </c>
      <c r="S46" s="83">
        <f t="shared" si="18"/>
        <v>300</v>
      </c>
      <c r="T46" s="82">
        <f t="shared" si="20"/>
        <v>127.32855000000001</v>
      </c>
      <c r="U46" s="83">
        <f t="shared" si="21"/>
        <v>0</v>
      </c>
      <c r="V46" s="328"/>
      <c r="X46" s="409"/>
      <c r="Y46" s="409"/>
      <c r="Z46" s="409"/>
      <c r="AA46" s="409"/>
      <c r="AB46" s="409"/>
      <c r="AC46" s="409"/>
      <c r="AD46" s="409"/>
      <c r="AE46" s="334"/>
      <c r="AF46" s="60" t="s">
        <v>88</v>
      </c>
      <c r="AG46" s="342">
        <f t="shared" si="25"/>
        <v>1</v>
      </c>
      <c r="AH46" s="342">
        <f t="shared" si="24"/>
        <v>0</v>
      </c>
      <c r="AI46" s="342">
        <f t="shared" si="24"/>
        <v>13</v>
      </c>
      <c r="AJ46" s="342">
        <f t="shared" si="24"/>
        <v>1</v>
      </c>
      <c r="AK46" s="342">
        <f t="shared" si="24"/>
        <v>0</v>
      </c>
      <c r="AL46" s="60">
        <f t="shared" si="26"/>
        <v>15</v>
      </c>
    </row>
    <row r="47" spans="1:38" ht="15.75" thickBot="1">
      <c r="A47" s="507"/>
      <c r="B47" s="98" t="s">
        <v>347</v>
      </c>
      <c r="C47" s="97" t="s">
        <v>335</v>
      </c>
      <c r="D47" s="110">
        <v>675.17499999999995</v>
      </c>
      <c r="E47" s="278">
        <f t="shared" si="2"/>
        <v>150</v>
      </c>
      <c r="F47" s="110">
        <v>87.5685</v>
      </c>
      <c r="G47" s="278">
        <v>1.5</v>
      </c>
      <c r="H47" s="96">
        <f t="shared" si="3"/>
        <v>131.35275000000001</v>
      </c>
      <c r="I47" s="85">
        <f t="shared" si="4"/>
        <v>2</v>
      </c>
      <c r="J47" s="85">
        <f t="shared" si="5"/>
        <v>300</v>
      </c>
      <c r="K47" s="279">
        <f t="shared" si="19"/>
        <v>168.64724999999999</v>
      </c>
      <c r="L47" s="95">
        <f t="shared" si="7"/>
        <v>0.43784250000000002</v>
      </c>
      <c r="M47" s="102" t="s">
        <v>346</v>
      </c>
      <c r="N47" s="108">
        <v>792.93499999999995</v>
      </c>
      <c r="O47" s="93">
        <f t="shared" si="8"/>
        <v>150</v>
      </c>
      <c r="P47" s="108">
        <f t="shared" si="17"/>
        <v>87.5685</v>
      </c>
      <c r="Q47" s="284">
        <v>1.5</v>
      </c>
      <c r="R47" s="288">
        <f t="shared" si="9"/>
        <v>131.35275000000001</v>
      </c>
      <c r="S47" s="83">
        <f t="shared" si="18"/>
        <v>300</v>
      </c>
      <c r="T47" s="82">
        <f t="shared" si="20"/>
        <v>168.64724999999999</v>
      </c>
      <c r="U47" s="83">
        <f t="shared" si="21"/>
        <v>0</v>
      </c>
      <c r="V47" s="328"/>
      <c r="X47" s="520" t="s">
        <v>583</v>
      </c>
      <c r="Y47" s="521"/>
      <c r="Z47" s="521"/>
      <c r="AA47" s="521"/>
      <c r="AB47" s="521"/>
      <c r="AC47" s="522"/>
      <c r="AD47" s="164"/>
      <c r="AE47" s="334"/>
      <c r="AF47" s="60" t="s">
        <v>89</v>
      </c>
      <c r="AG47" s="342">
        <f t="shared" si="25"/>
        <v>0</v>
      </c>
      <c r="AH47" s="342">
        <f t="shared" si="24"/>
        <v>13</v>
      </c>
      <c r="AI47" s="342">
        <f t="shared" si="24"/>
        <v>1</v>
      </c>
      <c r="AJ47" s="342">
        <f t="shared" si="24"/>
        <v>1</v>
      </c>
      <c r="AK47" s="342">
        <f t="shared" si="24"/>
        <v>0</v>
      </c>
      <c r="AL47" s="60">
        <f t="shared" si="26"/>
        <v>15</v>
      </c>
    </row>
    <row r="48" spans="1:38" ht="15.75" thickBot="1">
      <c r="A48" s="507"/>
      <c r="B48" s="98" t="s">
        <v>339</v>
      </c>
      <c r="C48" s="97" t="s">
        <v>338</v>
      </c>
      <c r="D48" s="96">
        <v>768.38499999999999</v>
      </c>
      <c r="E48" s="278">
        <f t="shared" si="2"/>
        <v>150</v>
      </c>
      <c r="F48" s="96">
        <v>46.164000000000001</v>
      </c>
      <c r="G48" s="278">
        <v>1.5</v>
      </c>
      <c r="H48" s="96">
        <f t="shared" si="3"/>
        <v>69.246000000000009</v>
      </c>
      <c r="I48" s="85">
        <f t="shared" si="4"/>
        <v>1</v>
      </c>
      <c r="J48" s="85">
        <f t="shared" si="5"/>
        <v>150</v>
      </c>
      <c r="K48" s="279">
        <f t="shared" si="19"/>
        <v>80.753999999999991</v>
      </c>
      <c r="L48" s="73">
        <f t="shared" si="7"/>
        <v>0.46164000000000005</v>
      </c>
      <c r="M48" s="92" t="s">
        <v>345</v>
      </c>
      <c r="N48" s="94">
        <v>934.80499999999995</v>
      </c>
      <c r="O48" s="120">
        <f t="shared" si="8"/>
        <v>150</v>
      </c>
      <c r="P48" s="94">
        <f t="shared" si="17"/>
        <v>46.164000000000001</v>
      </c>
      <c r="Q48" s="284">
        <v>1.5</v>
      </c>
      <c r="R48" s="288">
        <f t="shared" si="9"/>
        <v>69.246000000000009</v>
      </c>
      <c r="S48" s="83">
        <f t="shared" si="18"/>
        <v>150</v>
      </c>
      <c r="T48" s="82">
        <f t="shared" si="20"/>
        <v>80.753999999999991</v>
      </c>
      <c r="U48" s="83">
        <f t="shared" si="21"/>
        <v>0</v>
      </c>
      <c r="V48" s="328"/>
      <c r="X48" s="336" t="s">
        <v>506</v>
      </c>
      <c r="Y48" s="338" t="s">
        <v>507</v>
      </c>
      <c r="Z48" s="338" t="s">
        <v>508</v>
      </c>
      <c r="AA48" s="338" t="s">
        <v>509</v>
      </c>
      <c r="AB48" s="338" t="s">
        <v>510</v>
      </c>
      <c r="AC48" s="339" t="s">
        <v>558</v>
      </c>
      <c r="AD48" s="312" t="s">
        <v>417</v>
      </c>
      <c r="AE48" s="334"/>
      <c r="AF48" s="60" t="s">
        <v>90</v>
      </c>
      <c r="AG48" s="342">
        <f t="shared" si="25"/>
        <v>0</v>
      </c>
      <c r="AH48" s="342">
        <f t="shared" si="24"/>
        <v>1</v>
      </c>
      <c r="AI48" s="342">
        <f t="shared" si="24"/>
        <v>1</v>
      </c>
      <c r="AJ48" s="342">
        <f t="shared" si="24"/>
        <v>2</v>
      </c>
      <c r="AK48" s="342">
        <f t="shared" si="24"/>
        <v>2</v>
      </c>
      <c r="AL48" s="60">
        <f t="shared" si="26"/>
        <v>6</v>
      </c>
    </row>
    <row r="49" spans="1:38" ht="15.75" thickBot="1">
      <c r="A49" s="506" t="s">
        <v>344</v>
      </c>
      <c r="B49" s="88" t="s">
        <v>343</v>
      </c>
      <c r="C49" s="87" t="s">
        <v>342</v>
      </c>
      <c r="D49" s="86">
        <v>592.98500000000001</v>
      </c>
      <c r="E49" s="276">
        <f t="shared" si="2"/>
        <v>150</v>
      </c>
      <c r="F49" s="86">
        <v>175.91919999999999</v>
      </c>
      <c r="G49" s="276">
        <v>1.5</v>
      </c>
      <c r="H49" s="86">
        <f t="shared" si="3"/>
        <v>263.87879999999996</v>
      </c>
      <c r="I49" s="85">
        <f t="shared" si="4"/>
        <v>3</v>
      </c>
      <c r="J49" s="85">
        <f t="shared" si="5"/>
        <v>450</v>
      </c>
      <c r="K49" s="279">
        <f t="shared" si="19"/>
        <v>186.12120000000004</v>
      </c>
      <c r="L49" s="95">
        <f t="shared" si="7"/>
        <v>0.58639733333333321</v>
      </c>
      <c r="M49" s="101" t="s">
        <v>341</v>
      </c>
      <c r="N49" s="84">
        <v>992.44500000000005</v>
      </c>
      <c r="O49" s="93">
        <f t="shared" si="8"/>
        <v>150</v>
      </c>
      <c r="P49" s="84">
        <f t="shared" si="17"/>
        <v>175.91919999999999</v>
      </c>
      <c r="Q49" s="283">
        <v>1.5</v>
      </c>
      <c r="R49" s="287">
        <f t="shared" si="9"/>
        <v>263.87879999999996</v>
      </c>
      <c r="S49" s="83">
        <f t="shared" si="18"/>
        <v>450</v>
      </c>
      <c r="T49" s="82">
        <f t="shared" si="20"/>
        <v>186.12120000000004</v>
      </c>
      <c r="U49" s="83">
        <f t="shared" si="21"/>
        <v>0</v>
      </c>
      <c r="V49" s="328"/>
      <c r="X49" s="60" t="s">
        <v>84</v>
      </c>
      <c r="Y49" s="342">
        <v>0</v>
      </c>
      <c r="Z49" s="342">
        <f>8</f>
        <v>8</v>
      </c>
      <c r="AA49" s="412">
        <f>2+1</f>
        <v>3</v>
      </c>
      <c r="AB49" s="412">
        <f>2</f>
        <v>2</v>
      </c>
      <c r="AC49" s="342">
        <v>0</v>
      </c>
      <c r="AD49" s="343">
        <f>SUM(Y49:AC49)</f>
        <v>13</v>
      </c>
      <c r="AE49" s="334"/>
      <c r="AF49" s="60" t="s">
        <v>91</v>
      </c>
      <c r="AG49" s="342">
        <f t="shared" si="25"/>
        <v>0</v>
      </c>
      <c r="AH49" s="342">
        <f t="shared" si="24"/>
        <v>17</v>
      </c>
      <c r="AI49" s="342">
        <f t="shared" si="24"/>
        <v>3</v>
      </c>
      <c r="AJ49" s="342">
        <f t="shared" si="24"/>
        <v>2</v>
      </c>
      <c r="AK49" s="342">
        <f t="shared" si="24"/>
        <v>0</v>
      </c>
      <c r="AL49" s="60">
        <f t="shared" si="26"/>
        <v>22</v>
      </c>
    </row>
    <row r="50" spans="1:38" ht="15.75" thickBot="1">
      <c r="A50" s="507"/>
      <c r="B50" s="98" t="s">
        <v>339</v>
      </c>
      <c r="C50" s="97" t="s">
        <v>338</v>
      </c>
      <c r="D50" s="96">
        <v>768.38499999999999</v>
      </c>
      <c r="E50" s="278">
        <f t="shared" si="2"/>
        <v>150</v>
      </c>
      <c r="F50" s="96">
        <v>46.164000000000001</v>
      </c>
      <c r="G50" s="278">
        <v>1.5</v>
      </c>
      <c r="H50" s="96">
        <f t="shared" si="3"/>
        <v>69.246000000000009</v>
      </c>
      <c r="I50" s="85">
        <f t="shared" si="4"/>
        <v>1</v>
      </c>
      <c r="J50" s="85">
        <f t="shared" si="5"/>
        <v>150</v>
      </c>
      <c r="K50" s="279">
        <f t="shared" si="19"/>
        <v>80.753999999999991</v>
      </c>
      <c r="L50" s="95">
        <f t="shared" si="7"/>
        <v>0.46164000000000005</v>
      </c>
      <c r="M50" s="92" t="s">
        <v>337</v>
      </c>
      <c r="N50" s="94">
        <v>817.04499999999996</v>
      </c>
      <c r="O50" s="93">
        <f t="shared" si="8"/>
        <v>150</v>
      </c>
      <c r="P50" s="94">
        <f t="shared" si="17"/>
        <v>46.164000000000001</v>
      </c>
      <c r="Q50" s="284">
        <v>1.5</v>
      </c>
      <c r="R50" s="288">
        <f t="shared" si="9"/>
        <v>69.246000000000009</v>
      </c>
      <c r="S50" s="83">
        <f t="shared" si="18"/>
        <v>150</v>
      </c>
      <c r="T50" s="82">
        <f t="shared" si="20"/>
        <v>80.753999999999991</v>
      </c>
      <c r="U50" s="83">
        <f t="shared" si="21"/>
        <v>0</v>
      </c>
      <c r="V50" s="328"/>
      <c r="X50" s="60" t="s">
        <v>85</v>
      </c>
      <c r="Y50" s="342">
        <v>0</v>
      </c>
      <c r="Z50" s="342">
        <f>5+3+3</f>
        <v>11</v>
      </c>
      <c r="AA50" s="342">
        <f>4+2</f>
        <v>6</v>
      </c>
      <c r="AB50" s="342">
        <v>0</v>
      </c>
      <c r="AC50" s="342">
        <f>2+2</f>
        <v>4</v>
      </c>
      <c r="AD50" s="60">
        <f t="shared" ref="AD50:AD60" si="27">SUM(Y50:AC50)</f>
        <v>21</v>
      </c>
      <c r="AE50" s="334"/>
      <c r="AF50" s="60" t="s">
        <v>92</v>
      </c>
      <c r="AG50" s="342">
        <f t="shared" si="25"/>
        <v>1</v>
      </c>
      <c r="AH50" s="342">
        <f t="shared" si="24"/>
        <v>6</v>
      </c>
      <c r="AI50" s="342">
        <f t="shared" si="24"/>
        <v>13</v>
      </c>
      <c r="AJ50" s="342">
        <f t="shared" si="24"/>
        <v>0</v>
      </c>
      <c r="AK50" s="342">
        <f t="shared" si="24"/>
        <v>0</v>
      </c>
      <c r="AL50" s="60">
        <f t="shared" si="26"/>
        <v>20</v>
      </c>
    </row>
    <row r="51" spans="1:38" ht="15.75" thickBot="1">
      <c r="A51" s="506" t="s">
        <v>340</v>
      </c>
      <c r="B51" s="88" t="s">
        <v>339</v>
      </c>
      <c r="C51" s="87" t="s">
        <v>338</v>
      </c>
      <c r="D51" s="86">
        <v>768.38499999999999</v>
      </c>
      <c r="E51" s="276">
        <f t="shared" si="2"/>
        <v>150</v>
      </c>
      <c r="F51" s="86">
        <v>46.164000000000001</v>
      </c>
      <c r="G51" s="276">
        <v>1.5</v>
      </c>
      <c r="H51" s="86">
        <f t="shared" si="3"/>
        <v>69.246000000000009</v>
      </c>
      <c r="I51" s="85">
        <f t="shared" si="4"/>
        <v>1</v>
      </c>
      <c r="J51" s="85">
        <f t="shared" si="5"/>
        <v>150</v>
      </c>
      <c r="K51" s="279">
        <f t="shared" si="19"/>
        <v>80.753999999999991</v>
      </c>
      <c r="L51" s="85">
        <f t="shared" si="7"/>
        <v>0.46164000000000005</v>
      </c>
      <c r="M51" s="101" t="s">
        <v>337</v>
      </c>
      <c r="N51" s="84">
        <v>817.04499999999996</v>
      </c>
      <c r="O51" s="83">
        <f t="shared" si="8"/>
        <v>150</v>
      </c>
      <c r="P51" s="84">
        <f t="shared" si="17"/>
        <v>46.164000000000001</v>
      </c>
      <c r="Q51" s="283">
        <v>1.5</v>
      </c>
      <c r="R51" s="287">
        <f t="shared" si="9"/>
        <v>69.246000000000009</v>
      </c>
      <c r="S51" s="83">
        <f t="shared" si="18"/>
        <v>150</v>
      </c>
      <c r="T51" s="82">
        <f t="shared" si="20"/>
        <v>80.753999999999991</v>
      </c>
      <c r="U51" s="83">
        <f t="shared" si="21"/>
        <v>0</v>
      </c>
      <c r="V51" s="328"/>
      <c r="X51" s="60" t="s">
        <v>86</v>
      </c>
      <c r="Y51" s="342">
        <v>0</v>
      </c>
      <c r="Z51" s="342">
        <v>0</v>
      </c>
      <c r="AA51" s="340">
        <f>3+1</f>
        <v>4</v>
      </c>
      <c r="AB51" s="342">
        <v>0</v>
      </c>
      <c r="AC51" s="342">
        <f>2</f>
        <v>2</v>
      </c>
      <c r="AD51" s="60">
        <f t="shared" si="27"/>
        <v>6</v>
      </c>
      <c r="AE51" s="334"/>
      <c r="AF51" s="60" t="s">
        <v>93</v>
      </c>
      <c r="AG51" s="342">
        <f t="shared" si="25"/>
        <v>0</v>
      </c>
      <c r="AH51" s="342">
        <f t="shared" si="24"/>
        <v>2</v>
      </c>
      <c r="AI51" s="342">
        <f t="shared" si="24"/>
        <v>3</v>
      </c>
      <c r="AJ51" s="342">
        <f t="shared" si="24"/>
        <v>6</v>
      </c>
      <c r="AK51" s="342">
        <f t="shared" si="24"/>
        <v>0</v>
      </c>
      <c r="AL51" s="60">
        <f t="shared" si="26"/>
        <v>11</v>
      </c>
    </row>
    <row r="52" spans="1:38" ht="15.75" thickBot="1">
      <c r="A52" s="507"/>
      <c r="B52" s="98" t="s">
        <v>30</v>
      </c>
      <c r="C52" s="97" t="s">
        <v>326</v>
      </c>
      <c r="D52" s="96">
        <v>317.27</v>
      </c>
      <c r="E52" s="278">
        <f t="shared" si="2"/>
        <v>200</v>
      </c>
      <c r="F52" s="96">
        <v>136.87530000000001</v>
      </c>
      <c r="G52" s="278">
        <v>1.5</v>
      </c>
      <c r="H52" s="96">
        <f t="shared" si="3"/>
        <v>205.31295</v>
      </c>
      <c r="I52" s="85">
        <f t="shared" si="4"/>
        <v>2</v>
      </c>
      <c r="J52" s="85">
        <f t="shared" si="5"/>
        <v>400</v>
      </c>
      <c r="K52" s="279">
        <f t="shared" si="19"/>
        <v>194.68705</v>
      </c>
      <c r="L52" s="73">
        <f t="shared" si="7"/>
        <v>0.51328237499999996</v>
      </c>
      <c r="M52" s="92" t="s">
        <v>325</v>
      </c>
      <c r="N52" s="94">
        <v>518.48</v>
      </c>
      <c r="O52" s="120">
        <f t="shared" si="8"/>
        <v>200</v>
      </c>
      <c r="P52" s="94">
        <f t="shared" si="17"/>
        <v>136.87530000000001</v>
      </c>
      <c r="Q52" s="284">
        <v>1.5</v>
      </c>
      <c r="R52" s="288">
        <f t="shared" si="9"/>
        <v>205.31295</v>
      </c>
      <c r="S52" s="83">
        <f t="shared" si="18"/>
        <v>400</v>
      </c>
      <c r="T52" s="82">
        <f t="shared" si="20"/>
        <v>194.68705</v>
      </c>
      <c r="U52" s="83">
        <f t="shared" si="21"/>
        <v>0</v>
      </c>
      <c r="V52" s="328"/>
      <c r="X52" s="60" t="s">
        <v>87</v>
      </c>
      <c r="Y52" s="342">
        <v>0</v>
      </c>
      <c r="Z52" s="413">
        <f>8+6+6</f>
        <v>20</v>
      </c>
      <c r="AA52" s="342">
        <f>4+3+6+11+3</f>
        <v>27</v>
      </c>
      <c r="AB52" s="342">
        <f>2+6+7</f>
        <v>15</v>
      </c>
      <c r="AC52" s="342">
        <v>0</v>
      </c>
      <c r="AD52" s="60">
        <f t="shared" si="27"/>
        <v>62</v>
      </c>
      <c r="AE52" s="334"/>
      <c r="AF52" s="60" t="s">
        <v>94</v>
      </c>
      <c r="AG52" s="342">
        <f t="shared" si="25"/>
        <v>0</v>
      </c>
      <c r="AH52" s="342">
        <f t="shared" si="24"/>
        <v>4</v>
      </c>
      <c r="AI52" s="342">
        <f t="shared" si="24"/>
        <v>3</v>
      </c>
      <c r="AJ52" s="342">
        <f t="shared" si="24"/>
        <v>7</v>
      </c>
      <c r="AK52" s="342">
        <f t="shared" si="24"/>
        <v>0</v>
      </c>
      <c r="AL52" s="60">
        <f t="shared" si="26"/>
        <v>14</v>
      </c>
    </row>
    <row r="53" spans="1:38" ht="15.75" thickBot="1">
      <c r="A53" s="506" t="s">
        <v>336</v>
      </c>
      <c r="B53" s="88" t="s">
        <v>28</v>
      </c>
      <c r="C53" s="87" t="s">
        <v>335</v>
      </c>
      <c r="D53" s="86">
        <v>675.17499999999995</v>
      </c>
      <c r="E53" s="276">
        <f t="shared" si="2"/>
        <v>150</v>
      </c>
      <c r="F53" s="86">
        <v>87.5685</v>
      </c>
      <c r="G53" s="276">
        <v>1.5</v>
      </c>
      <c r="H53" s="86">
        <f t="shared" si="3"/>
        <v>131.35275000000001</v>
      </c>
      <c r="I53" s="85">
        <f t="shared" si="4"/>
        <v>2</v>
      </c>
      <c r="J53" s="85">
        <f t="shared" si="5"/>
        <v>300</v>
      </c>
      <c r="K53" s="279">
        <f t="shared" si="19"/>
        <v>168.64724999999999</v>
      </c>
      <c r="L53" s="95">
        <f t="shared" si="7"/>
        <v>0.43784250000000002</v>
      </c>
      <c r="M53" s="101" t="s">
        <v>334</v>
      </c>
      <c r="N53" s="84">
        <v>792.93499999999995</v>
      </c>
      <c r="O53" s="93">
        <f t="shared" si="8"/>
        <v>150</v>
      </c>
      <c r="P53" s="84">
        <f t="shared" si="17"/>
        <v>87.5685</v>
      </c>
      <c r="Q53" s="283">
        <v>1.5</v>
      </c>
      <c r="R53" s="287">
        <f t="shared" si="9"/>
        <v>131.35275000000001</v>
      </c>
      <c r="S53" s="83">
        <f t="shared" si="18"/>
        <v>300</v>
      </c>
      <c r="T53" s="82">
        <f t="shared" si="20"/>
        <v>168.64724999999999</v>
      </c>
      <c r="U53" s="83">
        <f t="shared" si="21"/>
        <v>0</v>
      </c>
      <c r="V53" s="328"/>
      <c r="X53" s="60" t="s">
        <v>88</v>
      </c>
      <c r="Y53" s="342">
        <v>0</v>
      </c>
      <c r="Z53" s="342">
        <v>0</v>
      </c>
      <c r="AA53" s="342">
        <f>2+2+1+6+1+1</f>
        <v>13</v>
      </c>
      <c r="AB53" s="342">
        <f>1</f>
        <v>1</v>
      </c>
      <c r="AC53" s="342">
        <v>0</v>
      </c>
      <c r="AD53" s="60">
        <f t="shared" si="27"/>
        <v>14</v>
      </c>
      <c r="AE53" s="260"/>
      <c r="AF53" s="347" t="s">
        <v>505</v>
      </c>
      <c r="AG53" s="342">
        <f t="shared" si="25"/>
        <v>0</v>
      </c>
      <c r="AH53" s="342">
        <f t="shared" si="24"/>
        <v>1</v>
      </c>
      <c r="AI53" s="342">
        <f t="shared" si="24"/>
        <v>3</v>
      </c>
      <c r="AJ53" s="342">
        <f t="shared" si="24"/>
        <v>0</v>
      </c>
      <c r="AK53" s="342">
        <f t="shared" si="24"/>
        <v>0</v>
      </c>
      <c r="AL53" s="347">
        <f t="shared" si="26"/>
        <v>4</v>
      </c>
    </row>
    <row r="54" spans="1:38" ht="15.75" thickBot="1">
      <c r="A54" s="507"/>
      <c r="B54" s="98" t="s">
        <v>333</v>
      </c>
      <c r="C54" s="97" t="s">
        <v>332</v>
      </c>
      <c r="D54" s="96">
        <v>300.33499999999998</v>
      </c>
      <c r="E54" s="277">
        <f t="shared" si="2"/>
        <v>200</v>
      </c>
      <c r="F54" s="96">
        <v>33.29833</v>
      </c>
      <c r="G54" s="278">
        <v>1.5</v>
      </c>
      <c r="H54" s="96">
        <f t="shared" si="3"/>
        <v>49.947495000000004</v>
      </c>
      <c r="I54" s="85">
        <f t="shared" si="4"/>
        <v>1</v>
      </c>
      <c r="J54" s="85">
        <f t="shared" si="5"/>
        <v>200</v>
      </c>
      <c r="K54" s="279">
        <f t="shared" si="19"/>
        <v>150.052505</v>
      </c>
      <c r="L54" s="95">
        <f t="shared" si="7"/>
        <v>0.24973747500000001</v>
      </c>
      <c r="M54" s="92" t="s">
        <v>331</v>
      </c>
      <c r="N54" s="94">
        <v>524.75</v>
      </c>
      <c r="O54" s="93">
        <f t="shared" si="8"/>
        <v>200</v>
      </c>
      <c r="P54" s="94">
        <f t="shared" si="17"/>
        <v>33.29833</v>
      </c>
      <c r="Q54" s="284">
        <v>1.5</v>
      </c>
      <c r="R54" s="288">
        <f t="shared" si="9"/>
        <v>49.947495000000004</v>
      </c>
      <c r="S54" s="83">
        <f t="shared" si="18"/>
        <v>200</v>
      </c>
      <c r="T54" s="82">
        <f t="shared" si="20"/>
        <v>150.052505</v>
      </c>
      <c r="U54" s="83">
        <f t="shared" si="21"/>
        <v>0</v>
      </c>
      <c r="V54" s="328"/>
      <c r="X54" s="60" t="s">
        <v>89</v>
      </c>
      <c r="Y54" s="342">
        <v>0</v>
      </c>
      <c r="Z54" s="342">
        <f>5+6+2</f>
        <v>13</v>
      </c>
      <c r="AA54" s="342">
        <f>1</f>
        <v>1</v>
      </c>
      <c r="AB54" s="342">
        <f>1</f>
        <v>1</v>
      </c>
      <c r="AC54" s="342">
        <v>0</v>
      </c>
      <c r="AD54" s="60">
        <f t="shared" si="27"/>
        <v>15</v>
      </c>
      <c r="AE54" s="260"/>
      <c r="AF54" s="312" t="s">
        <v>515</v>
      </c>
      <c r="AG54" s="349">
        <f t="shared" ref="AG54:AL54" si="28">SUM(AG42:AG53)</f>
        <v>6</v>
      </c>
      <c r="AH54" s="349">
        <f t="shared" si="28"/>
        <v>85</v>
      </c>
      <c r="AI54" s="349">
        <f t="shared" si="28"/>
        <v>80</v>
      </c>
      <c r="AJ54" s="349">
        <f t="shared" si="28"/>
        <v>36</v>
      </c>
      <c r="AK54" s="349">
        <f t="shared" si="28"/>
        <v>8</v>
      </c>
      <c r="AL54" s="350">
        <f t="shared" si="28"/>
        <v>215</v>
      </c>
    </row>
    <row r="55" spans="1:38" ht="15.75" thickBot="1">
      <c r="A55" s="506" t="s">
        <v>330</v>
      </c>
      <c r="B55" s="88" t="s">
        <v>329</v>
      </c>
      <c r="C55" s="87" t="s">
        <v>61</v>
      </c>
      <c r="D55" s="86">
        <v>381.34</v>
      </c>
      <c r="E55" s="276">
        <f t="shared" si="2"/>
        <v>200</v>
      </c>
      <c r="F55" s="86">
        <v>233.80699999999999</v>
      </c>
      <c r="G55" s="276">
        <v>1.5</v>
      </c>
      <c r="H55" s="86">
        <f t="shared" si="3"/>
        <v>350.71049999999997</v>
      </c>
      <c r="I55" s="85">
        <f t="shared" si="4"/>
        <v>3</v>
      </c>
      <c r="J55" s="85">
        <f t="shared" si="5"/>
        <v>600</v>
      </c>
      <c r="K55" s="279">
        <f t="shared" si="19"/>
        <v>249.28950000000003</v>
      </c>
      <c r="L55" s="85">
        <f t="shared" si="7"/>
        <v>0.58451749999999991</v>
      </c>
      <c r="M55" s="101" t="s">
        <v>328</v>
      </c>
      <c r="N55" s="84">
        <v>673.16499999999996</v>
      </c>
      <c r="O55" s="83">
        <f t="shared" si="8"/>
        <v>150</v>
      </c>
      <c r="P55" s="84">
        <f t="shared" si="17"/>
        <v>233.80699999999999</v>
      </c>
      <c r="Q55" s="283">
        <v>1.5</v>
      </c>
      <c r="R55" s="287">
        <f t="shared" si="9"/>
        <v>350.71049999999997</v>
      </c>
      <c r="S55" s="83">
        <f t="shared" si="18"/>
        <v>450</v>
      </c>
      <c r="T55" s="82">
        <f t="shared" si="20"/>
        <v>99.289500000000032</v>
      </c>
      <c r="U55" s="83">
        <f t="shared" si="21"/>
        <v>0</v>
      </c>
      <c r="V55" s="328"/>
      <c r="X55" s="60" t="s">
        <v>90</v>
      </c>
      <c r="Y55" s="342">
        <v>0</v>
      </c>
      <c r="Z55" s="340">
        <v>0</v>
      </c>
      <c r="AA55" s="340">
        <f>1</f>
        <v>1</v>
      </c>
      <c r="AB55" s="342">
        <f>2</f>
        <v>2</v>
      </c>
      <c r="AC55" s="342">
        <f>2</f>
        <v>2</v>
      </c>
      <c r="AD55" s="60">
        <f t="shared" si="27"/>
        <v>5</v>
      </c>
      <c r="AE55" s="334"/>
      <c r="AF55" s="312" t="s">
        <v>514</v>
      </c>
      <c r="AG55" s="351">
        <f>PRODUCT(AG54*AH32)</f>
        <v>90</v>
      </c>
      <c r="AH55" s="414">
        <f>PRODUCT(AH54*AH33)</f>
        <v>1391.3565000000001</v>
      </c>
      <c r="AI55" s="414">
        <f>PRODUCT(AI54*AH34)</f>
        <v>1339.7360000000001</v>
      </c>
      <c r="AJ55" s="414">
        <f>PRODUCT(AJ54*AH35)</f>
        <v>607.91759999999999</v>
      </c>
      <c r="AK55" s="414">
        <f>PRODUCT(AK54*AH36)</f>
        <v>136</v>
      </c>
      <c r="AL55" s="415">
        <f>SUM(AG55:AK55)</f>
        <v>3565.0101000000004</v>
      </c>
    </row>
    <row r="56" spans="1:38" ht="15.75" thickBot="1">
      <c r="A56" s="511"/>
      <c r="B56" s="76" t="s">
        <v>30</v>
      </c>
      <c r="C56" s="75" t="s">
        <v>326</v>
      </c>
      <c r="D56" s="74">
        <v>317.27</v>
      </c>
      <c r="E56" s="277">
        <f t="shared" si="2"/>
        <v>200</v>
      </c>
      <c r="F56" s="74">
        <v>136.87530000000001</v>
      </c>
      <c r="G56" s="277">
        <v>1.5</v>
      </c>
      <c r="H56" s="74">
        <f t="shared" si="3"/>
        <v>205.31295</v>
      </c>
      <c r="I56" s="85">
        <f t="shared" si="4"/>
        <v>2</v>
      </c>
      <c r="J56" s="85">
        <f t="shared" si="5"/>
        <v>400</v>
      </c>
      <c r="K56" s="279">
        <f t="shared" si="19"/>
        <v>194.68705</v>
      </c>
      <c r="L56" s="73">
        <f t="shared" si="7"/>
        <v>0.51328237499999996</v>
      </c>
      <c r="M56" s="70" t="s">
        <v>325</v>
      </c>
      <c r="N56" s="72">
        <v>518.48</v>
      </c>
      <c r="O56" s="120">
        <f t="shared" si="8"/>
        <v>200</v>
      </c>
      <c r="P56" s="153">
        <f t="shared" si="17"/>
        <v>136.87530000000001</v>
      </c>
      <c r="Q56" s="285">
        <v>1.5</v>
      </c>
      <c r="R56" s="289">
        <f t="shared" si="9"/>
        <v>205.31295</v>
      </c>
      <c r="S56" s="83">
        <f t="shared" si="18"/>
        <v>400</v>
      </c>
      <c r="T56" s="82">
        <f t="shared" si="20"/>
        <v>194.68705</v>
      </c>
      <c r="U56" s="83">
        <f t="shared" si="21"/>
        <v>0</v>
      </c>
      <c r="V56" s="328"/>
      <c r="X56" s="60" t="s">
        <v>91</v>
      </c>
      <c r="Y56" s="342">
        <v>0</v>
      </c>
      <c r="Z56" s="340">
        <f>3+6+2+3+2+1</f>
        <v>17</v>
      </c>
      <c r="AA56" s="342">
        <f>1+2</f>
        <v>3</v>
      </c>
      <c r="AB56" s="342">
        <f>2</f>
        <v>2</v>
      </c>
      <c r="AC56" s="342">
        <v>0</v>
      </c>
      <c r="AD56" s="60">
        <f t="shared" si="27"/>
        <v>22</v>
      </c>
      <c r="AE56" s="334"/>
      <c r="AF56" s="312" t="s">
        <v>559</v>
      </c>
      <c r="AG56" s="351">
        <f>AG54*AG32</f>
        <v>600</v>
      </c>
      <c r="AH56" s="351">
        <f>AH54*AG33</f>
        <v>12750</v>
      </c>
      <c r="AI56" s="351">
        <f>AI54*AG34</f>
        <v>16000</v>
      </c>
      <c r="AJ56" s="351">
        <f>AJ54*AG35</f>
        <v>9000</v>
      </c>
      <c r="AK56" s="351">
        <f>AK54*AG36</f>
        <v>2400</v>
      </c>
      <c r="AL56" s="312">
        <f>SUM(AG56:AK56)</f>
        <v>40750</v>
      </c>
    </row>
    <row r="57" spans="1:38">
      <c r="X57" s="60" t="s">
        <v>92</v>
      </c>
      <c r="Y57" s="342">
        <v>0</v>
      </c>
      <c r="Z57" s="340">
        <f>3+3</f>
        <v>6</v>
      </c>
      <c r="AA57" s="342">
        <f>11+2</f>
        <v>13</v>
      </c>
      <c r="AB57" s="342">
        <v>0</v>
      </c>
      <c r="AC57" s="342">
        <v>0</v>
      </c>
      <c r="AD57" s="60">
        <f t="shared" si="27"/>
        <v>19</v>
      </c>
      <c r="AE57" s="260"/>
      <c r="AG57" s="320"/>
      <c r="AH57" s="320"/>
    </row>
    <row r="58" spans="1:38">
      <c r="X58" s="60" t="s">
        <v>93</v>
      </c>
      <c r="Y58" s="342">
        <v>0</v>
      </c>
      <c r="Z58" s="340">
        <v>0</v>
      </c>
      <c r="AA58" s="342">
        <f>2+1</f>
        <v>3</v>
      </c>
      <c r="AB58" s="342">
        <f>6</f>
        <v>6</v>
      </c>
      <c r="AC58" s="342">
        <v>0</v>
      </c>
      <c r="AD58" s="60">
        <f t="shared" si="27"/>
        <v>9</v>
      </c>
      <c r="AG58" s="320"/>
      <c r="AH58" s="320"/>
    </row>
    <row r="59" spans="1:38">
      <c r="X59" s="60" t="s">
        <v>94</v>
      </c>
      <c r="Y59" s="342">
        <v>0</v>
      </c>
      <c r="Z59" s="413">
        <f>2</f>
        <v>2</v>
      </c>
      <c r="AA59" s="342">
        <f>2+1</f>
        <v>3</v>
      </c>
      <c r="AB59" s="342">
        <f>7</f>
        <v>7</v>
      </c>
      <c r="AC59" s="342">
        <v>0</v>
      </c>
      <c r="AD59" s="60">
        <f t="shared" si="27"/>
        <v>12</v>
      </c>
      <c r="AG59" s="320"/>
      <c r="AH59" s="320"/>
    </row>
    <row r="60" spans="1:38">
      <c r="X60" s="347" t="s">
        <v>505</v>
      </c>
      <c r="Y60" s="342">
        <v>0</v>
      </c>
      <c r="Z60" s="348">
        <f>1</f>
        <v>1</v>
      </c>
      <c r="AA60" s="348">
        <f>3</f>
        <v>3</v>
      </c>
      <c r="AB60" s="348">
        <v>0</v>
      </c>
      <c r="AC60" s="342">
        <v>0</v>
      </c>
      <c r="AD60" s="347">
        <f t="shared" si="27"/>
        <v>4</v>
      </c>
      <c r="AF60" s="422"/>
    </row>
    <row r="61" spans="1:38">
      <c r="X61" s="312" t="s">
        <v>515</v>
      </c>
      <c r="Y61" s="349">
        <f t="shared" ref="Y61:AD61" si="29">SUM(Y49:Y60)</f>
        <v>0</v>
      </c>
      <c r="Z61" s="349">
        <f t="shared" si="29"/>
        <v>78</v>
      </c>
      <c r="AA61" s="349">
        <f t="shared" si="29"/>
        <v>80</v>
      </c>
      <c r="AB61" s="349">
        <f t="shared" si="29"/>
        <v>36</v>
      </c>
      <c r="AC61" s="349">
        <f t="shared" si="29"/>
        <v>8</v>
      </c>
      <c r="AD61" s="350">
        <f t="shared" si="29"/>
        <v>202</v>
      </c>
      <c r="AF61" s="342"/>
    </row>
    <row r="62" spans="1:38">
      <c r="X62" s="312" t="s">
        <v>514</v>
      </c>
      <c r="Y62" s="414">
        <f>PRODUCT(Y61*AH32)</f>
        <v>0</v>
      </c>
      <c r="Z62" s="414">
        <f>PRODUCT(Z61*AH33)</f>
        <v>1276.7742000000001</v>
      </c>
      <c r="AA62" s="414">
        <f>PRODUCT(AA61*AH34)</f>
        <v>1339.7360000000001</v>
      </c>
      <c r="AB62" s="414">
        <f>PRODUCT(AB61*AH35)</f>
        <v>607.91759999999999</v>
      </c>
      <c r="AC62" s="414">
        <f>PRODUCT(AC61*AH36)</f>
        <v>136</v>
      </c>
      <c r="AD62" s="415">
        <f>SUM(Y62:AC62)</f>
        <v>3360.4278000000004</v>
      </c>
    </row>
    <row r="63" spans="1:38">
      <c r="X63" s="312" t="s">
        <v>559</v>
      </c>
      <c r="Y63" s="351">
        <f>Y61*AG32</f>
        <v>0</v>
      </c>
      <c r="Z63" s="351">
        <f>Z61*AG33</f>
        <v>11700</v>
      </c>
      <c r="AA63" s="351">
        <f>AA61*AG34</f>
        <v>16000</v>
      </c>
      <c r="AB63" s="351">
        <f>AB61*AG35</f>
        <v>9000</v>
      </c>
      <c r="AC63" s="351">
        <f>AC61*AG36</f>
        <v>2400</v>
      </c>
      <c r="AD63" s="312">
        <f>SUM(Y63:AC63)</f>
        <v>39100</v>
      </c>
    </row>
    <row r="64" spans="1:38">
      <c r="X64" s="268"/>
      <c r="Y64" s="405"/>
      <c r="Z64" s="405"/>
      <c r="AA64" s="405"/>
      <c r="AB64" s="405"/>
      <c r="AC64" s="405"/>
      <c r="AD64" s="405"/>
    </row>
    <row r="65" spans="24:26">
      <c r="X65" s="320"/>
      <c r="Y65" s="320"/>
      <c r="Z65" s="320"/>
    </row>
    <row r="66" spans="24:26">
      <c r="X66" s="320"/>
      <c r="Y66" s="320"/>
      <c r="Z66" s="320"/>
    </row>
    <row r="67" spans="24:26">
      <c r="X67" s="320"/>
      <c r="Y67" s="320"/>
      <c r="Z67" s="320"/>
    </row>
    <row r="68" spans="24:26">
      <c r="X68" s="320"/>
      <c r="Y68" s="320"/>
      <c r="Z68" s="320"/>
    </row>
    <row r="69" spans="24:26">
      <c r="X69" s="320"/>
      <c r="Y69" s="320"/>
      <c r="Z69" s="320"/>
    </row>
    <row r="70" spans="24:26">
      <c r="X70" s="320"/>
      <c r="Y70" s="320"/>
      <c r="Z70" s="320"/>
    </row>
    <row r="71" spans="24:26">
      <c r="X71" s="320"/>
      <c r="Y71" s="320"/>
      <c r="Z71" s="320"/>
    </row>
    <row r="72" spans="24:26">
      <c r="X72" s="320"/>
      <c r="Y72" s="320"/>
      <c r="Z72" s="320"/>
    </row>
    <row r="73" spans="24:26">
      <c r="X73" s="320"/>
      <c r="Y73" s="320"/>
      <c r="Z73" s="320"/>
    </row>
    <row r="74" spans="24:26">
      <c r="X74" s="197"/>
      <c r="Y74" s="320"/>
      <c r="Z74" s="320"/>
    </row>
  </sheetData>
  <mergeCells count="21">
    <mergeCell ref="X27:AC27"/>
    <mergeCell ref="A49:A50"/>
    <mergeCell ref="A51:A52"/>
    <mergeCell ref="AF40:AK40"/>
    <mergeCell ref="X47:AC47"/>
    <mergeCell ref="A53:A54"/>
    <mergeCell ref="A15:A20"/>
    <mergeCell ref="A55:A56"/>
    <mergeCell ref="A21:A24"/>
    <mergeCell ref="A26:A27"/>
    <mergeCell ref="A28:A32"/>
    <mergeCell ref="A33:A35"/>
    <mergeCell ref="A36:A37"/>
    <mergeCell ref="A39:A40"/>
    <mergeCell ref="A41:A43"/>
    <mergeCell ref="A45:A48"/>
    <mergeCell ref="C1:K1"/>
    <mergeCell ref="M1:U1"/>
    <mergeCell ref="A4:A5"/>
    <mergeCell ref="A6:A8"/>
    <mergeCell ref="A9:A13"/>
  </mergeCells>
  <conditionalFormatting sqref="T3:T56">
    <cfRule type="cellIs" dxfId="65" priority="13" operator="lessThan">
      <formula>0</formula>
    </cfRule>
  </conditionalFormatting>
  <conditionalFormatting sqref="S3:S14">
    <cfRule type="cellIs" dxfId="64" priority="10" operator="lessThan">
      <formula>$J$3</formula>
    </cfRule>
  </conditionalFormatting>
  <conditionalFormatting sqref="S15:S24">
    <cfRule type="cellIs" dxfId="63" priority="8" operator="lessThan">
      <formula>$E$15</formula>
    </cfRule>
    <cfRule type="cellIs" dxfId="62" priority="9" operator="lessThan">
      <formula>$E$15</formula>
    </cfRule>
  </conditionalFormatting>
  <conditionalFormatting sqref="S26:S56">
    <cfRule type="cellIs" dxfId="61" priority="7" operator="lessThan">
      <formula>$E$26</formula>
    </cfRule>
  </conditionalFormatting>
  <conditionalFormatting sqref="U3:U56">
    <cfRule type="cellIs" dxfId="60" priority="6" operator="greaterThan">
      <formula>0</formula>
    </cfRule>
  </conditionalFormatting>
  <conditionalFormatting sqref="Y29:AD40">
    <cfRule type="cellIs" dxfId="59" priority="5" operator="greaterThan">
      <formula>0</formula>
    </cfRule>
  </conditionalFormatting>
  <conditionalFormatting sqref="AG42:AL53">
    <cfRule type="cellIs" dxfId="58" priority="4" operator="greaterThan">
      <formula>0</formula>
    </cfRule>
  </conditionalFormatting>
  <conditionalFormatting sqref="AD49:AD60">
    <cfRule type="cellIs" dxfId="57" priority="3" operator="greaterThan">
      <formula>0</formula>
    </cfRule>
  </conditionalFormatting>
  <conditionalFormatting sqref="Z49:AC60">
    <cfRule type="cellIs" dxfId="56" priority="2" operator="greaterThan">
      <formula>0</formula>
    </cfRule>
  </conditionalFormatting>
  <conditionalFormatting sqref="Y49:Y60">
    <cfRule type="cellIs" dxfId="55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IP_linksErrorFree</vt:lpstr>
      <vt:lpstr>MPLS_Demands</vt:lpstr>
      <vt:lpstr>Shut-off lambda</vt:lpstr>
      <vt:lpstr>Selective 0&lt;alpha&lt;1</vt:lpstr>
      <vt:lpstr>Multiple-path Reroute</vt:lpstr>
      <vt:lpstr>BDF</vt:lpstr>
      <vt:lpstr>SDF</vt:lpstr>
      <vt:lpstr>Single-hop Reroute</vt:lpstr>
      <vt:lpstr>No-Rerouting</vt:lpstr>
      <vt:lpstr>ES-EP</vt:lpstr>
      <vt:lpstr>US-EP</vt:lpstr>
      <vt:lpstr>US-UP</vt:lpstr>
      <vt:lpstr>US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2021-01-08T12:26:17Z</dcterms:modified>
</cp:coreProperties>
</file>